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66925"/>
  <mc:AlternateContent xmlns:mc="http://schemas.openxmlformats.org/markup-compatibility/2006">
    <mc:Choice Requires="x15">
      <x15ac:absPath xmlns:x15ac="http://schemas.microsoft.com/office/spreadsheetml/2010/11/ac" url="C:\Users\thoma\Dropbox\Public\"/>
    </mc:Choice>
  </mc:AlternateContent>
  <xr:revisionPtr revIDLastSave="0" documentId="13_ncr:1_{77C8FFC4-0AC6-4C97-AFF6-9D4EA1862D76}" xr6:coauthVersionLast="47" xr6:coauthVersionMax="47" xr10:uidLastSave="{00000000-0000-0000-0000-000000000000}"/>
  <workbookProtection workbookAlgorithmName="SHA-512" workbookHashValue="R9m/8dVZdLQeKEk4gYQDx/yMOP+u7vj8fD2D8gxkhjgBJ5UO0ODJyc9Iwh2WFrAK4Eru8cb4B50SbadN9k/DUw==" workbookSaltValue="8PlF03jKxP3nQfJAYLDdog==" workbookSpinCount="100000" lockStructure="1"/>
  <bookViews>
    <workbookView xWindow="-120" yWindow="-120" windowWidth="29040" windowHeight="15720" tabRatio="604" activeTab="1" xr2:uid="{00000000-000D-0000-FFFF-FFFF00000000}"/>
  </bookViews>
  <sheets>
    <sheet name="Instructions" sheetId="4" r:id="rId1"/>
    <sheet name="Coach Card" sheetId="2" r:id="rId2"/>
    <sheet name="Print" sheetId="3" r:id="rId3"/>
    <sheet name="Data" sheetId="1" state="hidden" r:id="rId4"/>
    <sheet name="AcroDD" sheetId="5" state="hidden" r:id="rId5"/>
    <sheet name="HybridDD" sheetId="6" state="hidden" r:id="rId6"/>
    <sheet name="TREDD" sheetId="7" state="hidden" r:id="rId7"/>
  </sheets>
  <definedNames>
    <definedName name="AcroBonus_A_Code">AcroDD!$B$303:$B$332</definedName>
    <definedName name="AcroBonus_A_Value">AcroDD!$C$303:$C$332</definedName>
    <definedName name="AcroBonus_B_Code">AcroDD!$E$303:$E$332</definedName>
    <definedName name="AcroBonus_B_Value">AcroDD!$F$303:$F$332</definedName>
    <definedName name="AcroBonus_C_Code">AcroDD!$H$303:$H$332</definedName>
    <definedName name="AcroBonus_C_Value">AcroDD!$I$303:$I$332</definedName>
    <definedName name="AcroBonus_P_Code">AcroDD!$K$303:$K$332</definedName>
    <definedName name="AcroBonus_P_Value">AcroDD!$L$303:$L$332</definedName>
    <definedName name="AcroPair_Code">AcroDD!$Q$4:$Q$82</definedName>
    <definedName name="AcroPair_Value">AcroDD!$R$4:$R$82</definedName>
    <definedName name="Cons_A_Code">AcroDD!$B$4:$B$31</definedName>
    <definedName name="Cons_A_Value">AcroDD!$C$4:$C$31</definedName>
    <definedName name="Cons_B_Code">AcroDD!$E$4:$E$31</definedName>
    <definedName name="Cons_B_Value">AcroDD!$F$4:$F$31</definedName>
    <definedName name="Cons_C_Code">AcroDD!$H$4:$H$31</definedName>
    <definedName name="Cons_C_Value">AcroDD!$I$4:$I$31</definedName>
    <definedName name="Cons_P_Code">AcroDD!$K$4:$K$31</definedName>
    <definedName name="Cons_P_Value">AcroDD!$L$4:$L$31</definedName>
    <definedName name="Conx_A_Code">AcroDD!$B$38:$B$74</definedName>
    <definedName name="Conx_A_Value">AcroDD!$C$38:$C$74</definedName>
    <definedName name="Conx_B_Code">AcroDD!$E$38:$E$74</definedName>
    <definedName name="Conx_B_Value">AcroDD!$F$38:$F$74</definedName>
    <definedName name="Conx_C_Code">AcroDD!$H$38:$H$74</definedName>
    <definedName name="Conx_C_Value">AcroDD!$I$38:$I$74</definedName>
    <definedName name="Conx_P_Code">AcroDD!$K$38:$K$74</definedName>
    <definedName name="Conx_P_Value">AcroDD!$L$38:$L$74</definedName>
    <definedName name="Dirx_A_Code">AcroDD!$B$81:$B$98</definedName>
    <definedName name="Dirx_A_Value">AcroDD!$C$81:$C$98</definedName>
    <definedName name="Dirx_B_Code">AcroDD!$E$81:$E$98</definedName>
    <definedName name="Dirx_B_Value">AcroDD!$F$81:$F$98</definedName>
    <definedName name="Dirx_C_Code">AcroDD!$H$81:$H$98</definedName>
    <definedName name="Dirx_C_Value">AcroDD!$I$81:$I$98</definedName>
    <definedName name="Dirx_P_Code">AcroDD!$K$81:$K$98</definedName>
    <definedName name="Dirx_P_Value">AcroDD!$L$81:$L$98</definedName>
    <definedName name="Hyb_Code">HybridDD!$AH$3:$AH$480</definedName>
    <definedName name="Hyb_Family">HybridDD!$A$3:$A$500</definedName>
    <definedName name="Hyb_Tech">HybridDD!$AI$3:$AI$480</definedName>
    <definedName name="Hyb_Tech_Value">HybridDD!$AJ$3:$AJ$480</definedName>
    <definedName name="Hybrid_ChoHY">'Coach Card'!$BS$8:$BS$9</definedName>
    <definedName name="Hybrid_Mix_Req">HybridDD!$F$3:$F$80</definedName>
    <definedName name="Hybrid_Mix_Req_Value">HybridDD!$G$3:$G$80</definedName>
    <definedName name="HybridBonus_Code">HybridDD!$D$3:$D$30</definedName>
    <definedName name="HybridBonus_Value">HybridDD!$E$3:$E$30</definedName>
    <definedName name="HybridDD_Code">HybridDD!$B$3:$B$500</definedName>
    <definedName name="HybridDD_Value">HybridDD!$C$3:$C$500</definedName>
    <definedName name="Parts_Active">Data!$E$3:$E$11</definedName>
    <definedName name="Pos1_A_Code">AcroDD!$C$105:$C$144</definedName>
    <definedName name="Pos1_A_Value">AcroDD!$D$105:$D$144</definedName>
    <definedName name="Pos1_A_Var">AcroDD!$B$105:$B$144</definedName>
    <definedName name="Pos1_B_Code">AcroDD!$G$105:$G$144</definedName>
    <definedName name="Pos1_B_Value">AcroDD!$H$105:$H$144</definedName>
    <definedName name="Pos1_B_Var">AcroDD!$F$105:$F$144</definedName>
    <definedName name="Pos1_C_Code">AcroDD!$K$105:$K$144</definedName>
    <definedName name="Pos1_C_Value">AcroDD!$L$105:$L$144</definedName>
    <definedName name="Pos1_C_Var">AcroDD!$J$105:$J$144</definedName>
    <definedName name="Pos1_P_Code">AcroDD!$O$105:$O$144</definedName>
    <definedName name="Pos1_P_Value">AcroDD!$P$105:$P$144</definedName>
    <definedName name="Pos1_P_Var">AcroDD!$N$105:$N$144</definedName>
    <definedName name="Pos2_A_Code">AcroDD!$C$151:$C$190</definedName>
    <definedName name="Pos2_A_Value">AcroDD!$D$151:$D$190</definedName>
    <definedName name="Pos2_A_Var">AcroDD!$B$151:$B$190</definedName>
    <definedName name="Pos2_B_Code">AcroDD!$G$151:$G$190</definedName>
    <definedName name="Pos2_B_Value">AcroDD!$H$151:$H$190</definedName>
    <definedName name="Pos2_B_Var">AcroDD!$F$151:$F$190</definedName>
    <definedName name="Pos2_C_Code">AcroDD!$K$151:$K$190</definedName>
    <definedName name="Pos2_C_Value">AcroDD!$L$151:$L$190</definedName>
    <definedName name="Pos2_C_Var">AcroDD!$J$151:$J$190</definedName>
    <definedName name="Pos2_P_Code">AcroDD!$O$151:$O$190</definedName>
    <definedName name="Pos2_P_Value">AcroDD!$P$151:$P$190</definedName>
    <definedName name="Pos2_P_Var">AcroDD!$N$151:$N$190</definedName>
    <definedName name="Requ_App">AcroDD!$C$338:$C$377</definedName>
    <definedName name="Requ_Code">AcroDD!$B$338:$B$377</definedName>
    <definedName name="Requ_Min">AcroDD!$D$338:$D$377</definedName>
    <definedName name="RotB_A_Code">AcroDD!$B$198:$B$220</definedName>
    <definedName name="RotB_A_Value">AcroDD!$C$198:$C$220</definedName>
    <definedName name="RotB_B_Code">AcroDD!$E$198:$E$220</definedName>
    <definedName name="RotB_B_Value">AcroDD!$F$198:$F$220</definedName>
    <definedName name="RotB_C_Code">AcroDD!$H$198:$H$220</definedName>
    <definedName name="RotB_C_Value">AcroDD!$I$198:$I$220</definedName>
    <definedName name="RotB_P_Code">AcroDD!$K$198:$K$220</definedName>
    <definedName name="RotB_P_Value">AcroDD!$L$198:$L$220</definedName>
    <definedName name="RotP_A_Code">AcroDD!$B$227:$B$296</definedName>
    <definedName name="RotP_A_Value">AcroDD!$C$227:$C$296</definedName>
    <definedName name="RotP_B_Code">AcroDD!$E$227:$E$296</definedName>
    <definedName name="RotP_B_Value">AcroDD!$F$227:$F$296</definedName>
    <definedName name="RotP_C_Code">AcroDD!$H$227:$H$296</definedName>
    <definedName name="RotP_C_Value">AcroDD!$I$227:$I$296</definedName>
    <definedName name="RotP_P_Code">AcroDD!$K$227:$K$296</definedName>
    <definedName name="RotP_P_Value">AcroDD!$L$227:$L$296</definedName>
    <definedName name="Team_Acro_P_Chk1">'Coach Card'!$ED$19:$ED$58</definedName>
    <definedName name="Team_Acro_P_Chk2">'Coach Card'!$EE$19:$EE$58</definedName>
    <definedName name="TeamAcro_A_Pos1">'Coach Card'!$DQ$19:$DQ$68</definedName>
    <definedName name="TeamAcro_A_Pos2">'Coach Card'!$DR$19:$DR$68</definedName>
    <definedName name="TeamAcro_B_Cons">'Coach Card'!$DS$19:$DS$68</definedName>
    <definedName name="TeamAcro_B_Conx">'Coach Card'!$DT$19:$DT$68</definedName>
    <definedName name="TeamAcro_C_Cons">'Coach Card'!$DU$19:$DU$68</definedName>
    <definedName name="TeamAcro_P_Bonus">'Coach Card'!$EB$19:$EC$58</definedName>
    <definedName name="TeamAcro_P_Bonus1">'Coach Card'!$EB$19:$EB$58</definedName>
    <definedName name="TeamAcro_P_Bonus2">'Coach Card'!$EC$19:$EC$58</definedName>
    <definedName name="TeamAcro_P_Cons">'Coach Card'!$DV$19:$DV$68</definedName>
    <definedName name="TeamAcro_P_Conx">'Coach Card'!$DW$19:$DW$68</definedName>
    <definedName name="TeamAcro_P_Pos1">'Coach Card'!$DX$19:$DX$68</definedName>
    <definedName name="TeamAcro_P_Pos2">'Coach Card'!$DY$19:$DY$68</definedName>
    <definedName name="TRE_check">'Coach Card'!$HI$19:$HI$68</definedName>
    <definedName name="TreDD_Code">TREDD!$B$3:$B$12</definedName>
    <definedName name="TreDD_Value">TREDD!$C$3:$C$12</definedName>
    <definedName name="_xlnm.Print_Area" localSheetId="4">AcroDD!$A$1:$M$334</definedName>
    <definedName name="_xlnm.Print_Area" localSheetId="1">'Coach Card'!$A$1:$AE$68</definedName>
    <definedName name="_xlnm.Print_Area" localSheetId="2">Print!$A$1:$T$46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17" i="2" l="1"/>
  <c r="AY21" i="2"/>
  <c r="AY23" i="2"/>
  <c r="AY25" i="2"/>
  <c r="AY27" i="2"/>
  <c r="AY29" i="2"/>
  <c r="AX29" i="2" s="1"/>
  <c r="AZ29" i="2" s="1"/>
  <c r="AY31" i="2"/>
  <c r="AX31" i="2" s="1"/>
  <c r="AZ31" i="2" s="1"/>
  <c r="AY33" i="2"/>
  <c r="AX33" i="2" s="1"/>
  <c r="AZ33" i="2" s="1"/>
  <c r="AY35" i="2"/>
  <c r="AX35" i="2" s="1"/>
  <c r="AZ35" i="2" s="1"/>
  <c r="AY37" i="2"/>
  <c r="AX37" i="2" s="1"/>
  <c r="AZ37" i="2" s="1"/>
  <c r="AY39" i="2"/>
  <c r="AY41" i="2"/>
  <c r="AX41" i="2" s="1"/>
  <c r="AZ41" i="2" s="1"/>
  <c r="AY43" i="2"/>
  <c r="AX43" i="2" s="1"/>
  <c r="AZ43" i="2" s="1"/>
  <c r="AY45" i="2"/>
  <c r="AX45" i="2" s="1"/>
  <c r="AZ45" i="2" s="1"/>
  <c r="AY47" i="2"/>
  <c r="AX47" i="2" s="1"/>
  <c r="AZ47" i="2" s="1"/>
  <c r="AY49" i="2"/>
  <c r="AX49" i="2" s="1"/>
  <c r="AZ49" i="2" s="1"/>
  <c r="AY51" i="2"/>
  <c r="AX51" i="2" s="1"/>
  <c r="AZ51" i="2" s="1"/>
  <c r="AY53" i="2"/>
  <c r="AX53" i="2" s="1"/>
  <c r="AZ53" i="2" s="1"/>
  <c r="AY55" i="2"/>
  <c r="AX55" i="2" s="1"/>
  <c r="AZ55" i="2" s="1"/>
  <c r="AY57" i="2"/>
  <c r="AX57" i="2" s="1"/>
  <c r="AZ57" i="2" s="1"/>
  <c r="AY19" i="2"/>
  <c r="BA43" i="2" l="1"/>
  <c r="X28" i="3" s="1"/>
  <c r="BA41" i="2"/>
  <c r="X27" i="3" s="1"/>
  <c r="BA37" i="2"/>
  <c r="X25" i="3" s="1"/>
  <c r="BA35" i="2"/>
  <c r="X24" i="3" s="1"/>
  <c r="BA57" i="2"/>
  <c r="X35" i="3" s="1"/>
  <c r="BA33" i="2"/>
  <c r="X23" i="3" s="1"/>
  <c r="BA55" i="2"/>
  <c r="X34" i="3" s="1"/>
  <c r="BA31" i="2"/>
  <c r="X22" i="3" s="1"/>
  <c r="BA53" i="2"/>
  <c r="X33" i="3" s="1"/>
  <c r="BA29" i="2"/>
  <c r="X21" i="3" s="1"/>
  <c r="BA51" i="2"/>
  <c r="X32" i="3" s="1"/>
  <c r="BA49" i="2"/>
  <c r="X31" i="3" s="1"/>
  <c r="BA47" i="2"/>
  <c r="X30" i="3" s="1"/>
  <c r="BA45" i="2"/>
  <c r="X29" i="3" s="1"/>
  <c r="AX39" i="2"/>
  <c r="AZ39" i="2" s="1"/>
  <c r="BA39" i="2" l="1"/>
  <c r="X26" i="3" s="1"/>
  <c r="A5" i="3"/>
  <c r="A4" i="3"/>
  <c r="EB21" i="2"/>
  <c r="EC21" i="2"/>
  <c r="EB25" i="2"/>
  <c r="EC25" i="2"/>
  <c r="EC27" i="2"/>
  <c r="EB29" i="2"/>
  <c r="EC29" i="2"/>
  <c r="EB33" i="2"/>
  <c r="EC33" i="2"/>
  <c r="EB35" i="2"/>
  <c r="EC35" i="2"/>
  <c r="EB37" i="2"/>
  <c r="EC37" i="2"/>
  <c r="EB39" i="2"/>
  <c r="EC39" i="2"/>
  <c r="EB41" i="2"/>
  <c r="EC41" i="2"/>
  <c r="EB43" i="2"/>
  <c r="EC43" i="2"/>
  <c r="EB45" i="2"/>
  <c r="EC45" i="2"/>
  <c r="EB47" i="2"/>
  <c r="EC47" i="2"/>
  <c r="EB49" i="2"/>
  <c r="EC49" i="2"/>
  <c r="EB51" i="2"/>
  <c r="EC51" i="2"/>
  <c r="EB53" i="2"/>
  <c r="EC53" i="2"/>
  <c r="EB55" i="2"/>
  <c r="EC55" i="2"/>
  <c r="EB57" i="2"/>
  <c r="EC57" i="2"/>
  <c r="P15" i="2" a="1"/>
  <c r="P15" i="2" l="1"/>
  <c r="B17" i="3"/>
  <c r="B18" i="3"/>
  <c r="B19" i="3"/>
  <c r="B20" i="3"/>
  <c r="B21" i="3"/>
  <c r="B22" i="3"/>
  <c r="B23" i="3"/>
  <c r="B24" i="3"/>
  <c r="B25" i="3"/>
  <c r="B26" i="3"/>
  <c r="B27" i="3"/>
  <c r="B28" i="3"/>
  <c r="B29" i="3"/>
  <c r="B30" i="3"/>
  <c r="B31" i="3"/>
  <c r="B32" i="3"/>
  <c r="B33" i="3"/>
  <c r="B34" i="3"/>
  <c r="B35" i="3"/>
  <c r="B36" i="3"/>
  <c r="B37" i="3"/>
  <c r="B38" i="3"/>
  <c r="B39" i="3"/>
  <c r="B40" i="3"/>
  <c r="B16" i="3"/>
  <c r="FO22" i="2"/>
  <c r="FO24" i="2" s="1"/>
  <c r="FO26" i="2" s="1"/>
  <c r="FO28" i="2" s="1"/>
  <c r="FO30" i="2" s="1"/>
  <c r="FO32" i="2" s="1"/>
  <c r="FO34" i="2" s="1"/>
  <c r="FO36" i="2" s="1"/>
  <c r="FO38" i="2" s="1"/>
  <c r="FO40" i="2" s="1"/>
  <c r="FO42" i="2" s="1"/>
  <c r="FO44" i="2" s="1"/>
  <c r="FO46" i="2" s="1"/>
  <c r="FO48" i="2" s="1"/>
  <c r="FO50" i="2" s="1"/>
  <c r="FO52" i="2" s="1"/>
  <c r="FO54" i="2" s="1"/>
  <c r="FO56" i="2" s="1"/>
  <c r="FO58" i="2" s="1"/>
  <c r="V35" i="3"/>
  <c r="V34" i="3"/>
  <c r="V33" i="3"/>
  <c r="V32" i="3"/>
  <c r="V31" i="3"/>
  <c r="V30" i="3"/>
  <c r="V29" i="3"/>
  <c r="V28" i="3"/>
  <c r="V27" i="3"/>
  <c r="V26" i="3"/>
  <c r="V25" i="3"/>
  <c r="V24" i="3"/>
  <c r="V23" i="3"/>
  <c r="V22" i="3"/>
  <c r="V21" i="3"/>
  <c r="V20" i="3"/>
  <c r="V19" i="3"/>
  <c r="V18" i="3"/>
  <c r="V17" i="3"/>
  <c r="V16" i="3"/>
  <c r="HD22" i="2"/>
  <c r="HD21" i="2" s="1"/>
  <c r="HD24" i="2"/>
  <c r="HD26" i="2"/>
  <c r="HD25" i="2" s="1"/>
  <c r="HD28" i="2"/>
  <c r="HD27" i="2" s="1"/>
  <c r="HD30" i="2"/>
  <c r="HD29" i="2" s="1"/>
  <c r="HD32" i="2"/>
  <c r="HD31" i="2" s="1"/>
  <c r="HD34" i="2"/>
  <c r="HD33" i="2" s="1"/>
  <c r="HD36" i="2"/>
  <c r="HD35" i="2" s="1"/>
  <c r="HD38" i="2"/>
  <c r="HD37" i="2" s="1"/>
  <c r="HD40" i="2"/>
  <c r="HD39" i="2" s="1"/>
  <c r="HD42" i="2"/>
  <c r="HD41" i="2" s="1"/>
  <c r="HD44" i="2"/>
  <c r="HD43" i="2" s="1"/>
  <c r="HD46" i="2"/>
  <c r="HD45" i="2" s="1"/>
  <c r="HD48" i="2"/>
  <c r="HD47" i="2" s="1"/>
  <c r="HD50" i="2"/>
  <c r="HD49" i="2" s="1"/>
  <c r="HD52" i="2"/>
  <c r="HD51" i="2" s="1"/>
  <c r="HD54" i="2"/>
  <c r="HD53" i="2" s="1"/>
  <c r="HD56" i="2"/>
  <c r="HD55" i="2" s="1"/>
  <c r="HD58" i="2"/>
  <c r="HD57" i="2" s="1"/>
  <c r="HD60" i="2"/>
  <c r="HD59" i="2" s="1"/>
  <c r="HD62" i="2"/>
  <c r="HD61" i="2" s="1"/>
  <c r="HD64" i="2"/>
  <c r="HD63" i="2" s="1"/>
  <c r="HD66" i="2"/>
  <c r="HD65" i="2" s="1"/>
  <c r="HD68" i="2"/>
  <c r="HD67" i="2" s="1"/>
  <c r="HD20" i="2"/>
  <c r="HD19" i="2" s="1"/>
  <c r="AO60" i="2"/>
  <c r="AO62" i="2"/>
  <c r="AO64" i="2"/>
  <c r="AO66" i="2"/>
  <c r="AO68" i="2"/>
  <c r="EF33" i="2" l="1"/>
  <c r="EG33" i="2" s="1"/>
  <c r="EF37" i="2"/>
  <c r="EG37" i="2" s="1"/>
  <c r="EF41" i="2"/>
  <c r="EG41" i="2" s="1"/>
  <c r="EF45" i="2"/>
  <c r="EG45" i="2" s="1"/>
  <c r="EF47" i="2"/>
  <c r="EG47" i="2" s="1"/>
  <c r="EF49" i="2"/>
  <c r="EG49" i="2" s="1"/>
  <c r="EF51" i="2"/>
  <c r="EG51" i="2" s="1"/>
  <c r="EF53" i="2"/>
  <c r="EG53" i="2" s="1"/>
  <c r="EF55" i="2"/>
  <c r="EG55" i="2" s="1"/>
  <c r="EF57" i="2"/>
  <c r="EG57" i="2" s="1"/>
  <c r="EF59" i="2"/>
  <c r="EG59" i="2" s="1"/>
  <c r="EF61" i="2"/>
  <c r="EG61" i="2" s="1"/>
  <c r="EF63" i="2"/>
  <c r="EG63" i="2" s="1"/>
  <c r="EF65" i="2"/>
  <c r="EG65" i="2" s="1"/>
  <c r="EF67" i="2"/>
  <c r="EG67" i="2" s="1"/>
  <c r="F23" i="3"/>
  <c r="F25" i="3"/>
  <c r="F26" i="3"/>
  <c r="F27" i="3"/>
  <c r="F28" i="3"/>
  <c r="F29" i="3"/>
  <c r="F30" i="3"/>
  <c r="F31" i="3"/>
  <c r="F32" i="3"/>
  <c r="F33" i="3"/>
  <c r="F34" i="3"/>
  <c r="F35" i="3"/>
  <c r="F36" i="3"/>
  <c r="F37" i="3"/>
  <c r="F38" i="3"/>
  <c r="F39" i="3"/>
  <c r="F40" i="3"/>
  <c r="BG53" i="2"/>
  <c r="BG55" i="2"/>
  <c r="BG57" i="2"/>
  <c r="BG59" i="2"/>
  <c r="BG61" i="2"/>
  <c r="BG63" i="2"/>
  <c r="BG65" i="2"/>
  <c r="BG67" i="2"/>
  <c r="R40" i="3" l="1"/>
  <c r="R36" i="3"/>
  <c r="R32" i="3"/>
  <c r="R28" i="3"/>
  <c r="R24" i="3"/>
  <c r="R39" i="3"/>
  <c r="R35" i="3"/>
  <c r="R31" i="3"/>
  <c r="R27" i="3"/>
  <c r="R23" i="3"/>
  <c r="R19" i="3"/>
  <c r="R20" i="3"/>
  <c r="R38" i="3"/>
  <c r="R34" i="3"/>
  <c r="R30" i="3"/>
  <c r="R26" i="3"/>
  <c r="R22" i="3"/>
  <c r="R18" i="3"/>
  <c r="R37" i="3"/>
  <c r="R33" i="3"/>
  <c r="R29" i="3"/>
  <c r="R25" i="3"/>
  <c r="R21" i="3"/>
  <c r="R17" i="3"/>
  <c r="R16" i="3"/>
  <c r="S36" i="3"/>
  <c r="S37" i="3"/>
  <c r="S38" i="3"/>
  <c r="S39" i="3"/>
  <c r="S40" i="3"/>
  <c r="V162" i="6" l="1"/>
  <c r="W162" i="6"/>
  <c r="V163" i="6"/>
  <c r="W163" i="6"/>
  <c r="V164" i="6"/>
  <c r="W164" i="6"/>
  <c r="V165" i="6"/>
  <c r="W165" i="6"/>
  <c r="V166" i="6"/>
  <c r="W166" i="6"/>
  <c r="V167" i="6"/>
  <c r="W167" i="6"/>
  <c r="V168" i="6"/>
  <c r="W168" i="6"/>
  <c r="V169" i="6"/>
  <c r="W169" i="6"/>
  <c r="V170" i="6"/>
  <c r="W170" i="6"/>
  <c r="V171" i="6"/>
  <c r="W171" i="6"/>
  <c r="V172" i="6"/>
  <c r="W172" i="6"/>
  <c r="V173" i="6"/>
  <c r="W173" i="6"/>
  <c r="V174" i="6"/>
  <c r="W174" i="6"/>
  <c r="V175" i="6"/>
  <c r="W175" i="6"/>
  <c r="V176" i="6"/>
  <c r="W176" i="6"/>
  <c r="V177" i="6"/>
  <c r="W177" i="6"/>
  <c r="V178" i="6"/>
  <c r="W178" i="6"/>
  <c r="V179" i="6"/>
  <c r="W179" i="6"/>
  <c r="V180" i="6"/>
  <c r="W180" i="6"/>
  <c r="V181" i="6"/>
  <c r="W181" i="6"/>
  <c r="V182" i="6"/>
  <c r="W182" i="6"/>
  <c r="V183" i="6"/>
  <c r="W183" i="6"/>
  <c r="V184" i="6"/>
  <c r="W184" i="6"/>
  <c r="V185" i="6"/>
  <c r="W185" i="6"/>
  <c r="V186" i="6"/>
  <c r="W186" i="6"/>
  <c r="V187" i="6"/>
  <c r="W187" i="6"/>
  <c r="V188" i="6"/>
  <c r="W188" i="6"/>
  <c r="V189" i="6"/>
  <c r="W189" i="6"/>
  <c r="V190" i="6"/>
  <c r="W190" i="6"/>
  <c r="V191" i="6"/>
  <c r="W191" i="6"/>
  <c r="V192" i="6"/>
  <c r="W192" i="6"/>
  <c r="V193" i="6"/>
  <c r="W193" i="6"/>
  <c r="V194" i="6"/>
  <c r="W194" i="6"/>
  <c r="V195" i="6"/>
  <c r="W195" i="6"/>
  <c r="V196" i="6"/>
  <c r="W196" i="6"/>
  <c r="V197" i="6"/>
  <c r="W197" i="6"/>
  <c r="V198" i="6"/>
  <c r="W198" i="6"/>
  <c r="V199" i="6"/>
  <c r="W199" i="6"/>
  <c r="V200" i="6"/>
  <c r="W200" i="6"/>
  <c r="V201" i="6"/>
  <c r="W201" i="6"/>
  <c r="V202" i="6"/>
  <c r="W202" i="6"/>
  <c r="V203" i="6"/>
  <c r="W203" i="6"/>
  <c r="V204" i="6"/>
  <c r="W204" i="6"/>
  <c r="V205" i="6"/>
  <c r="W205" i="6"/>
  <c r="V206" i="6"/>
  <c r="W206" i="6"/>
  <c r="V207" i="6"/>
  <c r="W207" i="6"/>
  <c r="V208" i="6"/>
  <c r="W208" i="6"/>
  <c r="V209" i="6"/>
  <c r="W209" i="6"/>
  <c r="V210" i="6"/>
  <c r="W210" i="6"/>
  <c r="V211" i="6"/>
  <c r="W211" i="6"/>
  <c r="V212" i="6"/>
  <c r="W212" i="6"/>
  <c r="V213" i="6"/>
  <c r="W213" i="6"/>
  <c r="V214" i="6"/>
  <c r="W214" i="6"/>
  <c r="V215" i="6"/>
  <c r="W215" i="6"/>
  <c r="V216" i="6"/>
  <c r="W216" i="6"/>
  <c r="V217" i="6"/>
  <c r="W217" i="6"/>
  <c r="V218" i="6"/>
  <c r="W218" i="6"/>
  <c r="V219" i="6"/>
  <c r="W219" i="6"/>
  <c r="V220" i="6"/>
  <c r="W220" i="6"/>
  <c r="V221" i="6"/>
  <c r="W221" i="6"/>
  <c r="V222" i="6"/>
  <c r="W222" i="6"/>
  <c r="V223" i="6"/>
  <c r="W223" i="6"/>
  <c r="V224" i="6"/>
  <c r="W224" i="6"/>
  <c r="V225" i="6"/>
  <c r="W225" i="6"/>
  <c r="V226" i="6"/>
  <c r="W226" i="6"/>
  <c r="V227" i="6"/>
  <c r="W227" i="6"/>
  <c r="V228" i="6"/>
  <c r="W228" i="6"/>
  <c r="V229" i="6"/>
  <c r="W229" i="6"/>
  <c r="V230" i="6"/>
  <c r="W230" i="6"/>
  <c r="V231" i="6"/>
  <c r="W231" i="6"/>
  <c r="V232" i="6"/>
  <c r="W232" i="6"/>
  <c r="V233" i="6"/>
  <c r="W233" i="6"/>
  <c r="V234" i="6"/>
  <c r="W234" i="6"/>
  <c r="V235" i="6"/>
  <c r="W235" i="6"/>
  <c r="V236" i="6"/>
  <c r="W236" i="6"/>
  <c r="V237" i="6"/>
  <c r="W237" i="6"/>
  <c r="V238" i="6"/>
  <c r="W238" i="6"/>
  <c r="V239" i="6"/>
  <c r="W239" i="6"/>
  <c r="V240" i="6"/>
  <c r="W240" i="6"/>
  <c r="V241" i="6"/>
  <c r="W241" i="6"/>
  <c r="V242" i="6"/>
  <c r="W242" i="6"/>
  <c r="V243" i="6"/>
  <c r="W243" i="6"/>
  <c r="V244" i="6"/>
  <c r="W244" i="6"/>
  <c r="V245" i="6"/>
  <c r="W245" i="6"/>
  <c r="V246" i="6"/>
  <c r="W246" i="6"/>
  <c r="V247" i="6"/>
  <c r="W247" i="6"/>
  <c r="V248" i="6"/>
  <c r="W248" i="6"/>
  <c r="V249" i="6"/>
  <c r="W249" i="6"/>
  <c r="V250" i="6"/>
  <c r="W250" i="6"/>
  <c r="V251" i="6"/>
  <c r="W251" i="6"/>
  <c r="V252" i="6"/>
  <c r="W252" i="6"/>
  <c r="V253" i="6"/>
  <c r="W253" i="6"/>
  <c r="V254" i="6"/>
  <c r="W254" i="6"/>
  <c r="V255" i="6"/>
  <c r="W255" i="6"/>
  <c r="V256" i="6"/>
  <c r="W256" i="6"/>
  <c r="V257" i="6"/>
  <c r="W257" i="6"/>
  <c r="V258" i="6"/>
  <c r="W258" i="6"/>
  <c r="V259" i="6"/>
  <c r="W259" i="6"/>
  <c r="V260" i="6"/>
  <c r="W260" i="6"/>
  <c r="V261" i="6"/>
  <c r="W261" i="6"/>
  <c r="V262" i="6"/>
  <c r="W262" i="6"/>
  <c r="V263" i="6"/>
  <c r="W263" i="6"/>
  <c r="V264" i="6"/>
  <c r="W264" i="6"/>
  <c r="V265" i="6"/>
  <c r="W265" i="6"/>
  <c r="V266" i="6"/>
  <c r="W266" i="6"/>
  <c r="V267" i="6"/>
  <c r="W267" i="6"/>
  <c r="V268" i="6"/>
  <c r="W268" i="6"/>
  <c r="V269" i="6"/>
  <c r="W269" i="6"/>
  <c r="V270" i="6"/>
  <c r="W270" i="6"/>
  <c r="V271" i="6"/>
  <c r="W271" i="6"/>
  <c r="V272" i="6"/>
  <c r="W272" i="6"/>
  <c r="V273" i="6"/>
  <c r="W273" i="6"/>
  <c r="V274" i="6"/>
  <c r="W274" i="6"/>
  <c r="V275" i="6"/>
  <c r="W275" i="6"/>
  <c r="V276" i="6"/>
  <c r="W276" i="6"/>
  <c r="V277" i="6"/>
  <c r="W277" i="6"/>
  <c r="V278" i="6"/>
  <c r="W278" i="6"/>
  <c r="V279" i="6"/>
  <c r="W279" i="6"/>
  <c r="V280" i="6"/>
  <c r="W280" i="6"/>
  <c r="V281" i="6"/>
  <c r="W281" i="6"/>
  <c r="V282" i="6"/>
  <c r="W282" i="6"/>
  <c r="V283" i="6"/>
  <c r="W283" i="6"/>
  <c r="V284" i="6"/>
  <c r="W284" i="6"/>
  <c r="V285" i="6"/>
  <c r="W285" i="6"/>
  <c r="V286" i="6"/>
  <c r="W286" i="6"/>
  <c r="V287" i="6"/>
  <c r="W287" i="6"/>
  <c r="V288" i="6"/>
  <c r="W288" i="6"/>
  <c r="V289" i="6"/>
  <c r="W289" i="6"/>
  <c r="V290" i="6"/>
  <c r="W290" i="6"/>
  <c r="V291" i="6"/>
  <c r="W291" i="6"/>
  <c r="V292" i="6"/>
  <c r="W292" i="6"/>
  <c r="V293" i="6"/>
  <c r="W293" i="6"/>
  <c r="V294" i="6"/>
  <c r="W294" i="6"/>
  <c r="W161" i="6"/>
  <c r="V161" i="6"/>
  <c r="T282" i="6"/>
  <c r="S282" i="6"/>
  <c r="T281" i="6"/>
  <c r="S281" i="6"/>
  <c r="T280" i="6"/>
  <c r="S280" i="6"/>
  <c r="T279" i="6"/>
  <c r="S279" i="6"/>
  <c r="T278" i="6"/>
  <c r="S278" i="6"/>
  <c r="T277" i="6"/>
  <c r="S277" i="6"/>
  <c r="T276" i="6"/>
  <c r="S276" i="6"/>
  <c r="T275" i="6"/>
  <c r="S275" i="6"/>
  <c r="T274" i="6"/>
  <c r="S274" i="6"/>
  <c r="T273" i="6"/>
  <c r="S273" i="6"/>
  <c r="T272" i="6"/>
  <c r="S272" i="6"/>
  <c r="T271" i="6"/>
  <c r="S271" i="6"/>
  <c r="T270" i="6"/>
  <c r="S270" i="6"/>
  <c r="T269" i="6"/>
  <c r="S269" i="6"/>
  <c r="T268" i="6"/>
  <c r="S268" i="6"/>
  <c r="T267" i="6"/>
  <c r="S267" i="6"/>
  <c r="T266" i="6"/>
  <c r="S266" i="6"/>
  <c r="T265" i="6"/>
  <c r="S265" i="6"/>
  <c r="T264" i="6"/>
  <c r="S264" i="6"/>
  <c r="T263" i="6"/>
  <c r="S263" i="6"/>
  <c r="T262" i="6"/>
  <c r="S262" i="6"/>
  <c r="T261" i="6"/>
  <c r="S261" i="6"/>
  <c r="T260" i="6"/>
  <c r="S260" i="6"/>
  <c r="T259" i="6"/>
  <c r="S259" i="6"/>
  <c r="T258" i="6"/>
  <c r="S258" i="6"/>
  <c r="T257" i="6"/>
  <c r="S257" i="6"/>
  <c r="T256" i="6"/>
  <c r="S256" i="6"/>
  <c r="T255" i="6"/>
  <c r="S255" i="6"/>
  <c r="T254" i="6"/>
  <c r="S254" i="6"/>
  <c r="T253" i="6"/>
  <c r="S253" i="6"/>
  <c r="T252" i="6"/>
  <c r="S252" i="6"/>
  <c r="T251" i="6"/>
  <c r="S251" i="6"/>
  <c r="T250" i="6"/>
  <c r="S250" i="6"/>
  <c r="T249" i="6"/>
  <c r="S249" i="6"/>
  <c r="T248" i="6"/>
  <c r="S248" i="6"/>
  <c r="T247" i="6"/>
  <c r="S247" i="6"/>
  <c r="T246" i="6"/>
  <c r="S246" i="6"/>
  <c r="T245" i="6"/>
  <c r="S245" i="6"/>
  <c r="T244" i="6"/>
  <c r="S244" i="6"/>
  <c r="T243" i="6"/>
  <c r="S243" i="6"/>
  <c r="T242" i="6"/>
  <c r="S242" i="6"/>
  <c r="T241" i="6"/>
  <c r="S241" i="6"/>
  <c r="T240" i="6"/>
  <c r="S240" i="6"/>
  <c r="T239" i="6"/>
  <c r="S239" i="6"/>
  <c r="T238" i="6"/>
  <c r="S238" i="6"/>
  <c r="T237" i="6"/>
  <c r="S237" i="6"/>
  <c r="T236" i="6"/>
  <c r="S236" i="6"/>
  <c r="T235" i="6"/>
  <c r="S235" i="6"/>
  <c r="T234" i="6"/>
  <c r="S234" i="6"/>
  <c r="T233" i="6"/>
  <c r="S233" i="6"/>
  <c r="T232" i="6"/>
  <c r="S232" i="6"/>
  <c r="T231" i="6"/>
  <c r="S231" i="6"/>
  <c r="T230" i="6"/>
  <c r="S230" i="6"/>
  <c r="T229" i="6"/>
  <c r="S229" i="6"/>
  <c r="T228" i="6"/>
  <c r="S228" i="6"/>
  <c r="T227" i="6"/>
  <c r="S227" i="6"/>
  <c r="T226" i="6"/>
  <c r="S226" i="6"/>
  <c r="T225" i="6"/>
  <c r="S225" i="6"/>
  <c r="T224" i="6"/>
  <c r="S224" i="6"/>
  <c r="T223" i="6"/>
  <c r="S223" i="6"/>
  <c r="T222" i="6"/>
  <c r="S222" i="6"/>
  <c r="T221" i="6"/>
  <c r="S221" i="6"/>
  <c r="T220" i="6"/>
  <c r="S220" i="6"/>
  <c r="T219" i="6"/>
  <c r="S219" i="6"/>
  <c r="T218" i="6"/>
  <c r="S218" i="6"/>
  <c r="T217" i="6"/>
  <c r="S217" i="6"/>
  <c r="T216" i="6"/>
  <c r="S216" i="6"/>
  <c r="T215" i="6"/>
  <c r="S215" i="6"/>
  <c r="T214" i="6"/>
  <c r="S214" i="6"/>
  <c r="T213" i="6"/>
  <c r="S213" i="6"/>
  <c r="T212" i="6"/>
  <c r="S212" i="6"/>
  <c r="T211" i="6"/>
  <c r="S211" i="6"/>
  <c r="T210" i="6"/>
  <c r="S210" i="6"/>
  <c r="T209" i="6"/>
  <c r="S209" i="6"/>
  <c r="T208" i="6"/>
  <c r="S208" i="6"/>
  <c r="T207" i="6"/>
  <c r="S207" i="6"/>
  <c r="T206" i="6"/>
  <c r="S206" i="6"/>
  <c r="T205" i="6"/>
  <c r="S205" i="6"/>
  <c r="T204" i="6"/>
  <c r="S204" i="6"/>
  <c r="T203" i="6"/>
  <c r="S203" i="6"/>
  <c r="T202" i="6"/>
  <c r="S202" i="6"/>
  <c r="T201" i="6"/>
  <c r="S201" i="6"/>
  <c r="T200" i="6"/>
  <c r="S200" i="6"/>
  <c r="T199" i="6"/>
  <c r="S199" i="6"/>
  <c r="T198" i="6"/>
  <c r="S198" i="6"/>
  <c r="T197" i="6"/>
  <c r="S197" i="6"/>
  <c r="T196" i="6"/>
  <c r="S196" i="6"/>
  <c r="T195" i="6"/>
  <c r="S195" i="6"/>
  <c r="T194" i="6"/>
  <c r="S194" i="6"/>
  <c r="T193" i="6"/>
  <c r="S193" i="6"/>
  <c r="T192" i="6"/>
  <c r="S192" i="6"/>
  <c r="T191" i="6"/>
  <c r="S191" i="6"/>
  <c r="T190" i="6"/>
  <c r="S190" i="6"/>
  <c r="T189" i="6"/>
  <c r="S189" i="6"/>
  <c r="T188" i="6"/>
  <c r="S188" i="6"/>
  <c r="T187" i="6"/>
  <c r="S187" i="6"/>
  <c r="T186" i="6"/>
  <c r="S186" i="6"/>
  <c r="T185" i="6"/>
  <c r="S185" i="6"/>
  <c r="T184" i="6"/>
  <c r="S184" i="6"/>
  <c r="T183" i="6"/>
  <c r="S183" i="6"/>
  <c r="T182" i="6"/>
  <c r="S182" i="6"/>
  <c r="T181" i="6"/>
  <c r="S181" i="6"/>
  <c r="T180" i="6"/>
  <c r="S180" i="6"/>
  <c r="T179" i="6"/>
  <c r="S179" i="6"/>
  <c r="T178" i="6"/>
  <c r="S178" i="6"/>
  <c r="T177" i="6"/>
  <c r="S177" i="6"/>
  <c r="T176" i="6"/>
  <c r="S176" i="6"/>
  <c r="T175" i="6"/>
  <c r="S175" i="6"/>
  <c r="T174" i="6"/>
  <c r="S174" i="6"/>
  <c r="T173" i="6"/>
  <c r="S173" i="6"/>
  <c r="T172" i="6"/>
  <c r="S172" i="6"/>
  <c r="T171" i="6"/>
  <c r="S171" i="6"/>
  <c r="T170" i="6"/>
  <c r="S170" i="6"/>
  <c r="T169" i="6"/>
  <c r="S169" i="6"/>
  <c r="T168" i="6"/>
  <c r="S168" i="6"/>
  <c r="T167" i="6"/>
  <c r="S167" i="6"/>
  <c r="T166" i="6"/>
  <c r="S166" i="6"/>
  <c r="T165" i="6"/>
  <c r="S165" i="6"/>
  <c r="T164" i="6"/>
  <c r="S164" i="6"/>
  <c r="T163" i="6"/>
  <c r="S163" i="6"/>
  <c r="T162" i="6"/>
  <c r="S162" i="6"/>
  <c r="T161" i="6"/>
  <c r="S161" i="6"/>
  <c r="T160" i="6"/>
  <c r="S160" i="6"/>
  <c r="T159" i="6"/>
  <c r="S159" i="6"/>
  <c r="T158" i="6"/>
  <c r="S158" i="6"/>
  <c r="T157" i="6"/>
  <c r="S157" i="6"/>
  <c r="T156" i="6"/>
  <c r="S156" i="6"/>
  <c r="T155" i="6"/>
  <c r="S155" i="6"/>
  <c r="T154" i="6"/>
  <c r="S154" i="6"/>
  <c r="T153" i="6"/>
  <c r="S153" i="6"/>
  <c r="T152" i="6"/>
  <c r="S152" i="6"/>
  <c r="T151" i="6"/>
  <c r="S151" i="6"/>
  <c r="T150" i="6"/>
  <c r="S150" i="6"/>
  <c r="T149" i="6"/>
  <c r="S149" i="6"/>
  <c r="Q150" i="6"/>
  <c r="Q151" i="6"/>
  <c r="Q152" i="6"/>
  <c r="Q153" i="6"/>
  <c r="Q154" i="6"/>
  <c r="Q155" i="6"/>
  <c r="Q156" i="6"/>
  <c r="Q157" i="6"/>
  <c r="Q158" i="6"/>
  <c r="Q159" i="6"/>
  <c r="Q160" i="6"/>
  <c r="Q161" i="6"/>
  <c r="Q162" i="6"/>
  <c r="Q163" i="6"/>
  <c r="Q164" i="6"/>
  <c r="Q165" i="6"/>
  <c r="Q166" i="6"/>
  <c r="Q167" i="6"/>
  <c r="Q168" i="6"/>
  <c r="Q169" i="6"/>
  <c r="Q170" i="6"/>
  <c r="Q171" i="6"/>
  <c r="Q172" i="6"/>
  <c r="Q173" i="6"/>
  <c r="Q174" i="6"/>
  <c r="Q175" i="6"/>
  <c r="Q176" i="6"/>
  <c r="Q177" i="6"/>
  <c r="Q178" i="6"/>
  <c r="Q179" i="6"/>
  <c r="Q180" i="6"/>
  <c r="Q181" i="6"/>
  <c r="Q182" i="6"/>
  <c r="Q183" i="6"/>
  <c r="Q184" i="6"/>
  <c r="Q185" i="6"/>
  <c r="Q186" i="6"/>
  <c r="Q187" i="6"/>
  <c r="Q188" i="6"/>
  <c r="Q189" i="6"/>
  <c r="Q190" i="6"/>
  <c r="Q191" i="6"/>
  <c r="Q192" i="6"/>
  <c r="Q193" i="6"/>
  <c r="Q194" i="6"/>
  <c r="Q195" i="6"/>
  <c r="Q196" i="6"/>
  <c r="Q197" i="6"/>
  <c r="Q198" i="6"/>
  <c r="Q199" i="6"/>
  <c r="Q200" i="6"/>
  <c r="Q201" i="6"/>
  <c r="Q202" i="6"/>
  <c r="Q203" i="6"/>
  <c r="Q204" i="6"/>
  <c r="Q205" i="6"/>
  <c r="Q206" i="6"/>
  <c r="Q207" i="6"/>
  <c r="Q208" i="6"/>
  <c r="Q209" i="6"/>
  <c r="Q210" i="6"/>
  <c r="Q211" i="6"/>
  <c r="Q212" i="6"/>
  <c r="Q213" i="6"/>
  <c r="Q214" i="6"/>
  <c r="Q215" i="6"/>
  <c r="Q216" i="6"/>
  <c r="Q217" i="6"/>
  <c r="Q218" i="6"/>
  <c r="Q219" i="6"/>
  <c r="Q220" i="6"/>
  <c r="Q221" i="6"/>
  <c r="Q222" i="6"/>
  <c r="Q223" i="6"/>
  <c r="Q224" i="6"/>
  <c r="Q225" i="6"/>
  <c r="Q226" i="6"/>
  <c r="Q227" i="6"/>
  <c r="Q228" i="6"/>
  <c r="Q229" i="6"/>
  <c r="Q230" i="6"/>
  <c r="Q231" i="6"/>
  <c r="Q232" i="6"/>
  <c r="Q233" i="6"/>
  <c r="Q234" i="6"/>
  <c r="Q235" i="6"/>
  <c r="Q236" i="6"/>
  <c r="Q237" i="6"/>
  <c r="Q238" i="6"/>
  <c r="Q239" i="6"/>
  <c r="Q240" i="6"/>
  <c r="Q241" i="6"/>
  <c r="Q242" i="6"/>
  <c r="Q243" i="6"/>
  <c r="Q244" i="6"/>
  <c r="Q245" i="6"/>
  <c r="Q246" i="6"/>
  <c r="Q247" i="6"/>
  <c r="Q248" i="6"/>
  <c r="Q249" i="6"/>
  <c r="Q250" i="6"/>
  <c r="Q251" i="6"/>
  <c r="Q252" i="6"/>
  <c r="Q253" i="6"/>
  <c r="Q254" i="6"/>
  <c r="Q255" i="6"/>
  <c r="Q256" i="6"/>
  <c r="Q257" i="6"/>
  <c r="Q258" i="6"/>
  <c r="Q259" i="6"/>
  <c r="Q260" i="6"/>
  <c r="Q261" i="6"/>
  <c r="Q262" i="6"/>
  <c r="Q263" i="6"/>
  <c r="Q264" i="6"/>
  <c r="Q265" i="6"/>
  <c r="Q266" i="6"/>
  <c r="Q267" i="6"/>
  <c r="Q268" i="6"/>
  <c r="Q269" i="6"/>
  <c r="Q270" i="6"/>
  <c r="Q271" i="6"/>
  <c r="Q272" i="6"/>
  <c r="Q273" i="6"/>
  <c r="Q274" i="6"/>
  <c r="Q275" i="6"/>
  <c r="Q276" i="6"/>
  <c r="Q277" i="6"/>
  <c r="Q278" i="6"/>
  <c r="Q279" i="6"/>
  <c r="Q280" i="6"/>
  <c r="Q281" i="6"/>
  <c r="Q282" i="6"/>
  <c r="Q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0"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149" i="6"/>
  <c r="BV3" i="2"/>
  <c r="CN5" i="2"/>
  <c r="CN6" i="2"/>
  <c r="CN7" i="2"/>
  <c r="CN4" i="2"/>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 i="1"/>
  <c r="BV4" i="2" l="1"/>
  <c r="BV5" i="2"/>
  <c r="AN16" i="2" s="1"/>
  <c r="R15" i="3" s="1"/>
  <c r="E38" i="2" l="1"/>
  <c r="AW37" i="2" s="1"/>
  <c r="DG68" i="2"/>
  <c r="DF68" i="2"/>
  <c r="DE68" i="2"/>
  <c r="DD68" i="2"/>
  <c r="DG66" i="2"/>
  <c r="DF66" i="2"/>
  <c r="DE66" i="2"/>
  <c r="DD66" i="2"/>
  <c r="DG64" i="2"/>
  <c r="DF64" i="2"/>
  <c r="DE64" i="2"/>
  <c r="DD64" i="2"/>
  <c r="DG62" i="2"/>
  <c r="DF62" i="2"/>
  <c r="DE62" i="2"/>
  <c r="DD62" i="2"/>
  <c r="DG60" i="2"/>
  <c r="DF60" i="2"/>
  <c r="DE60" i="2"/>
  <c r="DD60" i="2"/>
  <c r="DG58" i="2"/>
  <c r="DF58" i="2"/>
  <c r="DE58" i="2"/>
  <c r="DD58" i="2"/>
  <c r="DG56" i="2"/>
  <c r="DF56" i="2"/>
  <c r="DE56" i="2"/>
  <c r="DD56" i="2"/>
  <c r="DG54" i="2"/>
  <c r="DF54" i="2"/>
  <c r="DE54" i="2"/>
  <c r="DD54" i="2"/>
  <c r="DG52" i="2"/>
  <c r="DF52" i="2"/>
  <c r="DE52" i="2"/>
  <c r="DD52" i="2"/>
  <c r="DG50" i="2"/>
  <c r="DF50" i="2"/>
  <c r="DE50" i="2"/>
  <c r="DD50" i="2"/>
  <c r="DG48" i="2"/>
  <c r="DF48" i="2"/>
  <c r="DE48" i="2"/>
  <c r="DD48" i="2"/>
  <c r="DG46" i="2"/>
  <c r="DF46" i="2"/>
  <c r="DE46" i="2"/>
  <c r="DD46" i="2"/>
  <c r="DG44" i="2"/>
  <c r="DF44" i="2"/>
  <c r="DE44" i="2"/>
  <c r="DD44" i="2"/>
  <c r="DG42" i="2"/>
  <c r="DF42" i="2"/>
  <c r="DE42" i="2"/>
  <c r="DD42" i="2"/>
  <c r="DG40" i="2"/>
  <c r="DF40" i="2"/>
  <c r="DE40" i="2"/>
  <c r="DD40" i="2"/>
  <c r="DG38" i="2"/>
  <c r="DF38" i="2"/>
  <c r="DE38" i="2"/>
  <c r="DD38" i="2"/>
  <c r="DG36" i="2"/>
  <c r="DF36" i="2"/>
  <c r="DE36" i="2"/>
  <c r="DD36" i="2"/>
  <c r="DG34" i="2"/>
  <c r="DF34" i="2"/>
  <c r="DE34" i="2"/>
  <c r="DD34" i="2"/>
  <c r="DG32" i="2"/>
  <c r="DF32" i="2"/>
  <c r="DE32" i="2"/>
  <c r="DD32" i="2"/>
  <c r="DG30" i="2"/>
  <c r="DF30" i="2"/>
  <c r="DE30" i="2"/>
  <c r="DD30" i="2"/>
  <c r="DG28" i="2"/>
  <c r="DF28" i="2"/>
  <c r="DE28" i="2"/>
  <c r="DD28" i="2"/>
  <c r="DG26" i="2"/>
  <c r="DF26" i="2"/>
  <c r="DE26" i="2"/>
  <c r="DD26" i="2"/>
  <c r="DG24" i="2"/>
  <c r="DF24" i="2"/>
  <c r="DE24" i="2"/>
  <c r="DD24" i="2"/>
  <c r="DG22" i="2"/>
  <c r="DF22" i="2"/>
  <c r="DE22" i="2"/>
  <c r="DD22" i="2"/>
  <c r="DG20" i="2"/>
  <c r="DF20" i="2"/>
  <c r="DE20" i="2"/>
  <c r="DD20" i="2"/>
  <c r="CT21" i="2"/>
  <c r="CT23" i="2"/>
  <c r="CT25" i="2"/>
  <c r="CT27" i="2"/>
  <c r="CT29" i="2"/>
  <c r="CT31" i="2"/>
  <c r="CT33" i="2"/>
  <c r="CT35" i="2"/>
  <c r="CT37" i="2"/>
  <c r="CT39" i="2"/>
  <c r="CT41" i="2"/>
  <c r="CT43" i="2"/>
  <c r="CT45" i="2"/>
  <c r="CT47" i="2"/>
  <c r="CT49" i="2"/>
  <c r="CT51" i="2"/>
  <c r="CT53" i="2"/>
  <c r="CT55" i="2"/>
  <c r="CT57" i="2"/>
  <c r="CT59" i="2"/>
  <c r="CT61" i="2"/>
  <c r="CT63" i="2"/>
  <c r="CT65" i="2"/>
  <c r="CT67" i="2"/>
  <c r="CT19" i="2"/>
  <c r="BV6" i="2"/>
  <c r="FA37" i="2" l="1"/>
  <c r="FM37" i="2"/>
  <c r="FB37" i="2"/>
  <c r="FN37" i="2"/>
  <c r="FC37" i="2"/>
  <c r="FD37" i="2"/>
  <c r="FE37" i="2"/>
  <c r="FF37" i="2"/>
  <c r="FG37" i="2"/>
  <c r="FH37" i="2"/>
  <c r="FJ37" i="2"/>
  <c r="FL37" i="2"/>
  <c r="FI37" i="2"/>
  <c r="FK37" i="2"/>
  <c r="HK37" i="2"/>
  <c r="DK37" i="2"/>
  <c r="DL37" i="2"/>
  <c r="HI37" i="2"/>
  <c r="EK37" i="2"/>
  <c r="FY118" i="2"/>
  <c r="GG118" i="2"/>
  <c r="GO118" i="2"/>
  <c r="FS119" i="2"/>
  <c r="GA119" i="2"/>
  <c r="GI119" i="2"/>
  <c r="GQ119" i="2"/>
  <c r="FR118" i="2"/>
  <c r="FZ118" i="2"/>
  <c r="GH118" i="2"/>
  <c r="GP118" i="2"/>
  <c r="FT119" i="2"/>
  <c r="GB119" i="2"/>
  <c r="GJ119" i="2"/>
  <c r="GR119" i="2"/>
  <c r="FS118" i="2"/>
  <c r="GA118" i="2"/>
  <c r="GI118" i="2"/>
  <c r="GQ118" i="2"/>
  <c r="FU119" i="2"/>
  <c r="GC119" i="2"/>
  <c r="GK119" i="2"/>
  <c r="GS119" i="2"/>
  <c r="FT118" i="2"/>
  <c r="GB118" i="2"/>
  <c r="GJ118" i="2"/>
  <c r="GR118" i="2"/>
  <c r="FV119" i="2"/>
  <c r="GD119" i="2"/>
  <c r="GL119" i="2"/>
  <c r="GT119" i="2"/>
  <c r="FU118" i="2"/>
  <c r="GC118" i="2"/>
  <c r="GK118" i="2"/>
  <c r="GS118" i="2"/>
  <c r="FW119" i="2"/>
  <c r="GE119" i="2"/>
  <c r="GM119" i="2"/>
  <c r="GU119" i="2"/>
  <c r="GL118" i="2"/>
  <c r="FZ119" i="2"/>
  <c r="GM118" i="2"/>
  <c r="GF119" i="2"/>
  <c r="FV118" i="2"/>
  <c r="GN118" i="2"/>
  <c r="GG119" i="2"/>
  <c r="FX119" i="2"/>
  <c r="GF118" i="2"/>
  <c r="FW118" i="2"/>
  <c r="GT118" i="2"/>
  <c r="GH119" i="2"/>
  <c r="FX118" i="2"/>
  <c r="GU118" i="2"/>
  <c r="GN119" i="2"/>
  <c r="GP119" i="2"/>
  <c r="GD118" i="2"/>
  <c r="FR119" i="2"/>
  <c r="GO119" i="2"/>
  <c r="GE118" i="2"/>
  <c r="FY119" i="2"/>
  <c r="BI37" i="2"/>
  <c r="BM37" i="2"/>
  <c r="BQ37" i="2"/>
  <c r="BL38" i="2"/>
  <c r="BP38" i="2"/>
  <c r="BT38" i="2"/>
  <c r="BX38" i="2"/>
  <c r="CB38" i="2"/>
  <c r="CF38" i="2"/>
  <c r="CJ38" i="2"/>
  <c r="BJ37" i="2"/>
  <c r="BN37" i="2"/>
  <c r="BR37" i="2"/>
  <c r="BI38" i="2"/>
  <c r="BM38" i="2"/>
  <c r="BQ38" i="2"/>
  <c r="BU38" i="2"/>
  <c r="BY38" i="2"/>
  <c r="CC38" i="2"/>
  <c r="CG38" i="2"/>
  <c r="CK38" i="2"/>
  <c r="BL37" i="2"/>
  <c r="BK38" i="2"/>
  <c r="BS38" i="2"/>
  <c r="CA38" i="2"/>
  <c r="CI38" i="2"/>
  <c r="BP37" i="2"/>
  <c r="BO38" i="2"/>
  <c r="BW38" i="2"/>
  <c r="CE38" i="2"/>
  <c r="BJ38" i="2"/>
  <c r="BZ38" i="2"/>
  <c r="BO37" i="2"/>
  <c r="BN38" i="2"/>
  <c r="BV38" i="2"/>
  <c r="CD38" i="2"/>
  <c r="CL38" i="2"/>
  <c r="BK37" i="2"/>
  <c r="BR38" i="2"/>
  <c r="CH38" i="2"/>
  <c r="DZ37" i="2"/>
  <c r="EA37" i="2"/>
  <c r="EL37" i="2"/>
  <c r="EP37" i="2"/>
  <c r="ET37" i="2"/>
  <c r="EX37" i="2"/>
  <c r="EM37" i="2"/>
  <c r="EQ37" i="2"/>
  <c r="EU37" i="2"/>
  <c r="EY37" i="2"/>
  <c r="EO37" i="2"/>
  <c r="EW37" i="2"/>
  <c r="EN37" i="2"/>
  <c r="EZ37" i="2"/>
  <c r="ER37" i="2"/>
  <c r="ES37" i="2"/>
  <c r="EV37" i="2"/>
  <c r="H38" i="2"/>
  <c r="I38" i="2"/>
  <c r="DN37" i="2"/>
  <c r="DD37" i="2"/>
  <c r="DE37" i="2"/>
  <c r="DF37" i="2"/>
  <c r="DG37" i="2"/>
  <c r="FF38" i="2" l="1"/>
  <c r="FF91" i="2" s="1"/>
  <c r="FE38" i="2"/>
  <c r="FE91" i="2" s="1"/>
  <c r="FD38" i="2"/>
  <c r="FD91" i="2" s="1"/>
  <c r="FB38" i="2"/>
  <c r="FB91" i="2" s="1"/>
  <c r="FL38" i="2"/>
  <c r="FL91" i="2" s="1"/>
  <c r="FH38" i="2"/>
  <c r="FH91" i="2" s="1"/>
  <c r="FN38" i="2"/>
  <c r="FN91" i="2" s="1"/>
  <c r="HL37" i="2"/>
  <c r="HM37" i="2"/>
  <c r="FK38" i="2"/>
  <c r="FK91" i="2" s="1"/>
  <c r="FM38" i="2"/>
  <c r="FM91" i="2" s="1"/>
  <c r="FJ38" i="2"/>
  <c r="FJ91" i="2" s="1"/>
  <c r="FG38" i="2"/>
  <c r="FG91" i="2" s="1"/>
  <c r="FC38" i="2"/>
  <c r="FC91" i="2" s="1"/>
  <c r="FI38" i="2"/>
  <c r="FI91" i="2" s="1"/>
  <c r="FA38" i="2"/>
  <c r="FA91" i="2" s="1"/>
  <c r="GN120" i="2"/>
  <c r="GC120" i="2"/>
  <c r="FZ120" i="2"/>
  <c r="FU120" i="2"/>
  <c r="GQ120" i="2"/>
  <c r="GI120" i="2"/>
  <c r="FX120" i="2"/>
  <c r="GJ120" i="2"/>
  <c r="FV120" i="2"/>
  <c r="GM120" i="2"/>
  <c r="GU120" i="2"/>
  <c r="FS120" i="2"/>
  <c r="GR120" i="2"/>
  <c r="GO120" i="2"/>
  <c r="GT120" i="2"/>
  <c r="GG120" i="2"/>
  <c r="FW120" i="2"/>
  <c r="GB120" i="2"/>
  <c r="FY120" i="2"/>
  <c r="GD120" i="2"/>
  <c r="FR120" i="2"/>
  <c r="GA120" i="2"/>
  <c r="GL120" i="2"/>
  <c r="GF120" i="2"/>
  <c r="FT120" i="2"/>
  <c r="GE120" i="2"/>
  <c r="GS120" i="2"/>
  <c r="GP120" i="2"/>
  <c r="GK120" i="2"/>
  <c r="GH120" i="2"/>
  <c r="EK38" i="2"/>
  <c r="EK91" i="2" s="1"/>
  <c r="BV37" i="2"/>
  <c r="CA37" i="2"/>
  <c r="CF37" i="2"/>
  <c r="CL37" i="2"/>
  <c r="BW37" i="2"/>
  <c r="CB37" i="2"/>
  <c r="CH37" i="2"/>
  <c r="BT37" i="2"/>
  <c r="CE37" i="2"/>
  <c r="BZ37" i="2"/>
  <c r="CJ37" i="2"/>
  <c r="BS37" i="2"/>
  <c r="BX37" i="2"/>
  <c r="CI37" i="2"/>
  <c r="CD37" i="2"/>
  <c r="BU37" i="2"/>
  <c r="CK37" i="2"/>
  <c r="BY37" i="2"/>
  <c r="CC37" i="2"/>
  <c r="CG37" i="2"/>
  <c r="GY37" i="2"/>
  <c r="GZ37" i="2"/>
  <c r="GW37" i="2"/>
  <c r="HA37" i="2"/>
  <c r="GX37" i="2"/>
  <c r="HB37" i="2"/>
  <c r="H37" i="2"/>
  <c r="EV38" i="2"/>
  <c r="EV91" i="2" s="1"/>
  <c r="EW38" i="2"/>
  <c r="EW91" i="2" s="1"/>
  <c r="EU38" i="2"/>
  <c r="EU91" i="2" s="1"/>
  <c r="EX38" i="2"/>
  <c r="EX91" i="2" s="1"/>
  <c r="ER38" i="2"/>
  <c r="ER91" i="2" s="1"/>
  <c r="EO38" i="2"/>
  <c r="EO91" i="2" s="1"/>
  <c r="EQ38" i="2"/>
  <c r="EQ91" i="2" s="1"/>
  <c r="ET38" i="2"/>
  <c r="ET91" i="2" s="1"/>
  <c r="EZ38" i="2"/>
  <c r="EZ91" i="2" s="1"/>
  <c r="EP38" i="2"/>
  <c r="EP91" i="2" s="1"/>
  <c r="ES38" i="2"/>
  <c r="ES91" i="2" s="1"/>
  <c r="EN38" i="2"/>
  <c r="EN91" i="2" s="1"/>
  <c r="EY38" i="2"/>
  <c r="EY91" i="2" s="1"/>
  <c r="DM37" i="2"/>
  <c r="E34" i="2"/>
  <c r="AW33" i="2" s="1"/>
  <c r="E32" i="2"/>
  <c r="AW31" i="2" s="1"/>
  <c r="E30" i="2"/>
  <c r="AW29" i="2" s="1"/>
  <c r="E28" i="2"/>
  <c r="AW27" i="2" s="1"/>
  <c r="E26" i="2"/>
  <c r="AW25" i="2" s="1"/>
  <c r="E24" i="2"/>
  <c r="AW23" i="2" s="1"/>
  <c r="E22" i="2"/>
  <c r="AW21" i="2" s="1"/>
  <c r="E36" i="2"/>
  <c r="AW35" i="2" s="1"/>
  <c r="E40" i="2"/>
  <c r="AW39" i="2" s="1"/>
  <c r="E42" i="2"/>
  <c r="AW41" i="2" s="1"/>
  <c r="E44" i="2"/>
  <c r="AW43" i="2" s="1"/>
  <c r="E46" i="2"/>
  <c r="AW45" i="2" s="1"/>
  <c r="E48" i="2"/>
  <c r="AW47" i="2" s="1"/>
  <c r="E50" i="2"/>
  <c r="AW49" i="2" s="1"/>
  <c r="E52" i="2"/>
  <c r="AW51" i="2" s="1"/>
  <c r="E54" i="2"/>
  <c r="AW53" i="2" s="1"/>
  <c r="E56" i="2"/>
  <c r="AW55" i="2" s="1"/>
  <c r="E58" i="2"/>
  <c r="AW57" i="2" s="1"/>
  <c r="E60" i="2"/>
  <c r="E62" i="2"/>
  <c r="E64" i="2"/>
  <c r="E66" i="2"/>
  <c r="E68" i="2"/>
  <c r="E20" i="2"/>
  <c r="AW19" i="2" s="1"/>
  <c r="G47" i="2"/>
  <c r="G53" i="2"/>
  <c r="G55" i="2"/>
  <c r="G57" i="2"/>
  <c r="G59" i="2"/>
  <c r="G61" i="2"/>
  <c r="G63" i="2"/>
  <c r="G65" i="2"/>
  <c r="G67" i="2"/>
  <c r="G19" i="2"/>
  <c r="I11" i="2"/>
  <c r="I10" i="2"/>
  <c r="CR21" i="2"/>
  <c r="CR25" i="2"/>
  <c r="CR27" i="2"/>
  <c r="CR29" i="2"/>
  <c r="CR19" i="2"/>
  <c r="Q15" i="2" a="1"/>
  <c r="HN37" i="2" l="1"/>
  <c r="FD55" i="2"/>
  <c r="FH55" i="2"/>
  <c r="FE55" i="2"/>
  <c r="FF55" i="2"/>
  <c r="HK55" i="2"/>
  <c r="FG55" i="2"/>
  <c r="FI55" i="2"/>
  <c r="FA55" i="2"/>
  <c r="FJ55" i="2"/>
  <c r="FK55" i="2"/>
  <c r="FL55" i="2"/>
  <c r="FM55" i="2"/>
  <c r="FN55" i="2"/>
  <c r="FB55" i="2"/>
  <c r="FC55" i="2"/>
  <c r="FG53" i="2"/>
  <c r="FJ53" i="2"/>
  <c r="FL53" i="2"/>
  <c r="FH53" i="2"/>
  <c r="FI53" i="2"/>
  <c r="FK53" i="2"/>
  <c r="FA53" i="2"/>
  <c r="FB53" i="2"/>
  <c r="FC53" i="2"/>
  <c r="FD53" i="2"/>
  <c r="FE53" i="2"/>
  <c r="FF53" i="2"/>
  <c r="FM53" i="2"/>
  <c r="HK53" i="2"/>
  <c r="FN53" i="2"/>
  <c r="FK47" i="2"/>
  <c r="FC47" i="2"/>
  <c r="FL47" i="2"/>
  <c r="FA47" i="2"/>
  <c r="FM47" i="2"/>
  <c r="HK47" i="2"/>
  <c r="FB47" i="2"/>
  <c r="FN47" i="2"/>
  <c r="FD47" i="2"/>
  <c r="FE47" i="2"/>
  <c r="FF47" i="2"/>
  <c r="FG47" i="2"/>
  <c r="FH47" i="2"/>
  <c r="FJ47" i="2"/>
  <c r="FI47" i="2"/>
  <c r="FC43" i="2"/>
  <c r="FD43" i="2"/>
  <c r="FE43" i="2"/>
  <c r="FF43" i="2"/>
  <c r="FG43" i="2"/>
  <c r="FH43" i="2"/>
  <c r="FL43" i="2"/>
  <c r="FA43" i="2"/>
  <c r="FB43" i="2"/>
  <c r="FJ43" i="2"/>
  <c r="FK43" i="2"/>
  <c r="FM43" i="2"/>
  <c r="FN43" i="2"/>
  <c r="FI43" i="2"/>
  <c r="HK43" i="2"/>
  <c r="FJ51" i="2"/>
  <c r="FN51" i="2"/>
  <c r="FK51" i="2"/>
  <c r="FL51" i="2"/>
  <c r="FA51" i="2"/>
  <c r="FM51" i="2"/>
  <c r="FB51" i="2"/>
  <c r="FC51" i="2"/>
  <c r="FG51" i="2"/>
  <c r="HK51" i="2"/>
  <c r="FD51" i="2"/>
  <c r="FE51" i="2"/>
  <c r="FH51" i="2"/>
  <c r="FI51" i="2"/>
  <c r="FF51" i="2"/>
  <c r="FK57" i="2"/>
  <c r="FB57" i="2"/>
  <c r="FD57" i="2"/>
  <c r="FL57" i="2"/>
  <c r="FA57" i="2"/>
  <c r="FM57" i="2"/>
  <c r="FN57" i="2"/>
  <c r="FC57" i="2"/>
  <c r="FJ57" i="2"/>
  <c r="FG57" i="2"/>
  <c r="HK57" i="2"/>
  <c r="FF57" i="2"/>
  <c r="FH57" i="2"/>
  <c r="FI57" i="2"/>
  <c r="FE57" i="2"/>
  <c r="FA49" i="2"/>
  <c r="FM49" i="2"/>
  <c r="FD49" i="2"/>
  <c r="FB49" i="2"/>
  <c r="FN49" i="2"/>
  <c r="FC49" i="2"/>
  <c r="FE49" i="2"/>
  <c r="FF49" i="2"/>
  <c r="FG49" i="2"/>
  <c r="HK49" i="2"/>
  <c r="FH49" i="2"/>
  <c r="FI49" i="2"/>
  <c r="FJ49" i="2"/>
  <c r="FK49" i="2"/>
  <c r="FL49" i="2"/>
  <c r="FI45" i="2"/>
  <c r="FN45" i="2"/>
  <c r="FJ45" i="2"/>
  <c r="FK45" i="2"/>
  <c r="FL45" i="2"/>
  <c r="FA45" i="2"/>
  <c r="FM45" i="2"/>
  <c r="FB45" i="2"/>
  <c r="FC45" i="2"/>
  <c r="FD45" i="2"/>
  <c r="FE45" i="2"/>
  <c r="FF45" i="2"/>
  <c r="FG45" i="2"/>
  <c r="FH45" i="2"/>
  <c r="HK45" i="2"/>
  <c r="FL41" i="2"/>
  <c r="FA41" i="2"/>
  <c r="FM41" i="2"/>
  <c r="FB41" i="2"/>
  <c r="FN41" i="2"/>
  <c r="FC41" i="2"/>
  <c r="FD41" i="2"/>
  <c r="FE41" i="2"/>
  <c r="FI41" i="2"/>
  <c r="FG41" i="2"/>
  <c r="FH41" i="2"/>
  <c r="FJ41" i="2"/>
  <c r="FK41" i="2"/>
  <c r="HK41" i="2"/>
  <c r="FF41" i="2"/>
  <c r="FH39" i="2"/>
  <c r="HK39" i="2"/>
  <c r="FA39" i="2"/>
  <c r="FI39" i="2"/>
  <c r="FJ39" i="2"/>
  <c r="FK39" i="2"/>
  <c r="FL39" i="2"/>
  <c r="FM39" i="2"/>
  <c r="FN39" i="2"/>
  <c r="FE39" i="2"/>
  <c r="FB39" i="2"/>
  <c r="FD39" i="2"/>
  <c r="FF39" i="2"/>
  <c r="FG39" i="2"/>
  <c r="FC39" i="2"/>
  <c r="FA35" i="2"/>
  <c r="FM35" i="2"/>
  <c r="FB35" i="2"/>
  <c r="FN35" i="2"/>
  <c r="FC35" i="2"/>
  <c r="FD35" i="2"/>
  <c r="FE35" i="2"/>
  <c r="FF35" i="2"/>
  <c r="FG35" i="2"/>
  <c r="HK35" i="2"/>
  <c r="FH35" i="2"/>
  <c r="FI35" i="2"/>
  <c r="FJ35" i="2"/>
  <c r="FK35" i="2"/>
  <c r="FL35" i="2"/>
  <c r="FA33" i="2"/>
  <c r="FM33" i="2"/>
  <c r="FC33" i="2"/>
  <c r="FL33" i="2"/>
  <c r="FB33" i="2"/>
  <c r="FN33" i="2"/>
  <c r="HK33" i="2"/>
  <c r="FD33" i="2"/>
  <c r="FE33" i="2"/>
  <c r="FG33" i="2"/>
  <c r="FH33" i="2"/>
  <c r="FJ33" i="2"/>
  <c r="FK33" i="2"/>
  <c r="FF33" i="2"/>
  <c r="FI33" i="2"/>
  <c r="FA31" i="2"/>
  <c r="FM31" i="2"/>
  <c r="FB31" i="2"/>
  <c r="FN31" i="2"/>
  <c r="FC31" i="2"/>
  <c r="FJ31" i="2"/>
  <c r="FK31" i="2"/>
  <c r="FI31" i="2"/>
  <c r="FD31" i="2"/>
  <c r="FG31" i="2"/>
  <c r="FH31" i="2"/>
  <c r="FL31" i="2"/>
  <c r="FE31" i="2"/>
  <c r="FF31" i="2"/>
  <c r="HK31" i="2"/>
  <c r="FA29" i="2"/>
  <c r="FM29" i="2"/>
  <c r="FB29" i="2"/>
  <c r="FN29" i="2"/>
  <c r="FC29" i="2"/>
  <c r="FD29" i="2"/>
  <c r="FE29" i="2"/>
  <c r="FF29" i="2"/>
  <c r="FG29" i="2"/>
  <c r="FH29" i="2"/>
  <c r="FI29" i="2"/>
  <c r="FJ29" i="2"/>
  <c r="FK29" i="2"/>
  <c r="FL29" i="2"/>
  <c r="HK29" i="2"/>
  <c r="FA27" i="2"/>
  <c r="FM27" i="2"/>
  <c r="FE27" i="2"/>
  <c r="FF27" i="2"/>
  <c r="FG27" i="2"/>
  <c r="FH27" i="2"/>
  <c r="FI27" i="2"/>
  <c r="FL27" i="2"/>
  <c r="FB27" i="2"/>
  <c r="FN27" i="2"/>
  <c r="FC27" i="2"/>
  <c r="FD27" i="2"/>
  <c r="HK27" i="2"/>
  <c r="FJ27" i="2"/>
  <c r="FK27" i="2"/>
  <c r="HK25" i="2"/>
  <c r="HL25" i="2" s="1"/>
  <c r="FA25" i="2"/>
  <c r="FM25" i="2"/>
  <c r="FB25" i="2"/>
  <c r="FN25" i="2"/>
  <c r="FC25" i="2"/>
  <c r="FD25" i="2"/>
  <c r="FE25" i="2"/>
  <c r="FF25" i="2"/>
  <c r="FG25" i="2"/>
  <c r="FH25" i="2"/>
  <c r="FI25" i="2"/>
  <c r="FJ25" i="2"/>
  <c r="FK25" i="2"/>
  <c r="FL25" i="2"/>
  <c r="HK23" i="2"/>
  <c r="HL23" i="2" s="1"/>
  <c r="FA23" i="2"/>
  <c r="FM23" i="2"/>
  <c r="FB23" i="2"/>
  <c r="FN23" i="2"/>
  <c r="FC23" i="2"/>
  <c r="FD23" i="2"/>
  <c r="FE23" i="2"/>
  <c r="FH23" i="2"/>
  <c r="FI23" i="2"/>
  <c r="FK23" i="2"/>
  <c r="FF23" i="2"/>
  <c r="FG23" i="2"/>
  <c r="FJ23" i="2"/>
  <c r="FL23" i="2"/>
  <c r="HK21" i="2"/>
  <c r="HL21" i="2" s="1"/>
  <c r="FA21" i="2"/>
  <c r="FM21" i="2"/>
  <c r="FB21" i="2"/>
  <c r="FN21" i="2"/>
  <c r="FC21" i="2"/>
  <c r="FD21" i="2"/>
  <c r="FE21" i="2"/>
  <c r="FF21" i="2"/>
  <c r="FG21" i="2"/>
  <c r="FH21" i="2"/>
  <c r="FI21" i="2"/>
  <c r="FJ21" i="2"/>
  <c r="FK21" i="2"/>
  <c r="FL21" i="2"/>
  <c r="HK19" i="2"/>
  <c r="HL19" i="2" s="1"/>
  <c r="FM19" i="2"/>
  <c r="FN19" i="2"/>
  <c r="FC19" i="2"/>
  <c r="FB19" i="2"/>
  <c r="FD19" i="2"/>
  <c r="FG19" i="2"/>
  <c r="FH19" i="2"/>
  <c r="FI19" i="2"/>
  <c r="FJ19" i="2"/>
  <c r="FK19" i="2"/>
  <c r="FE19" i="2"/>
  <c r="FF19" i="2"/>
  <c r="FL19" i="2"/>
  <c r="FP120" i="2"/>
  <c r="FQ120" i="2" s="1"/>
  <c r="HM23" i="2"/>
  <c r="DL65" i="2"/>
  <c r="DK65" i="2"/>
  <c r="DL63" i="2"/>
  <c r="DK63" i="2"/>
  <c r="DK61" i="2"/>
  <c r="DL61" i="2"/>
  <c r="DK55" i="2"/>
  <c r="DL55" i="2"/>
  <c r="HI55" i="2"/>
  <c r="EK55" i="2"/>
  <c r="EK49" i="2"/>
  <c r="HI49" i="2"/>
  <c r="DK49" i="2"/>
  <c r="DL49" i="2"/>
  <c r="EK47" i="2"/>
  <c r="HI47" i="2"/>
  <c r="DK47" i="2"/>
  <c r="DL47" i="2"/>
  <c r="DL41" i="2"/>
  <c r="DK41" i="2"/>
  <c r="DK25" i="2"/>
  <c r="DL25" i="2"/>
  <c r="DK27" i="2"/>
  <c r="DL27" i="2"/>
  <c r="EK51" i="2"/>
  <c r="HI51" i="2"/>
  <c r="DK51" i="2"/>
  <c r="DL51" i="2"/>
  <c r="DL29" i="2"/>
  <c r="DK29" i="2"/>
  <c r="DK33" i="2"/>
  <c r="DL33" i="2"/>
  <c r="DK45" i="2"/>
  <c r="HI45" i="2"/>
  <c r="DL45" i="2"/>
  <c r="EK45" i="2"/>
  <c r="DK39" i="2"/>
  <c r="DL39" i="2"/>
  <c r="DK35" i="2"/>
  <c r="DL35" i="2"/>
  <c r="DL59" i="2"/>
  <c r="DK59" i="2"/>
  <c r="DK57" i="2"/>
  <c r="DL57" i="2"/>
  <c r="HI57" i="2"/>
  <c r="EK57" i="2"/>
  <c r="DL53" i="2"/>
  <c r="EK53" i="2"/>
  <c r="HI53" i="2"/>
  <c r="DK53" i="2"/>
  <c r="DK31" i="2"/>
  <c r="DL31" i="2"/>
  <c r="DL67" i="2"/>
  <c r="DK67" i="2"/>
  <c r="DK43" i="2"/>
  <c r="DL43" i="2"/>
  <c r="DK23" i="2"/>
  <c r="DL23" i="2"/>
  <c r="DK21" i="2"/>
  <c r="DL21" i="2"/>
  <c r="DK19" i="2"/>
  <c r="DL19" i="2"/>
  <c r="Q15" i="2"/>
  <c r="HI43" i="2"/>
  <c r="EK43" i="2"/>
  <c r="HI41" i="2"/>
  <c r="EK41" i="2"/>
  <c r="HI39" i="2"/>
  <c r="EK39" i="2"/>
  <c r="HI35" i="2"/>
  <c r="EK35" i="2"/>
  <c r="HI33" i="2"/>
  <c r="EK33" i="2"/>
  <c r="HI31" i="2"/>
  <c r="EK31" i="2"/>
  <c r="EK29" i="2"/>
  <c r="HI29" i="2"/>
  <c r="HI27" i="2"/>
  <c r="EK27" i="2"/>
  <c r="HI25" i="2"/>
  <c r="EK25" i="2"/>
  <c r="EK23" i="2"/>
  <c r="HI23" i="2"/>
  <c r="EK19" i="2"/>
  <c r="HI19" i="2"/>
  <c r="EK21" i="2"/>
  <c r="HI21" i="2"/>
  <c r="FU133" i="2"/>
  <c r="GC133" i="2"/>
  <c r="GK133" i="2"/>
  <c r="GS133" i="2"/>
  <c r="FW134" i="2"/>
  <c r="GE134" i="2"/>
  <c r="GM134" i="2"/>
  <c r="GU134" i="2"/>
  <c r="FV133" i="2"/>
  <c r="GD133" i="2"/>
  <c r="GL133" i="2"/>
  <c r="GT133" i="2"/>
  <c r="FX134" i="2"/>
  <c r="GF134" i="2"/>
  <c r="GN134" i="2"/>
  <c r="FW133" i="2"/>
  <c r="GE133" i="2"/>
  <c r="GM133" i="2"/>
  <c r="GU133" i="2"/>
  <c r="FY134" i="2"/>
  <c r="GG134" i="2"/>
  <c r="GO134" i="2"/>
  <c r="FX133" i="2"/>
  <c r="GF133" i="2"/>
  <c r="GN133" i="2"/>
  <c r="FR134" i="2"/>
  <c r="FZ134" i="2"/>
  <c r="GH134" i="2"/>
  <c r="GP134" i="2"/>
  <c r="FY133" i="2"/>
  <c r="GG133" i="2"/>
  <c r="GO133" i="2"/>
  <c r="FS134" i="2"/>
  <c r="GA134" i="2"/>
  <c r="GI134" i="2"/>
  <c r="GQ134" i="2"/>
  <c r="GA133" i="2"/>
  <c r="FT134" i="2"/>
  <c r="GL134" i="2"/>
  <c r="GB133" i="2"/>
  <c r="FU134" i="2"/>
  <c r="GR134" i="2"/>
  <c r="GR133" i="2"/>
  <c r="GH133" i="2"/>
  <c r="FV134" i="2"/>
  <c r="GS134" i="2"/>
  <c r="GQ133" i="2"/>
  <c r="FZ133" i="2"/>
  <c r="GI133" i="2"/>
  <c r="GB134" i="2"/>
  <c r="GT134" i="2"/>
  <c r="GK134" i="2"/>
  <c r="FR133" i="2"/>
  <c r="GJ133" i="2"/>
  <c r="GC134" i="2"/>
  <c r="FT133" i="2"/>
  <c r="FS133" i="2"/>
  <c r="GP133" i="2"/>
  <c r="GD134" i="2"/>
  <c r="GJ134" i="2"/>
  <c r="FV168" i="2"/>
  <c r="GD168" i="2"/>
  <c r="GL168" i="2"/>
  <c r="GT168" i="2"/>
  <c r="FX169" i="2"/>
  <c r="GF169" i="2"/>
  <c r="GN169" i="2"/>
  <c r="GR168" i="2"/>
  <c r="GM169" i="2"/>
  <c r="FW168" i="2"/>
  <c r="GE168" i="2"/>
  <c r="GM168" i="2"/>
  <c r="GU168" i="2"/>
  <c r="FY169" i="2"/>
  <c r="GG169" i="2"/>
  <c r="GO169" i="2"/>
  <c r="GP169" i="2"/>
  <c r="FT168" i="2"/>
  <c r="FU168" i="2"/>
  <c r="GU169" i="2"/>
  <c r="FX168" i="2"/>
  <c r="GF168" i="2"/>
  <c r="GN168" i="2"/>
  <c r="FR169" i="2"/>
  <c r="FZ169" i="2"/>
  <c r="GH169" i="2"/>
  <c r="GL169" i="2"/>
  <c r="GK168" i="2"/>
  <c r="FY168" i="2"/>
  <c r="GG168" i="2"/>
  <c r="GO168" i="2"/>
  <c r="FS169" i="2"/>
  <c r="GA169" i="2"/>
  <c r="GI169" i="2"/>
  <c r="GQ169" i="2"/>
  <c r="GR169" i="2"/>
  <c r="GK169" i="2"/>
  <c r="GB168" i="2"/>
  <c r="GD169" i="2"/>
  <c r="GS168" i="2"/>
  <c r="FR168" i="2"/>
  <c r="FZ168" i="2"/>
  <c r="GH168" i="2"/>
  <c r="GP168" i="2"/>
  <c r="FT169" i="2"/>
  <c r="GB169" i="2"/>
  <c r="GJ169" i="2"/>
  <c r="FU169" i="2"/>
  <c r="GS169" i="2"/>
  <c r="GJ168" i="2"/>
  <c r="GT169" i="2"/>
  <c r="GC168" i="2"/>
  <c r="GE169" i="2"/>
  <c r="FS168" i="2"/>
  <c r="GA168" i="2"/>
  <c r="GI168" i="2"/>
  <c r="GQ168" i="2"/>
  <c r="GC169" i="2"/>
  <c r="FV169" i="2"/>
  <c r="FW169" i="2"/>
  <c r="FY128" i="2"/>
  <c r="GG128" i="2"/>
  <c r="GO128" i="2"/>
  <c r="FS129" i="2"/>
  <c r="GA129" i="2"/>
  <c r="GI129" i="2"/>
  <c r="GQ129" i="2"/>
  <c r="FR128" i="2"/>
  <c r="FZ128" i="2"/>
  <c r="GH128" i="2"/>
  <c r="GP128" i="2"/>
  <c r="FT129" i="2"/>
  <c r="GB129" i="2"/>
  <c r="GJ129" i="2"/>
  <c r="GR129" i="2"/>
  <c r="FS128" i="2"/>
  <c r="GA128" i="2"/>
  <c r="GI128" i="2"/>
  <c r="GQ128" i="2"/>
  <c r="FU129" i="2"/>
  <c r="GC129" i="2"/>
  <c r="GK129" i="2"/>
  <c r="GS129" i="2"/>
  <c r="FT128" i="2"/>
  <c r="GB128" i="2"/>
  <c r="GJ128" i="2"/>
  <c r="GR128" i="2"/>
  <c r="FV129" i="2"/>
  <c r="GD129" i="2"/>
  <c r="GL129" i="2"/>
  <c r="GT129" i="2"/>
  <c r="FU128" i="2"/>
  <c r="GC128" i="2"/>
  <c r="GK128" i="2"/>
  <c r="GS128" i="2"/>
  <c r="FW129" i="2"/>
  <c r="GE129" i="2"/>
  <c r="GM129" i="2"/>
  <c r="GU129" i="2"/>
  <c r="FW128" i="2"/>
  <c r="GT128" i="2"/>
  <c r="GH129" i="2"/>
  <c r="GF129" i="2"/>
  <c r="FX128" i="2"/>
  <c r="GU128" i="2"/>
  <c r="GN129" i="2"/>
  <c r="GD128" i="2"/>
  <c r="FR129" i="2"/>
  <c r="GO129" i="2"/>
  <c r="GE128" i="2"/>
  <c r="FX129" i="2"/>
  <c r="GP129" i="2"/>
  <c r="GM128" i="2"/>
  <c r="FV128" i="2"/>
  <c r="GF128" i="2"/>
  <c r="FY129" i="2"/>
  <c r="GN128" i="2"/>
  <c r="GL128" i="2"/>
  <c r="FZ129" i="2"/>
  <c r="GG129" i="2"/>
  <c r="FR103" i="2"/>
  <c r="FS103" i="2"/>
  <c r="FT103" i="2"/>
  <c r="FU103" i="2"/>
  <c r="GC103" i="2"/>
  <c r="GK103" i="2"/>
  <c r="GS103" i="2"/>
  <c r="FW104" i="2"/>
  <c r="GE104" i="2"/>
  <c r="GM104" i="2"/>
  <c r="GU104" i="2"/>
  <c r="FV103" i="2"/>
  <c r="GD103" i="2"/>
  <c r="GL103" i="2"/>
  <c r="GT103" i="2"/>
  <c r="FX104" i="2"/>
  <c r="GF104" i="2"/>
  <c r="GN104" i="2"/>
  <c r="FW103" i="2"/>
  <c r="GE103" i="2"/>
  <c r="GM103" i="2"/>
  <c r="GU103" i="2"/>
  <c r="FY104" i="2"/>
  <c r="GG104" i="2"/>
  <c r="GO104" i="2"/>
  <c r="FX103" i="2"/>
  <c r="GF103" i="2"/>
  <c r="GN103" i="2"/>
  <c r="FR104" i="2"/>
  <c r="FZ104" i="2"/>
  <c r="GH104" i="2"/>
  <c r="GP104" i="2"/>
  <c r="FY103" i="2"/>
  <c r="GG103" i="2"/>
  <c r="GO103" i="2"/>
  <c r="FS104" i="2"/>
  <c r="GA104" i="2"/>
  <c r="GI104" i="2"/>
  <c r="GQ104" i="2"/>
  <c r="FZ103" i="2"/>
  <c r="GR103" i="2"/>
  <c r="GK104" i="2"/>
  <c r="GQ103" i="2"/>
  <c r="GA103" i="2"/>
  <c r="FT104" i="2"/>
  <c r="GL104" i="2"/>
  <c r="GJ104" i="2"/>
  <c r="GB103" i="2"/>
  <c r="FU104" i="2"/>
  <c r="GR104" i="2"/>
  <c r="GD104" i="2"/>
  <c r="GH103" i="2"/>
  <c r="FV104" i="2"/>
  <c r="GS104" i="2"/>
  <c r="GI103" i="2"/>
  <c r="GB104" i="2"/>
  <c r="GT104" i="2"/>
  <c r="GJ103" i="2"/>
  <c r="GC104" i="2"/>
  <c r="GP103" i="2"/>
  <c r="FR163" i="2"/>
  <c r="FZ163" i="2"/>
  <c r="GH163" i="2"/>
  <c r="GP163" i="2"/>
  <c r="FT164" i="2"/>
  <c r="GB164" i="2"/>
  <c r="GJ164" i="2"/>
  <c r="GR164" i="2"/>
  <c r="FR164" i="2"/>
  <c r="GG163" i="2"/>
  <c r="GQ164" i="2"/>
  <c r="FS163" i="2"/>
  <c r="GA163" i="2"/>
  <c r="GI163" i="2"/>
  <c r="GQ163" i="2"/>
  <c r="FU164" i="2"/>
  <c r="GC164" i="2"/>
  <c r="GK164" i="2"/>
  <c r="GS164" i="2"/>
  <c r="FY163" i="2"/>
  <c r="FT163" i="2"/>
  <c r="GB163" i="2"/>
  <c r="GJ163" i="2"/>
  <c r="GR163" i="2"/>
  <c r="FV164" i="2"/>
  <c r="GD164" i="2"/>
  <c r="GL164" i="2"/>
  <c r="GT164" i="2"/>
  <c r="GF163" i="2"/>
  <c r="GP164" i="2"/>
  <c r="GO163" i="2"/>
  <c r="FU163" i="2"/>
  <c r="GC163" i="2"/>
  <c r="GK163" i="2"/>
  <c r="GS163" i="2"/>
  <c r="FW164" i="2"/>
  <c r="GE164" i="2"/>
  <c r="GM164" i="2"/>
  <c r="GU164" i="2"/>
  <c r="FZ164" i="2"/>
  <c r="GA164" i="2"/>
  <c r="FV163" i="2"/>
  <c r="GD163" i="2"/>
  <c r="GL163" i="2"/>
  <c r="GT163" i="2"/>
  <c r="FX164" i="2"/>
  <c r="GF164" i="2"/>
  <c r="GN164" i="2"/>
  <c r="GN163" i="2"/>
  <c r="FS164" i="2"/>
  <c r="FW163" i="2"/>
  <c r="GE163" i="2"/>
  <c r="GM163" i="2"/>
  <c r="GU163" i="2"/>
  <c r="FY164" i="2"/>
  <c r="GG164" i="2"/>
  <c r="GO164" i="2"/>
  <c r="FX163" i="2"/>
  <c r="GH164" i="2"/>
  <c r="GI164" i="2"/>
  <c r="FU123" i="2"/>
  <c r="GC123" i="2"/>
  <c r="GK123" i="2"/>
  <c r="GS123" i="2"/>
  <c r="FW124" i="2"/>
  <c r="GE124" i="2"/>
  <c r="GM124" i="2"/>
  <c r="GU124" i="2"/>
  <c r="FV123" i="2"/>
  <c r="GD123" i="2"/>
  <c r="GL123" i="2"/>
  <c r="GT123" i="2"/>
  <c r="FX124" i="2"/>
  <c r="GF124" i="2"/>
  <c r="GN124" i="2"/>
  <c r="FW123" i="2"/>
  <c r="GE123" i="2"/>
  <c r="GM123" i="2"/>
  <c r="GU123" i="2"/>
  <c r="FY124" i="2"/>
  <c r="GG124" i="2"/>
  <c r="GO124" i="2"/>
  <c r="FX123" i="2"/>
  <c r="GF123" i="2"/>
  <c r="GN123" i="2"/>
  <c r="FR124" i="2"/>
  <c r="FZ124" i="2"/>
  <c r="GH124" i="2"/>
  <c r="GP124" i="2"/>
  <c r="FY123" i="2"/>
  <c r="GG123" i="2"/>
  <c r="GO123" i="2"/>
  <c r="FS124" i="2"/>
  <c r="GA124" i="2"/>
  <c r="GI124" i="2"/>
  <c r="GQ124" i="2"/>
  <c r="FS123" i="2"/>
  <c r="GP123" i="2"/>
  <c r="GD124" i="2"/>
  <c r="GC124" i="2"/>
  <c r="FT123" i="2"/>
  <c r="GQ123" i="2"/>
  <c r="GJ124" i="2"/>
  <c r="GT124" i="2"/>
  <c r="FR123" i="2"/>
  <c r="FZ123" i="2"/>
  <c r="GR123" i="2"/>
  <c r="GK124" i="2"/>
  <c r="GI123" i="2"/>
  <c r="GA123" i="2"/>
  <c r="FT124" i="2"/>
  <c r="GL124" i="2"/>
  <c r="GB123" i="2"/>
  <c r="FU124" i="2"/>
  <c r="GR124" i="2"/>
  <c r="GJ123" i="2"/>
  <c r="GH123" i="2"/>
  <c r="FV124" i="2"/>
  <c r="GS124" i="2"/>
  <c r="GB124" i="2"/>
  <c r="FY108" i="2"/>
  <c r="GG108" i="2"/>
  <c r="GO108" i="2"/>
  <c r="FR108" i="2"/>
  <c r="FZ108" i="2"/>
  <c r="GH108" i="2"/>
  <c r="GP108" i="2"/>
  <c r="FS108" i="2"/>
  <c r="GA108" i="2"/>
  <c r="GI108" i="2"/>
  <c r="GQ108" i="2"/>
  <c r="FT108" i="2"/>
  <c r="GB108" i="2"/>
  <c r="GJ108" i="2"/>
  <c r="GR108" i="2"/>
  <c r="FU108" i="2"/>
  <c r="GC108" i="2"/>
  <c r="GK108" i="2"/>
  <c r="GS108" i="2"/>
  <c r="GD108" i="2"/>
  <c r="GT108" i="2"/>
  <c r="GE108" i="2"/>
  <c r="GF108" i="2"/>
  <c r="GL108" i="2"/>
  <c r="FW108" i="2"/>
  <c r="FX108" i="2"/>
  <c r="GM108" i="2"/>
  <c r="FV108" i="2"/>
  <c r="GN108" i="2"/>
  <c r="GU108" i="2"/>
  <c r="FY158" i="2"/>
  <c r="GG158" i="2"/>
  <c r="FR158" i="2"/>
  <c r="FZ158" i="2"/>
  <c r="GH158" i="2"/>
  <c r="FS158" i="2"/>
  <c r="GA158" i="2"/>
  <c r="FT158" i="2"/>
  <c r="FU158" i="2"/>
  <c r="GC158" i="2"/>
  <c r="FX158" i="2"/>
  <c r="GL158" i="2"/>
  <c r="GT158" i="2"/>
  <c r="FX159" i="2"/>
  <c r="GF159" i="2"/>
  <c r="GN159" i="2"/>
  <c r="FV159" i="2"/>
  <c r="GS158" i="2"/>
  <c r="GB158" i="2"/>
  <c r="GM158" i="2"/>
  <c r="GU158" i="2"/>
  <c r="FY159" i="2"/>
  <c r="GG159" i="2"/>
  <c r="GO159" i="2"/>
  <c r="GT159" i="2"/>
  <c r="GK158" i="2"/>
  <c r="GD158" i="2"/>
  <c r="GN158" i="2"/>
  <c r="FR159" i="2"/>
  <c r="FZ159" i="2"/>
  <c r="GH159" i="2"/>
  <c r="GP159" i="2"/>
  <c r="GE159" i="2"/>
  <c r="GE158" i="2"/>
  <c r="GO158" i="2"/>
  <c r="FS159" i="2"/>
  <c r="GA159" i="2"/>
  <c r="GI159" i="2"/>
  <c r="GQ159" i="2"/>
  <c r="GR158" i="2"/>
  <c r="GD159" i="2"/>
  <c r="GU159" i="2"/>
  <c r="GF158" i="2"/>
  <c r="GP158" i="2"/>
  <c r="FT159" i="2"/>
  <c r="GB159" i="2"/>
  <c r="GJ159" i="2"/>
  <c r="GR159" i="2"/>
  <c r="GJ158" i="2"/>
  <c r="GL159" i="2"/>
  <c r="FW158" i="2"/>
  <c r="GM159" i="2"/>
  <c r="GI158" i="2"/>
  <c r="GQ158" i="2"/>
  <c r="FU159" i="2"/>
  <c r="GC159" i="2"/>
  <c r="GK159" i="2"/>
  <c r="GS159" i="2"/>
  <c r="FV158" i="2"/>
  <c r="FW159" i="2"/>
  <c r="FU113" i="2"/>
  <c r="GC113" i="2"/>
  <c r="GK113" i="2"/>
  <c r="GS113" i="2"/>
  <c r="FW114" i="2"/>
  <c r="GE114" i="2"/>
  <c r="GM114" i="2"/>
  <c r="GU114" i="2"/>
  <c r="FV113" i="2"/>
  <c r="GD113" i="2"/>
  <c r="GL113" i="2"/>
  <c r="GT113" i="2"/>
  <c r="FX114" i="2"/>
  <c r="GF114" i="2"/>
  <c r="GN114" i="2"/>
  <c r="FW113" i="2"/>
  <c r="GE113" i="2"/>
  <c r="GM113" i="2"/>
  <c r="GU113" i="2"/>
  <c r="FY114" i="2"/>
  <c r="GG114" i="2"/>
  <c r="GO114" i="2"/>
  <c r="FX113" i="2"/>
  <c r="GF113" i="2"/>
  <c r="GN113" i="2"/>
  <c r="FR114" i="2"/>
  <c r="FZ114" i="2"/>
  <c r="GH114" i="2"/>
  <c r="GP114" i="2"/>
  <c r="FY113" i="2"/>
  <c r="GG113" i="2"/>
  <c r="GO113" i="2"/>
  <c r="FS114" i="2"/>
  <c r="GA114" i="2"/>
  <c r="GI114" i="2"/>
  <c r="GQ114" i="2"/>
  <c r="GH113" i="2"/>
  <c r="FV114" i="2"/>
  <c r="GS114" i="2"/>
  <c r="GI113" i="2"/>
  <c r="GB114" i="2"/>
  <c r="GT114" i="2"/>
  <c r="FR113" i="2"/>
  <c r="GJ113" i="2"/>
  <c r="GC114" i="2"/>
  <c r="GL114" i="2"/>
  <c r="FS113" i="2"/>
  <c r="GP113" i="2"/>
  <c r="GD114" i="2"/>
  <c r="GR114" i="2"/>
  <c r="FT113" i="2"/>
  <c r="GQ113" i="2"/>
  <c r="GJ114" i="2"/>
  <c r="GA113" i="2"/>
  <c r="GB113" i="2"/>
  <c r="FU114" i="2"/>
  <c r="FZ113" i="2"/>
  <c r="GR113" i="2"/>
  <c r="GK114" i="2"/>
  <c r="FT114" i="2"/>
  <c r="FU143" i="2"/>
  <c r="GC143" i="2"/>
  <c r="GK143" i="2"/>
  <c r="GS143" i="2"/>
  <c r="FW144" i="2"/>
  <c r="GE144" i="2"/>
  <c r="GM144" i="2"/>
  <c r="GU144" i="2"/>
  <c r="FV143" i="2"/>
  <c r="GD143" i="2"/>
  <c r="GL143" i="2"/>
  <c r="GT143" i="2"/>
  <c r="FX144" i="2"/>
  <c r="GF144" i="2"/>
  <c r="GN144" i="2"/>
  <c r="FW143" i="2"/>
  <c r="GE143" i="2"/>
  <c r="GM143" i="2"/>
  <c r="GU143" i="2"/>
  <c r="FY144" i="2"/>
  <c r="GG144" i="2"/>
  <c r="GO144" i="2"/>
  <c r="FX143" i="2"/>
  <c r="GF143" i="2"/>
  <c r="GN143" i="2"/>
  <c r="FR144" i="2"/>
  <c r="FZ144" i="2"/>
  <c r="GH144" i="2"/>
  <c r="GP144" i="2"/>
  <c r="FY143" i="2"/>
  <c r="GG143" i="2"/>
  <c r="GO143" i="2"/>
  <c r="FS144" i="2"/>
  <c r="GA144" i="2"/>
  <c r="GI144" i="2"/>
  <c r="GQ144" i="2"/>
  <c r="GI143" i="2"/>
  <c r="GB144" i="2"/>
  <c r="GT144" i="2"/>
  <c r="GB143" i="2"/>
  <c r="FR143" i="2"/>
  <c r="GJ143" i="2"/>
  <c r="GC144" i="2"/>
  <c r="GS144" i="2"/>
  <c r="FS143" i="2"/>
  <c r="GP143" i="2"/>
  <c r="GD144" i="2"/>
  <c r="FU144" i="2"/>
  <c r="FT143" i="2"/>
  <c r="GQ143" i="2"/>
  <c r="GJ144" i="2"/>
  <c r="FV144" i="2"/>
  <c r="FZ143" i="2"/>
  <c r="GR143" i="2"/>
  <c r="GK144" i="2"/>
  <c r="GA143" i="2"/>
  <c r="FT144" i="2"/>
  <c r="GL144" i="2"/>
  <c r="GR144" i="2"/>
  <c r="GH143" i="2"/>
  <c r="FY138" i="2"/>
  <c r="GG138" i="2"/>
  <c r="GO138" i="2"/>
  <c r="FS139" i="2"/>
  <c r="GA139" i="2"/>
  <c r="GI139" i="2"/>
  <c r="GQ139" i="2"/>
  <c r="FR138" i="2"/>
  <c r="FZ138" i="2"/>
  <c r="GH138" i="2"/>
  <c r="GP138" i="2"/>
  <c r="FT139" i="2"/>
  <c r="GB139" i="2"/>
  <c r="GJ139" i="2"/>
  <c r="GR139" i="2"/>
  <c r="FS138" i="2"/>
  <c r="GA138" i="2"/>
  <c r="GI138" i="2"/>
  <c r="GQ138" i="2"/>
  <c r="FU139" i="2"/>
  <c r="GC139" i="2"/>
  <c r="GK139" i="2"/>
  <c r="GS139" i="2"/>
  <c r="FT138" i="2"/>
  <c r="GB138" i="2"/>
  <c r="GJ138" i="2"/>
  <c r="GR138" i="2"/>
  <c r="FV139" i="2"/>
  <c r="GD139" i="2"/>
  <c r="GL139" i="2"/>
  <c r="GT139" i="2"/>
  <c r="FU138" i="2"/>
  <c r="GC138" i="2"/>
  <c r="GK138" i="2"/>
  <c r="GS138" i="2"/>
  <c r="FW139" i="2"/>
  <c r="GE139" i="2"/>
  <c r="GM139" i="2"/>
  <c r="GU139" i="2"/>
  <c r="GE138" i="2"/>
  <c r="FX139" i="2"/>
  <c r="GP139" i="2"/>
  <c r="GD138" i="2"/>
  <c r="GF138" i="2"/>
  <c r="FY139" i="2"/>
  <c r="GU138" i="2"/>
  <c r="GL138" i="2"/>
  <c r="FZ139" i="2"/>
  <c r="GO139" i="2"/>
  <c r="GM138" i="2"/>
  <c r="GF139" i="2"/>
  <c r="FX138" i="2"/>
  <c r="FV138" i="2"/>
  <c r="GN138" i="2"/>
  <c r="GG139" i="2"/>
  <c r="GN139" i="2"/>
  <c r="FR139" i="2"/>
  <c r="FW138" i="2"/>
  <c r="GT138" i="2"/>
  <c r="GH139" i="2"/>
  <c r="FU153" i="2"/>
  <c r="GC153" i="2"/>
  <c r="GK153" i="2"/>
  <c r="GS153" i="2"/>
  <c r="FW154" i="2"/>
  <c r="GE154" i="2"/>
  <c r="GM154" i="2"/>
  <c r="GU154" i="2"/>
  <c r="FV153" i="2"/>
  <c r="GD153" i="2"/>
  <c r="GL153" i="2"/>
  <c r="GT153" i="2"/>
  <c r="FX154" i="2"/>
  <c r="GF154" i="2"/>
  <c r="GN154" i="2"/>
  <c r="FW153" i="2"/>
  <c r="GE153" i="2"/>
  <c r="GM153" i="2"/>
  <c r="GU153" i="2"/>
  <c r="FY154" i="2"/>
  <c r="GG154" i="2"/>
  <c r="GO154" i="2"/>
  <c r="FX153" i="2"/>
  <c r="GF153" i="2"/>
  <c r="GN153" i="2"/>
  <c r="FR154" i="2"/>
  <c r="FZ154" i="2"/>
  <c r="GH154" i="2"/>
  <c r="GP154" i="2"/>
  <c r="FY153" i="2"/>
  <c r="GG153" i="2"/>
  <c r="GO153" i="2"/>
  <c r="FS154" i="2"/>
  <c r="GA154" i="2"/>
  <c r="GI154" i="2"/>
  <c r="GQ154" i="2"/>
  <c r="FT153" i="2"/>
  <c r="GQ153" i="2"/>
  <c r="GJ154" i="2"/>
  <c r="FR153" i="2"/>
  <c r="FZ153" i="2"/>
  <c r="GR153" i="2"/>
  <c r="GK154" i="2"/>
  <c r="GJ153" i="2"/>
  <c r="GA153" i="2"/>
  <c r="FT154" i="2"/>
  <c r="GL154" i="2"/>
  <c r="GC154" i="2"/>
  <c r="GP153" i="2"/>
  <c r="GB153" i="2"/>
  <c r="FU154" i="2"/>
  <c r="GR154" i="2"/>
  <c r="GD154" i="2"/>
  <c r="GH153" i="2"/>
  <c r="FV154" i="2"/>
  <c r="GS154" i="2"/>
  <c r="GI153" i="2"/>
  <c r="GB154" i="2"/>
  <c r="GT154" i="2"/>
  <c r="FS153" i="2"/>
  <c r="FY148" i="2"/>
  <c r="GG148" i="2"/>
  <c r="GO148" i="2"/>
  <c r="FS149" i="2"/>
  <c r="GA149" i="2"/>
  <c r="GI149" i="2"/>
  <c r="GQ149" i="2"/>
  <c r="FR148" i="2"/>
  <c r="FZ148" i="2"/>
  <c r="GH148" i="2"/>
  <c r="GP148" i="2"/>
  <c r="FT149" i="2"/>
  <c r="GB149" i="2"/>
  <c r="GJ149" i="2"/>
  <c r="GR149" i="2"/>
  <c r="FS148" i="2"/>
  <c r="GA148" i="2"/>
  <c r="GI148" i="2"/>
  <c r="GQ148" i="2"/>
  <c r="FU149" i="2"/>
  <c r="GC149" i="2"/>
  <c r="GK149" i="2"/>
  <c r="GS149" i="2"/>
  <c r="FT148" i="2"/>
  <c r="GB148" i="2"/>
  <c r="GJ148" i="2"/>
  <c r="GR148" i="2"/>
  <c r="FV149" i="2"/>
  <c r="GD149" i="2"/>
  <c r="GL149" i="2"/>
  <c r="GT149" i="2"/>
  <c r="FU148" i="2"/>
  <c r="GC148" i="2"/>
  <c r="GK148" i="2"/>
  <c r="GS148" i="2"/>
  <c r="FW149" i="2"/>
  <c r="GE149" i="2"/>
  <c r="GM149" i="2"/>
  <c r="GU149" i="2"/>
  <c r="GM148" i="2"/>
  <c r="GF149" i="2"/>
  <c r="FZ149" i="2"/>
  <c r="FV148" i="2"/>
  <c r="GN148" i="2"/>
  <c r="GG149" i="2"/>
  <c r="FW148" i="2"/>
  <c r="GT148" i="2"/>
  <c r="GH149" i="2"/>
  <c r="FX148" i="2"/>
  <c r="GU148" i="2"/>
  <c r="GN149" i="2"/>
  <c r="GF148" i="2"/>
  <c r="GD148" i="2"/>
  <c r="FR149" i="2"/>
  <c r="GO149" i="2"/>
  <c r="FY149" i="2"/>
  <c r="GL148" i="2"/>
  <c r="GE148" i="2"/>
  <c r="FX149" i="2"/>
  <c r="GP149" i="2"/>
  <c r="FR73" i="2"/>
  <c r="FV73" i="2"/>
  <c r="FZ73" i="2"/>
  <c r="GD73" i="2"/>
  <c r="GH73" i="2"/>
  <c r="GL73" i="2"/>
  <c r="GP73" i="2"/>
  <c r="GT73" i="2"/>
  <c r="FT74" i="2"/>
  <c r="FX74" i="2"/>
  <c r="GB74" i="2"/>
  <c r="GF74" i="2"/>
  <c r="GJ74" i="2"/>
  <c r="GN74" i="2"/>
  <c r="GR74" i="2"/>
  <c r="FS73" i="2"/>
  <c r="FW73" i="2"/>
  <c r="GA73" i="2"/>
  <c r="GE73" i="2"/>
  <c r="GI73" i="2"/>
  <c r="GM73" i="2"/>
  <c r="GQ73" i="2"/>
  <c r="GU73" i="2"/>
  <c r="FU74" i="2"/>
  <c r="FY74" i="2"/>
  <c r="GC74" i="2"/>
  <c r="GG74" i="2"/>
  <c r="GK74" i="2"/>
  <c r="GO74" i="2"/>
  <c r="GS74" i="2"/>
  <c r="FT73" i="2"/>
  <c r="FX73" i="2"/>
  <c r="GB73" i="2"/>
  <c r="GF73" i="2"/>
  <c r="GJ73" i="2"/>
  <c r="GN73" i="2"/>
  <c r="GR73" i="2"/>
  <c r="FR74" i="2"/>
  <c r="FV74" i="2"/>
  <c r="FZ74" i="2"/>
  <c r="GD74" i="2"/>
  <c r="GH74" i="2"/>
  <c r="GL74" i="2"/>
  <c r="GP74" i="2"/>
  <c r="GT74" i="2"/>
  <c r="FU73" i="2"/>
  <c r="FY73" i="2"/>
  <c r="GC73" i="2"/>
  <c r="GG73" i="2"/>
  <c r="GK73" i="2"/>
  <c r="GO73" i="2"/>
  <c r="GS73" i="2"/>
  <c r="FS74" i="2"/>
  <c r="FW74" i="2"/>
  <c r="GA74" i="2"/>
  <c r="GE74" i="2"/>
  <c r="GI74" i="2"/>
  <c r="GM74" i="2"/>
  <c r="GQ74" i="2"/>
  <c r="GU74" i="2"/>
  <c r="FR78" i="2"/>
  <c r="FV78" i="2"/>
  <c r="FZ78" i="2"/>
  <c r="GD78" i="2"/>
  <c r="GH78" i="2"/>
  <c r="GL78" i="2"/>
  <c r="GP78" i="2"/>
  <c r="GT78" i="2"/>
  <c r="GK78" i="2"/>
  <c r="GS78" i="2"/>
  <c r="FS78" i="2"/>
  <c r="FW78" i="2"/>
  <c r="GA78" i="2"/>
  <c r="GE78" i="2"/>
  <c r="GI78" i="2"/>
  <c r="GM78" i="2"/>
  <c r="GQ78" i="2"/>
  <c r="GU78" i="2"/>
  <c r="FT78" i="2"/>
  <c r="FX78" i="2"/>
  <c r="GB78" i="2"/>
  <c r="GF78" i="2"/>
  <c r="GJ78" i="2"/>
  <c r="GN78" i="2"/>
  <c r="GR78" i="2"/>
  <c r="FU78" i="2"/>
  <c r="FY78" i="2"/>
  <c r="GC78" i="2"/>
  <c r="GG78" i="2"/>
  <c r="GO78" i="2"/>
  <c r="FR88" i="2"/>
  <c r="FV88" i="2"/>
  <c r="FZ88" i="2"/>
  <c r="GD88" i="2"/>
  <c r="GH88" i="2"/>
  <c r="GL88" i="2"/>
  <c r="GP88" i="2"/>
  <c r="GT88" i="2"/>
  <c r="GC88" i="2"/>
  <c r="GS88" i="2"/>
  <c r="FS88" i="2"/>
  <c r="FW88" i="2"/>
  <c r="GA88" i="2"/>
  <c r="GE88" i="2"/>
  <c r="GI88" i="2"/>
  <c r="GM88" i="2"/>
  <c r="GQ88" i="2"/>
  <c r="GU88" i="2"/>
  <c r="FU88" i="2"/>
  <c r="GG88" i="2"/>
  <c r="GK88" i="2"/>
  <c r="FT88" i="2"/>
  <c r="FX88" i="2"/>
  <c r="GB88" i="2"/>
  <c r="GF88" i="2"/>
  <c r="GJ88" i="2"/>
  <c r="GN88" i="2"/>
  <c r="GR88" i="2"/>
  <c r="FY88" i="2"/>
  <c r="GO88" i="2"/>
  <c r="FR93" i="2"/>
  <c r="FV93" i="2"/>
  <c r="FZ93" i="2"/>
  <c r="GD93" i="2"/>
  <c r="GH93" i="2"/>
  <c r="GL93" i="2"/>
  <c r="GP93" i="2"/>
  <c r="GT93" i="2"/>
  <c r="FT94" i="2"/>
  <c r="FX94" i="2"/>
  <c r="GB94" i="2"/>
  <c r="GF94" i="2"/>
  <c r="GJ94" i="2"/>
  <c r="GN94" i="2"/>
  <c r="GR94" i="2"/>
  <c r="FX93" i="2"/>
  <c r="GJ93" i="2"/>
  <c r="GR93" i="2"/>
  <c r="FV94" i="2"/>
  <c r="GD94" i="2"/>
  <c r="GP94" i="2"/>
  <c r="FU93" i="2"/>
  <c r="GK93" i="2"/>
  <c r="FS94" i="2"/>
  <c r="GA94" i="2"/>
  <c r="GI94" i="2"/>
  <c r="GU94" i="2"/>
  <c r="FS93" i="2"/>
  <c r="FW93" i="2"/>
  <c r="GA93" i="2"/>
  <c r="GE93" i="2"/>
  <c r="GI93" i="2"/>
  <c r="GM93" i="2"/>
  <c r="GQ93" i="2"/>
  <c r="GU93" i="2"/>
  <c r="FU94" i="2"/>
  <c r="FY94" i="2"/>
  <c r="GC94" i="2"/>
  <c r="GG94" i="2"/>
  <c r="GK94" i="2"/>
  <c r="GO94" i="2"/>
  <c r="GS94" i="2"/>
  <c r="FT93" i="2"/>
  <c r="GF93" i="2"/>
  <c r="GN93" i="2"/>
  <c r="FR94" i="2"/>
  <c r="FZ94" i="2"/>
  <c r="GL94" i="2"/>
  <c r="FY93" i="2"/>
  <c r="GG93" i="2"/>
  <c r="GO93" i="2"/>
  <c r="FW94" i="2"/>
  <c r="GM94" i="2"/>
  <c r="GB93" i="2"/>
  <c r="GH94" i="2"/>
  <c r="GT94" i="2"/>
  <c r="GC93" i="2"/>
  <c r="GS93" i="2"/>
  <c r="GE94" i="2"/>
  <c r="GQ94" i="2"/>
  <c r="FT98" i="2"/>
  <c r="FY98" i="2"/>
  <c r="GC98" i="2"/>
  <c r="GG98" i="2"/>
  <c r="GK98" i="2"/>
  <c r="GO98" i="2"/>
  <c r="GS98" i="2"/>
  <c r="FS98" i="2"/>
  <c r="GB98" i="2"/>
  <c r="GF98" i="2"/>
  <c r="GJ98" i="2"/>
  <c r="GR98" i="2"/>
  <c r="FU98" i="2"/>
  <c r="FV98" i="2"/>
  <c r="FZ98" i="2"/>
  <c r="GD98" i="2"/>
  <c r="GH98" i="2"/>
  <c r="GL98" i="2"/>
  <c r="GP98" i="2"/>
  <c r="GT98" i="2"/>
  <c r="FR98" i="2"/>
  <c r="FW98" i="2"/>
  <c r="GA98" i="2"/>
  <c r="GE98" i="2"/>
  <c r="GI98" i="2"/>
  <c r="GM98" i="2"/>
  <c r="GQ98" i="2"/>
  <c r="GU98" i="2"/>
  <c r="FX98" i="2"/>
  <c r="GN98" i="2"/>
  <c r="FS83" i="2"/>
  <c r="FW83" i="2"/>
  <c r="GA83" i="2"/>
  <c r="GE83" i="2"/>
  <c r="GI83" i="2"/>
  <c r="GM83" i="2"/>
  <c r="GQ83" i="2"/>
  <c r="GU83" i="2"/>
  <c r="FV84" i="2"/>
  <c r="FZ84" i="2"/>
  <c r="GD84" i="2"/>
  <c r="GH84" i="2"/>
  <c r="GL84" i="2"/>
  <c r="GP84" i="2"/>
  <c r="GT84" i="2"/>
  <c r="FX83" i="2"/>
  <c r="GB83" i="2"/>
  <c r="GJ83" i="2"/>
  <c r="GN83" i="2"/>
  <c r="FS84" i="2"/>
  <c r="GA84" i="2"/>
  <c r="GI84" i="2"/>
  <c r="GQ84" i="2"/>
  <c r="GU84" i="2"/>
  <c r="GC83" i="2"/>
  <c r="GK83" i="2"/>
  <c r="FT84" i="2"/>
  <c r="GF84" i="2"/>
  <c r="GR84" i="2"/>
  <c r="FV83" i="2"/>
  <c r="GH83" i="2"/>
  <c r="GT83" i="2"/>
  <c r="GC84" i="2"/>
  <c r="FT83" i="2"/>
  <c r="GF83" i="2"/>
  <c r="GR83" i="2"/>
  <c r="FW84" i="2"/>
  <c r="GE84" i="2"/>
  <c r="GM84" i="2"/>
  <c r="FY83" i="2"/>
  <c r="GG83" i="2"/>
  <c r="GS83" i="2"/>
  <c r="GB84" i="2"/>
  <c r="GJ84" i="2"/>
  <c r="GD83" i="2"/>
  <c r="GP83" i="2"/>
  <c r="FY84" i="2"/>
  <c r="GG84" i="2"/>
  <c r="GO84" i="2"/>
  <c r="FU83" i="2"/>
  <c r="GO83" i="2"/>
  <c r="FX84" i="2"/>
  <c r="GN84" i="2"/>
  <c r="FZ83" i="2"/>
  <c r="GL83" i="2"/>
  <c r="FU84" i="2"/>
  <c r="GK84" i="2"/>
  <c r="GS84" i="2"/>
  <c r="BL57" i="2"/>
  <c r="CX57" i="2" s="1"/>
  <c r="BP57" i="2"/>
  <c r="BL58" i="2"/>
  <c r="BP58" i="2"/>
  <c r="BT58" i="2"/>
  <c r="BX58" i="2"/>
  <c r="CB58" i="2"/>
  <c r="CF58" i="2"/>
  <c r="CJ58" i="2"/>
  <c r="BI57" i="2"/>
  <c r="CU57" i="2" s="1"/>
  <c r="BM57" i="2"/>
  <c r="CY57" i="2" s="1"/>
  <c r="BQ57" i="2"/>
  <c r="BI58" i="2"/>
  <c r="BM58" i="2"/>
  <c r="BQ58" i="2"/>
  <c r="BU58" i="2"/>
  <c r="BY58" i="2"/>
  <c r="CC58" i="2"/>
  <c r="CG58" i="2"/>
  <c r="CK58" i="2"/>
  <c r="BK57" i="2"/>
  <c r="CW57" i="2" s="1"/>
  <c r="BO58" i="2"/>
  <c r="BW58" i="2"/>
  <c r="CE58" i="2"/>
  <c r="BN57" i="2"/>
  <c r="CZ57" i="2" s="1"/>
  <c r="BJ58" i="2"/>
  <c r="BR58" i="2"/>
  <c r="BZ58" i="2"/>
  <c r="CH58" i="2"/>
  <c r="BO57" i="2"/>
  <c r="DA57" i="2" s="1"/>
  <c r="BK58" i="2"/>
  <c r="BS58" i="2"/>
  <c r="CA58" i="2"/>
  <c r="CI58" i="2"/>
  <c r="BJ57" i="2"/>
  <c r="CV57" i="2" s="1"/>
  <c r="BN58" i="2"/>
  <c r="CD58" i="2"/>
  <c r="BR57" i="2"/>
  <c r="BV58" i="2"/>
  <c r="CL58" i="2"/>
  <c r="BK49" i="2"/>
  <c r="CW49" i="2" s="1"/>
  <c r="BO49" i="2"/>
  <c r="DA49" i="2" s="1"/>
  <c r="BJ50" i="2"/>
  <c r="BN50" i="2"/>
  <c r="BR50" i="2"/>
  <c r="BV50" i="2"/>
  <c r="BZ50" i="2"/>
  <c r="CD50" i="2"/>
  <c r="CH50" i="2"/>
  <c r="CL50" i="2"/>
  <c r="BL49" i="2"/>
  <c r="CX49" i="2" s="1"/>
  <c r="BP49" i="2"/>
  <c r="BK50" i="2"/>
  <c r="BO50" i="2"/>
  <c r="BS50" i="2"/>
  <c r="BW50" i="2"/>
  <c r="CA50" i="2"/>
  <c r="CE50" i="2"/>
  <c r="CI50" i="2"/>
  <c r="BJ49" i="2"/>
  <c r="CV49" i="2" s="1"/>
  <c r="BR49" i="2"/>
  <c r="BM50" i="2"/>
  <c r="BU50" i="2"/>
  <c r="CC50" i="2"/>
  <c r="CK50" i="2"/>
  <c r="BN49" i="2"/>
  <c r="CZ49" i="2" s="1"/>
  <c r="BI50" i="2"/>
  <c r="BQ50" i="2"/>
  <c r="BY50" i="2"/>
  <c r="CG50" i="2"/>
  <c r="BI49" i="2"/>
  <c r="CU49" i="2" s="1"/>
  <c r="BL50" i="2"/>
  <c r="CB50" i="2"/>
  <c r="BM49" i="2"/>
  <c r="CY49" i="2" s="1"/>
  <c r="BP50" i="2"/>
  <c r="BX50" i="2"/>
  <c r="CF50" i="2"/>
  <c r="BQ49" i="2"/>
  <c r="BT50" i="2"/>
  <c r="CJ50" i="2"/>
  <c r="BK41" i="2"/>
  <c r="CW41" i="2" s="1"/>
  <c r="BO41" i="2"/>
  <c r="DA41" i="2" s="1"/>
  <c r="BK42" i="2"/>
  <c r="BO42" i="2"/>
  <c r="BS42" i="2"/>
  <c r="BW42" i="2"/>
  <c r="CA42" i="2"/>
  <c r="CE42" i="2"/>
  <c r="CI42" i="2"/>
  <c r="BL41" i="2"/>
  <c r="CX41" i="2" s="1"/>
  <c r="BP41" i="2"/>
  <c r="BL42" i="2"/>
  <c r="BP42" i="2"/>
  <c r="BT42" i="2"/>
  <c r="BX42" i="2"/>
  <c r="CB42" i="2"/>
  <c r="CF42" i="2"/>
  <c r="CJ42" i="2"/>
  <c r="BN41" i="2"/>
  <c r="CZ41" i="2" s="1"/>
  <c r="BJ42" i="2"/>
  <c r="BR42" i="2"/>
  <c r="BZ42" i="2"/>
  <c r="CH42" i="2"/>
  <c r="BJ41" i="2"/>
  <c r="CV41" i="2" s="1"/>
  <c r="BR41" i="2"/>
  <c r="BN42" i="2"/>
  <c r="BV42" i="2"/>
  <c r="CD42" i="2"/>
  <c r="CL42" i="2"/>
  <c r="BI42" i="2"/>
  <c r="BY42" i="2"/>
  <c r="BI41" i="2"/>
  <c r="CU41" i="2" s="1"/>
  <c r="BQ41" i="2"/>
  <c r="BM42" i="2"/>
  <c r="BU42" i="2"/>
  <c r="CC42" i="2"/>
  <c r="CK42" i="2"/>
  <c r="BM41" i="2"/>
  <c r="CY41" i="2" s="1"/>
  <c r="BQ42" i="2"/>
  <c r="CG42" i="2"/>
  <c r="FR84" i="2"/>
  <c r="FR83" i="2"/>
  <c r="BK23" i="2"/>
  <c r="CW23" i="2" s="1"/>
  <c r="BO23" i="2"/>
  <c r="DA23" i="2" s="1"/>
  <c r="BJ24" i="2"/>
  <c r="BN24" i="2"/>
  <c r="BR24" i="2"/>
  <c r="BV24" i="2"/>
  <c r="BL23" i="2"/>
  <c r="CX23" i="2" s="1"/>
  <c r="BP23" i="2"/>
  <c r="BK24" i="2"/>
  <c r="BO24" i="2"/>
  <c r="BS24" i="2"/>
  <c r="BW24" i="2"/>
  <c r="BM23" i="2"/>
  <c r="CY23" i="2" s="1"/>
  <c r="BL24" i="2"/>
  <c r="BT24" i="2"/>
  <c r="BZ24" i="2"/>
  <c r="CD24" i="2"/>
  <c r="CH24" i="2"/>
  <c r="CL24" i="2"/>
  <c r="BN23" i="2"/>
  <c r="CZ23" i="2" s="1"/>
  <c r="BM24" i="2"/>
  <c r="BU24" i="2"/>
  <c r="CA24" i="2"/>
  <c r="CE24" i="2"/>
  <c r="CI24" i="2"/>
  <c r="BJ23" i="2"/>
  <c r="CV23" i="2" s="1"/>
  <c r="BI24" i="2"/>
  <c r="BY24" i="2"/>
  <c r="CG24" i="2"/>
  <c r="BR23" i="2"/>
  <c r="BQ24" i="2"/>
  <c r="CC24" i="2"/>
  <c r="CK24" i="2"/>
  <c r="BI23" i="2"/>
  <c r="CU23" i="2" s="1"/>
  <c r="BX24" i="2"/>
  <c r="CF24" i="2"/>
  <c r="BQ23" i="2"/>
  <c r="BP24" i="2"/>
  <c r="CB24" i="2"/>
  <c r="CJ24" i="2"/>
  <c r="BI31" i="2"/>
  <c r="CU31" i="2" s="1"/>
  <c r="BM31" i="2"/>
  <c r="CY31" i="2" s="1"/>
  <c r="BQ31" i="2"/>
  <c r="BL32" i="2"/>
  <c r="BP32" i="2"/>
  <c r="BT32" i="2"/>
  <c r="BX32" i="2"/>
  <c r="CB32" i="2"/>
  <c r="CF32" i="2"/>
  <c r="CJ32" i="2"/>
  <c r="BJ31" i="2"/>
  <c r="CV31" i="2" s="1"/>
  <c r="BN31" i="2"/>
  <c r="CZ31" i="2" s="1"/>
  <c r="BR31" i="2"/>
  <c r="BI32" i="2"/>
  <c r="BM32" i="2"/>
  <c r="BQ32" i="2"/>
  <c r="BU32" i="2"/>
  <c r="BY32" i="2"/>
  <c r="CC32" i="2"/>
  <c r="CG32" i="2"/>
  <c r="CK32" i="2"/>
  <c r="BP31" i="2"/>
  <c r="BO32" i="2"/>
  <c r="BW32" i="2"/>
  <c r="CE32" i="2"/>
  <c r="BL31" i="2"/>
  <c r="CX31" i="2" s="1"/>
  <c r="BK32" i="2"/>
  <c r="BS32" i="2"/>
  <c r="CA32" i="2"/>
  <c r="CI32" i="2"/>
  <c r="BO31" i="2"/>
  <c r="DA31" i="2" s="1"/>
  <c r="BN32" i="2"/>
  <c r="BV32" i="2"/>
  <c r="CD32" i="2"/>
  <c r="CL32" i="2"/>
  <c r="BK31" i="2"/>
  <c r="CW31" i="2" s="1"/>
  <c r="BJ32" i="2"/>
  <c r="BR32" i="2"/>
  <c r="BZ32" i="2"/>
  <c r="CH32" i="2"/>
  <c r="BJ55" i="2"/>
  <c r="CV55" i="2" s="1"/>
  <c r="BN55" i="2"/>
  <c r="CZ55" i="2" s="1"/>
  <c r="BR55" i="2"/>
  <c r="BJ56" i="2"/>
  <c r="BN56" i="2"/>
  <c r="BR56" i="2"/>
  <c r="BV56" i="2"/>
  <c r="BZ56" i="2"/>
  <c r="CD56" i="2"/>
  <c r="CH56" i="2"/>
  <c r="CL56" i="2"/>
  <c r="BK55" i="2"/>
  <c r="CW55" i="2" s="1"/>
  <c r="BO55" i="2"/>
  <c r="DA55" i="2" s="1"/>
  <c r="BK56" i="2"/>
  <c r="BO56" i="2"/>
  <c r="BS56" i="2"/>
  <c r="BW56" i="2"/>
  <c r="CA56" i="2"/>
  <c r="CE56" i="2"/>
  <c r="CI56" i="2"/>
  <c r="BM55" i="2"/>
  <c r="CY55" i="2" s="1"/>
  <c r="BI56" i="2"/>
  <c r="BQ56" i="2"/>
  <c r="BY56" i="2"/>
  <c r="CG56" i="2"/>
  <c r="BP55" i="2"/>
  <c r="BL56" i="2"/>
  <c r="BT56" i="2"/>
  <c r="CB56" i="2"/>
  <c r="CJ56" i="2"/>
  <c r="BI55" i="2"/>
  <c r="CU55" i="2" s="1"/>
  <c r="BQ55" i="2"/>
  <c r="BM56" i="2"/>
  <c r="BU56" i="2"/>
  <c r="CC56" i="2"/>
  <c r="CK56" i="2"/>
  <c r="BX56" i="2"/>
  <c r="BL55" i="2"/>
  <c r="CX55" i="2" s="1"/>
  <c r="BP56" i="2"/>
  <c r="CF56" i="2"/>
  <c r="BJ47" i="2"/>
  <c r="CV47" i="2" s="1"/>
  <c r="BN47" i="2"/>
  <c r="CZ47" i="2" s="1"/>
  <c r="BR47" i="2"/>
  <c r="BI48" i="2"/>
  <c r="BM48" i="2"/>
  <c r="BQ48" i="2"/>
  <c r="BU48" i="2"/>
  <c r="BY48" i="2"/>
  <c r="CC48" i="2"/>
  <c r="CG48" i="2"/>
  <c r="CK48" i="2"/>
  <c r="BK47" i="2"/>
  <c r="CW47" i="2" s="1"/>
  <c r="BO47" i="2"/>
  <c r="DA47" i="2" s="1"/>
  <c r="BJ48" i="2"/>
  <c r="BN48" i="2"/>
  <c r="BR48" i="2"/>
  <c r="BV48" i="2"/>
  <c r="BZ48" i="2"/>
  <c r="CD48" i="2"/>
  <c r="CH48" i="2"/>
  <c r="CL48" i="2"/>
  <c r="BI47" i="2"/>
  <c r="CU47" i="2" s="1"/>
  <c r="BQ47" i="2"/>
  <c r="BP48" i="2"/>
  <c r="BX48" i="2"/>
  <c r="CF48" i="2"/>
  <c r="BM47" i="2"/>
  <c r="CY47" i="2" s="1"/>
  <c r="BL48" i="2"/>
  <c r="BT48" i="2"/>
  <c r="CB48" i="2"/>
  <c r="CJ48" i="2"/>
  <c r="BP47" i="2"/>
  <c r="BO48" i="2"/>
  <c r="CE48" i="2"/>
  <c r="BL47" i="2"/>
  <c r="CX47" i="2" s="1"/>
  <c r="BK48" i="2"/>
  <c r="BS48" i="2"/>
  <c r="CA48" i="2"/>
  <c r="CI48" i="2"/>
  <c r="BW48" i="2"/>
  <c r="BJ39" i="2"/>
  <c r="CV39" i="2" s="1"/>
  <c r="BN39" i="2"/>
  <c r="CZ39" i="2" s="1"/>
  <c r="BR39" i="2"/>
  <c r="BI40" i="2"/>
  <c r="BM40" i="2"/>
  <c r="BQ40" i="2"/>
  <c r="BU40" i="2"/>
  <c r="BY40" i="2"/>
  <c r="CC40" i="2"/>
  <c r="CG40" i="2"/>
  <c r="CK40" i="2"/>
  <c r="BK39" i="2"/>
  <c r="CW39" i="2" s="1"/>
  <c r="BO39" i="2"/>
  <c r="DA39" i="2" s="1"/>
  <c r="BJ40" i="2"/>
  <c r="BN40" i="2"/>
  <c r="BR40" i="2"/>
  <c r="BV40" i="2"/>
  <c r="BZ40" i="2"/>
  <c r="CD40" i="2"/>
  <c r="CH40" i="2"/>
  <c r="CL40" i="2"/>
  <c r="BM39" i="2"/>
  <c r="CY39" i="2" s="1"/>
  <c r="BL40" i="2"/>
  <c r="BT40" i="2"/>
  <c r="CB40" i="2"/>
  <c r="CJ40" i="2"/>
  <c r="BI39" i="2"/>
  <c r="CU39" i="2" s="1"/>
  <c r="BQ39" i="2"/>
  <c r="BP40" i="2"/>
  <c r="BX40" i="2"/>
  <c r="CF40" i="2"/>
  <c r="BL39" i="2"/>
  <c r="CX39" i="2" s="1"/>
  <c r="BS40" i="2"/>
  <c r="CI40" i="2"/>
  <c r="BP39" i="2"/>
  <c r="BO40" i="2"/>
  <c r="BW40" i="2"/>
  <c r="CE40" i="2"/>
  <c r="BK40" i="2"/>
  <c r="CA40" i="2"/>
  <c r="BJ33" i="2"/>
  <c r="CV33" i="2" s="1"/>
  <c r="BN33" i="2"/>
  <c r="CZ33" i="2" s="1"/>
  <c r="BR33" i="2"/>
  <c r="BJ34" i="2"/>
  <c r="BN34" i="2"/>
  <c r="BR34" i="2"/>
  <c r="BV34" i="2"/>
  <c r="BZ34" i="2"/>
  <c r="CD34" i="2"/>
  <c r="CH34" i="2"/>
  <c r="CL34" i="2"/>
  <c r="BK33" i="2"/>
  <c r="CW33" i="2" s="1"/>
  <c r="BO33" i="2"/>
  <c r="DA33" i="2" s="1"/>
  <c r="BK34" i="2"/>
  <c r="BO34" i="2"/>
  <c r="BS34" i="2"/>
  <c r="BW34" i="2"/>
  <c r="CA34" i="2"/>
  <c r="CE34" i="2"/>
  <c r="CI34" i="2"/>
  <c r="BI33" i="2"/>
  <c r="CU33" i="2" s="1"/>
  <c r="BQ33" i="2"/>
  <c r="BM34" i="2"/>
  <c r="BU34" i="2"/>
  <c r="CC34" i="2"/>
  <c r="CK34" i="2"/>
  <c r="BM33" i="2"/>
  <c r="CY33" i="2" s="1"/>
  <c r="BI34" i="2"/>
  <c r="BQ34" i="2"/>
  <c r="BY34" i="2"/>
  <c r="CG34" i="2"/>
  <c r="BP33" i="2"/>
  <c r="BL34" i="2"/>
  <c r="BT34" i="2"/>
  <c r="CB34" i="2"/>
  <c r="CJ34" i="2"/>
  <c r="BL33" i="2"/>
  <c r="CX33" i="2" s="1"/>
  <c r="BP34" i="2"/>
  <c r="BX34" i="2"/>
  <c r="CF34" i="2"/>
  <c r="BI53" i="2"/>
  <c r="CU53" i="2" s="1"/>
  <c r="BM53" i="2"/>
  <c r="CY53" i="2" s="1"/>
  <c r="BQ53" i="2"/>
  <c r="BL54" i="2"/>
  <c r="BP54" i="2"/>
  <c r="BT54" i="2"/>
  <c r="BX54" i="2"/>
  <c r="CB54" i="2"/>
  <c r="CF54" i="2"/>
  <c r="CJ54" i="2"/>
  <c r="BJ53" i="2"/>
  <c r="CV53" i="2" s="1"/>
  <c r="BN53" i="2"/>
  <c r="CZ53" i="2" s="1"/>
  <c r="BR53" i="2"/>
  <c r="BI54" i="2"/>
  <c r="BM54" i="2"/>
  <c r="BQ54" i="2"/>
  <c r="BU54" i="2"/>
  <c r="BY54" i="2"/>
  <c r="CC54" i="2"/>
  <c r="CG54" i="2"/>
  <c r="CK54" i="2"/>
  <c r="BL53" i="2"/>
  <c r="CX53" i="2" s="1"/>
  <c r="BK54" i="2"/>
  <c r="BS54" i="2"/>
  <c r="CA54" i="2"/>
  <c r="CI54" i="2"/>
  <c r="CL54" i="2"/>
  <c r="BP53" i="2"/>
  <c r="BO54" i="2"/>
  <c r="BW54" i="2"/>
  <c r="CE54" i="2"/>
  <c r="BK53" i="2"/>
  <c r="CW53" i="2" s="1"/>
  <c r="BR54" i="2"/>
  <c r="CH54" i="2"/>
  <c r="BO53" i="2"/>
  <c r="DA53" i="2" s="1"/>
  <c r="BN54" i="2"/>
  <c r="BV54" i="2"/>
  <c r="CD54" i="2"/>
  <c r="BJ54" i="2"/>
  <c r="BZ54" i="2"/>
  <c r="BI45" i="2"/>
  <c r="CU45" i="2" s="1"/>
  <c r="BM45" i="2"/>
  <c r="CY45" i="2" s="1"/>
  <c r="BQ45" i="2"/>
  <c r="BL46" i="2"/>
  <c r="BP46" i="2"/>
  <c r="BT46" i="2"/>
  <c r="BX46" i="2"/>
  <c r="CB46" i="2"/>
  <c r="CF46" i="2"/>
  <c r="CJ46" i="2"/>
  <c r="BJ45" i="2"/>
  <c r="CV45" i="2" s="1"/>
  <c r="BN45" i="2"/>
  <c r="CZ45" i="2" s="1"/>
  <c r="BR45" i="2"/>
  <c r="BI46" i="2"/>
  <c r="BM46" i="2"/>
  <c r="BQ46" i="2"/>
  <c r="BU46" i="2"/>
  <c r="BY46" i="2"/>
  <c r="CC46" i="2"/>
  <c r="CG46" i="2"/>
  <c r="CK46" i="2"/>
  <c r="BP45" i="2"/>
  <c r="BO46" i="2"/>
  <c r="BW46" i="2"/>
  <c r="CE46" i="2"/>
  <c r="BL45" i="2"/>
  <c r="CX45" i="2" s="1"/>
  <c r="BK46" i="2"/>
  <c r="BS46" i="2"/>
  <c r="CA46" i="2"/>
  <c r="CI46" i="2"/>
  <c r="BO45" i="2"/>
  <c r="DA45" i="2" s="1"/>
  <c r="BN46" i="2"/>
  <c r="CD46" i="2"/>
  <c r="BK45" i="2"/>
  <c r="CW45" i="2" s="1"/>
  <c r="BJ46" i="2"/>
  <c r="BR46" i="2"/>
  <c r="BZ46" i="2"/>
  <c r="CH46" i="2"/>
  <c r="BV46" i="2"/>
  <c r="CL46" i="2"/>
  <c r="BL35" i="2"/>
  <c r="CX35" i="2" s="1"/>
  <c r="BP35" i="2"/>
  <c r="BK36" i="2"/>
  <c r="BO36" i="2"/>
  <c r="BS36" i="2"/>
  <c r="BW36" i="2"/>
  <c r="CA36" i="2"/>
  <c r="CE36" i="2"/>
  <c r="CI36" i="2"/>
  <c r="BI35" i="2"/>
  <c r="CU35" i="2" s="1"/>
  <c r="BM35" i="2"/>
  <c r="CY35" i="2" s="1"/>
  <c r="BQ35" i="2"/>
  <c r="BL36" i="2"/>
  <c r="BP36" i="2"/>
  <c r="BT36" i="2"/>
  <c r="BX36" i="2"/>
  <c r="CB36" i="2"/>
  <c r="CF36" i="2"/>
  <c r="CJ36" i="2"/>
  <c r="BO35" i="2"/>
  <c r="DA35" i="2" s="1"/>
  <c r="BJ36" i="2"/>
  <c r="BR36" i="2"/>
  <c r="BZ36" i="2"/>
  <c r="CH36" i="2"/>
  <c r="BK35" i="2"/>
  <c r="CW35" i="2" s="1"/>
  <c r="BN36" i="2"/>
  <c r="BV36" i="2"/>
  <c r="CD36" i="2"/>
  <c r="CL36" i="2"/>
  <c r="BN35" i="2"/>
  <c r="CZ35" i="2" s="1"/>
  <c r="BQ36" i="2"/>
  <c r="BY36" i="2"/>
  <c r="CG36" i="2"/>
  <c r="BJ35" i="2"/>
  <c r="CV35" i="2" s="1"/>
  <c r="BR35" i="2"/>
  <c r="BM36" i="2"/>
  <c r="BU36" i="2"/>
  <c r="CC36" i="2"/>
  <c r="CK36" i="2"/>
  <c r="BI36" i="2"/>
  <c r="BL51" i="2"/>
  <c r="CX51" i="2" s="1"/>
  <c r="BP51" i="2"/>
  <c r="BK52" i="2"/>
  <c r="BO52" i="2"/>
  <c r="BS52" i="2"/>
  <c r="BW52" i="2"/>
  <c r="CA52" i="2"/>
  <c r="CE52" i="2"/>
  <c r="CI52" i="2"/>
  <c r="BI51" i="2"/>
  <c r="CU51" i="2" s="1"/>
  <c r="BM51" i="2"/>
  <c r="CY51" i="2" s="1"/>
  <c r="BQ51" i="2"/>
  <c r="BL52" i="2"/>
  <c r="BP52" i="2"/>
  <c r="BT52" i="2"/>
  <c r="BX52" i="2"/>
  <c r="CB52" i="2"/>
  <c r="CF52" i="2"/>
  <c r="CJ52" i="2"/>
  <c r="BO51" i="2"/>
  <c r="DA51" i="2" s="1"/>
  <c r="BJ52" i="2"/>
  <c r="BR52" i="2"/>
  <c r="BZ52" i="2"/>
  <c r="CH52" i="2"/>
  <c r="BK51" i="2"/>
  <c r="CW51" i="2" s="1"/>
  <c r="BN52" i="2"/>
  <c r="BV52" i="2"/>
  <c r="CD52" i="2"/>
  <c r="CL52" i="2"/>
  <c r="BN51" i="2"/>
  <c r="CZ51" i="2" s="1"/>
  <c r="BI52" i="2"/>
  <c r="BY52" i="2"/>
  <c r="BJ51" i="2"/>
  <c r="CV51" i="2" s="1"/>
  <c r="BR51" i="2"/>
  <c r="BM52" i="2"/>
  <c r="BU52" i="2"/>
  <c r="CC52" i="2"/>
  <c r="CK52" i="2"/>
  <c r="BQ52" i="2"/>
  <c r="CG52" i="2"/>
  <c r="BI43" i="2"/>
  <c r="CU43" i="2" s="1"/>
  <c r="BM43" i="2"/>
  <c r="CY43" i="2" s="1"/>
  <c r="BQ43" i="2"/>
  <c r="BK44" i="2"/>
  <c r="BO44" i="2"/>
  <c r="BS44" i="2"/>
  <c r="BW44" i="2"/>
  <c r="CA44" i="2"/>
  <c r="CE44" i="2"/>
  <c r="CI44" i="2"/>
  <c r="BJ43" i="2"/>
  <c r="CV43" i="2" s="1"/>
  <c r="BN43" i="2"/>
  <c r="CZ43" i="2" s="1"/>
  <c r="BR43" i="2"/>
  <c r="BL44" i="2"/>
  <c r="BP44" i="2"/>
  <c r="BT44" i="2"/>
  <c r="BX44" i="2"/>
  <c r="CB44" i="2"/>
  <c r="CF44" i="2"/>
  <c r="CJ44" i="2"/>
  <c r="BL43" i="2"/>
  <c r="CX43" i="2" s="1"/>
  <c r="BN44" i="2"/>
  <c r="BV44" i="2"/>
  <c r="CD44" i="2"/>
  <c r="CL44" i="2"/>
  <c r="BP43" i="2"/>
  <c r="BJ44" i="2"/>
  <c r="BR44" i="2"/>
  <c r="BZ44" i="2"/>
  <c r="CH44" i="2"/>
  <c r="BK43" i="2"/>
  <c r="CW43" i="2" s="1"/>
  <c r="BM44" i="2"/>
  <c r="CC44" i="2"/>
  <c r="BO43" i="2"/>
  <c r="DA43" i="2" s="1"/>
  <c r="BI44" i="2"/>
  <c r="BQ44" i="2"/>
  <c r="BY44" i="2"/>
  <c r="CG44" i="2"/>
  <c r="BU44" i="2"/>
  <c r="CK44" i="2"/>
  <c r="BJ21" i="2"/>
  <c r="CV21" i="2" s="1"/>
  <c r="BN21" i="2"/>
  <c r="CZ21" i="2" s="1"/>
  <c r="BR21" i="2"/>
  <c r="BI22" i="2"/>
  <c r="BM22" i="2"/>
  <c r="BQ22" i="2"/>
  <c r="BU22" i="2"/>
  <c r="BY22" i="2"/>
  <c r="CC22" i="2"/>
  <c r="CG22" i="2"/>
  <c r="CK22" i="2"/>
  <c r="BK21" i="2"/>
  <c r="CW21" i="2" s="1"/>
  <c r="BO21" i="2"/>
  <c r="DA21" i="2" s="1"/>
  <c r="BJ22" i="2"/>
  <c r="BN22" i="2"/>
  <c r="BR22" i="2"/>
  <c r="BV22" i="2"/>
  <c r="BZ22" i="2"/>
  <c r="CD22" i="2"/>
  <c r="CH22" i="2"/>
  <c r="CL22" i="2"/>
  <c r="BL21" i="2"/>
  <c r="CX21" i="2" s="1"/>
  <c r="BK22" i="2"/>
  <c r="BS22" i="2"/>
  <c r="CA22" i="2"/>
  <c r="CI22" i="2"/>
  <c r="BM21" i="2"/>
  <c r="CY21" i="2" s="1"/>
  <c r="BL22" i="2"/>
  <c r="BT22" i="2"/>
  <c r="CB22" i="2"/>
  <c r="CJ22" i="2"/>
  <c r="BI21" i="2"/>
  <c r="CU21" i="2" s="1"/>
  <c r="BX22" i="2"/>
  <c r="BQ21" i="2"/>
  <c r="BP22" i="2"/>
  <c r="CF22" i="2"/>
  <c r="BW22" i="2"/>
  <c r="BP21" i="2"/>
  <c r="BO22" i="2"/>
  <c r="CE22" i="2"/>
  <c r="BL29" i="2"/>
  <c r="CX29" i="2" s="1"/>
  <c r="BP29" i="2"/>
  <c r="BK30" i="2"/>
  <c r="BO30" i="2"/>
  <c r="BS30" i="2"/>
  <c r="BW30" i="2"/>
  <c r="CA30" i="2"/>
  <c r="CE30" i="2"/>
  <c r="CI30" i="2"/>
  <c r="BI29" i="2"/>
  <c r="CU29" i="2" s="1"/>
  <c r="BM29" i="2"/>
  <c r="CY29" i="2" s="1"/>
  <c r="BQ29" i="2"/>
  <c r="BL30" i="2"/>
  <c r="BP30" i="2"/>
  <c r="BT30" i="2"/>
  <c r="BX30" i="2"/>
  <c r="CB30" i="2"/>
  <c r="CF30" i="2"/>
  <c r="CJ30" i="2"/>
  <c r="BK29" i="2"/>
  <c r="CW29" i="2" s="1"/>
  <c r="BN30" i="2"/>
  <c r="BV30" i="2"/>
  <c r="CD30" i="2"/>
  <c r="CL30" i="2"/>
  <c r="BO29" i="2"/>
  <c r="DA29" i="2" s="1"/>
  <c r="BJ30" i="2"/>
  <c r="BR30" i="2"/>
  <c r="BZ30" i="2"/>
  <c r="CH30" i="2"/>
  <c r="BJ29" i="2"/>
  <c r="CV29" i="2" s="1"/>
  <c r="BR29" i="2"/>
  <c r="BM30" i="2"/>
  <c r="BU30" i="2"/>
  <c r="CC30" i="2"/>
  <c r="CK30" i="2"/>
  <c r="BN29" i="2"/>
  <c r="CZ29" i="2" s="1"/>
  <c r="BI30" i="2"/>
  <c r="BQ30" i="2"/>
  <c r="BY30" i="2"/>
  <c r="CG30" i="2"/>
  <c r="BS20" i="2"/>
  <c r="CA20" i="2"/>
  <c r="CI20" i="2"/>
  <c r="BM20" i="2"/>
  <c r="BZ20" i="2"/>
  <c r="BT20" i="2"/>
  <c r="CB20" i="2"/>
  <c r="CJ20" i="2"/>
  <c r="BN20" i="2"/>
  <c r="BU20" i="2"/>
  <c r="CC20" i="2"/>
  <c r="CK20" i="2"/>
  <c r="BO20" i="2"/>
  <c r="BV20" i="2"/>
  <c r="CD20" i="2"/>
  <c r="CL20" i="2"/>
  <c r="BP20" i="2"/>
  <c r="BW20" i="2"/>
  <c r="CE20" i="2"/>
  <c r="BR20" i="2"/>
  <c r="BQ20" i="2"/>
  <c r="BX20" i="2"/>
  <c r="CF20" i="2"/>
  <c r="BJ20" i="2"/>
  <c r="BI20" i="2"/>
  <c r="CH20" i="2"/>
  <c r="BY20" i="2"/>
  <c r="CG20" i="2"/>
  <c r="BK20" i="2"/>
  <c r="BL20" i="2"/>
  <c r="BK27" i="2"/>
  <c r="CW27" i="2" s="1"/>
  <c r="BO27" i="2"/>
  <c r="DA27" i="2" s="1"/>
  <c r="BJ28" i="2"/>
  <c r="BN28" i="2"/>
  <c r="BR28" i="2"/>
  <c r="BV28" i="2"/>
  <c r="BZ28" i="2"/>
  <c r="CD28" i="2"/>
  <c r="CH28" i="2"/>
  <c r="CL28" i="2"/>
  <c r="BJ27" i="2"/>
  <c r="CV27" i="2" s="1"/>
  <c r="BQ28" i="2"/>
  <c r="BY28" i="2"/>
  <c r="CG28" i="2"/>
  <c r="BL27" i="2"/>
  <c r="CX27" i="2" s="1"/>
  <c r="BP27" i="2"/>
  <c r="BK28" i="2"/>
  <c r="BO28" i="2"/>
  <c r="BS28" i="2"/>
  <c r="BW28" i="2"/>
  <c r="CA28" i="2"/>
  <c r="CE28" i="2"/>
  <c r="CI28" i="2"/>
  <c r="BN27" i="2"/>
  <c r="CZ27" i="2" s="1"/>
  <c r="BR27" i="2"/>
  <c r="BI28" i="2"/>
  <c r="BM28" i="2"/>
  <c r="BU28" i="2"/>
  <c r="CC28" i="2"/>
  <c r="CK28" i="2"/>
  <c r="BI27" i="2"/>
  <c r="CU27" i="2" s="1"/>
  <c r="BM27" i="2"/>
  <c r="CY27" i="2" s="1"/>
  <c r="BQ27" i="2"/>
  <c r="BL28" i="2"/>
  <c r="BP28" i="2"/>
  <c r="BT28" i="2"/>
  <c r="BX28" i="2"/>
  <c r="CB28" i="2"/>
  <c r="CF28" i="2"/>
  <c r="CJ28" i="2"/>
  <c r="BK25" i="2"/>
  <c r="CW25" i="2" s="1"/>
  <c r="BO25" i="2"/>
  <c r="DA25" i="2" s="1"/>
  <c r="BK26" i="2"/>
  <c r="BO26" i="2"/>
  <c r="BS26" i="2"/>
  <c r="BW26" i="2"/>
  <c r="CA26" i="2"/>
  <c r="CE26" i="2"/>
  <c r="CI26" i="2"/>
  <c r="BI25" i="2"/>
  <c r="CU25" i="2" s="1"/>
  <c r="BM26" i="2"/>
  <c r="BU26" i="2"/>
  <c r="CC26" i="2"/>
  <c r="CK26" i="2"/>
  <c r="BJ25" i="2"/>
  <c r="CV25" i="2" s="1"/>
  <c r="BJ26" i="2"/>
  <c r="BR26" i="2"/>
  <c r="BZ26" i="2"/>
  <c r="CH26" i="2"/>
  <c r="BL25" i="2"/>
  <c r="CX25" i="2" s="1"/>
  <c r="BP25" i="2"/>
  <c r="BL26" i="2"/>
  <c r="BP26" i="2"/>
  <c r="BT26" i="2"/>
  <c r="BX26" i="2"/>
  <c r="CB26" i="2"/>
  <c r="CF26" i="2"/>
  <c r="CJ26" i="2"/>
  <c r="BM25" i="2"/>
  <c r="CY25" i="2" s="1"/>
  <c r="BQ25" i="2"/>
  <c r="BI26" i="2"/>
  <c r="BQ26" i="2"/>
  <c r="BY26" i="2"/>
  <c r="CG26" i="2"/>
  <c r="BN25" i="2"/>
  <c r="CZ25" i="2" s="1"/>
  <c r="BR25" i="2"/>
  <c r="BN26" i="2"/>
  <c r="BV26" i="2"/>
  <c r="CD26" i="2"/>
  <c r="CL26" i="2"/>
  <c r="AB38" i="2"/>
  <c r="AF38" i="2"/>
  <c r="AJ38" i="2"/>
  <c r="AC38" i="2"/>
  <c r="AG38" i="2"/>
  <c r="AK38" i="2"/>
  <c r="Z38" i="2"/>
  <c r="AH38" i="2"/>
  <c r="AA38" i="2"/>
  <c r="AI38" i="2"/>
  <c r="AD38" i="2"/>
  <c r="AL38" i="2"/>
  <c r="AE38" i="2"/>
  <c r="AM38" i="2"/>
  <c r="BI19" i="2"/>
  <c r="CU19" i="2" s="1"/>
  <c r="BN19" i="2"/>
  <c r="CZ19" i="2" s="1"/>
  <c r="BJ19" i="2"/>
  <c r="CV19" i="2" s="1"/>
  <c r="BK19" i="2"/>
  <c r="CW19" i="2" s="1"/>
  <c r="BO19" i="2"/>
  <c r="DA19" i="2" s="1"/>
  <c r="BP19" i="2"/>
  <c r="BQ19" i="2"/>
  <c r="BL19" i="2"/>
  <c r="CX19" i="2" s="1"/>
  <c r="BM19" i="2"/>
  <c r="CY19" i="2" s="1"/>
  <c r="E25" i="3"/>
  <c r="BI61" i="2"/>
  <c r="CU61" i="2" s="1"/>
  <c r="BJ62" i="2"/>
  <c r="BJ61" i="2"/>
  <c r="CV61" i="2" s="1"/>
  <c r="BK62" i="2"/>
  <c r="BK61" i="2"/>
  <c r="CW61" i="2" s="1"/>
  <c r="BM61" i="2"/>
  <c r="CY61" i="2" s="1"/>
  <c r="BQ61" i="2"/>
  <c r="BN62" i="2"/>
  <c r="BR62" i="2"/>
  <c r="BN61" i="2"/>
  <c r="CZ61" i="2" s="1"/>
  <c r="BR61" i="2"/>
  <c r="BO62" i="2"/>
  <c r="BI62" i="2"/>
  <c r="BO61" i="2"/>
  <c r="DA61" i="2" s="1"/>
  <c r="BL62" i="2"/>
  <c r="BP62" i="2"/>
  <c r="BP61" i="2"/>
  <c r="BM62" i="2"/>
  <c r="BQ62" i="2"/>
  <c r="BL61" i="2"/>
  <c r="CX61" i="2" s="1"/>
  <c r="BK59" i="2"/>
  <c r="CW59" i="2" s="1"/>
  <c r="BI60" i="2"/>
  <c r="BI59" i="2"/>
  <c r="CU59" i="2" s="1"/>
  <c r="BJ60" i="2"/>
  <c r="BJ59" i="2"/>
  <c r="CV59" i="2" s="1"/>
  <c r="BO59" i="2"/>
  <c r="DA59" i="2" s="1"/>
  <c r="BL60" i="2"/>
  <c r="BP60" i="2"/>
  <c r="BK60" i="2"/>
  <c r="BL59" i="2"/>
  <c r="CX59" i="2" s="1"/>
  <c r="BP59" i="2"/>
  <c r="BM60" i="2"/>
  <c r="BQ60" i="2"/>
  <c r="BM59" i="2"/>
  <c r="CY59" i="2" s="1"/>
  <c r="BQ59" i="2"/>
  <c r="BN60" i="2"/>
  <c r="BR60" i="2"/>
  <c r="BN59" i="2"/>
  <c r="CZ59" i="2" s="1"/>
  <c r="BR59" i="2"/>
  <c r="BO60" i="2"/>
  <c r="BI65" i="2"/>
  <c r="CU65" i="2" s="1"/>
  <c r="BJ66" i="2"/>
  <c r="BJ65" i="2"/>
  <c r="CV65" i="2" s="1"/>
  <c r="BK66" i="2"/>
  <c r="BK65" i="2"/>
  <c r="CW65" i="2" s="1"/>
  <c r="BM65" i="2"/>
  <c r="CY65" i="2" s="1"/>
  <c r="BQ65" i="2"/>
  <c r="BN66" i="2"/>
  <c r="BR66" i="2"/>
  <c r="BI66" i="2"/>
  <c r="BN65" i="2"/>
  <c r="CZ65" i="2" s="1"/>
  <c r="BR65" i="2"/>
  <c r="BO66" i="2"/>
  <c r="BO65" i="2"/>
  <c r="DA65" i="2" s="1"/>
  <c r="BL66" i="2"/>
  <c r="BP66" i="2"/>
  <c r="BM66" i="2"/>
  <c r="BQ66" i="2"/>
  <c r="BL65" i="2"/>
  <c r="CX65" i="2" s="1"/>
  <c r="BP65" i="2"/>
  <c r="EF35" i="2"/>
  <c r="BK67" i="2"/>
  <c r="CW67" i="2" s="1"/>
  <c r="BI68" i="2"/>
  <c r="BI67" i="2"/>
  <c r="CU67" i="2" s="1"/>
  <c r="BJ68" i="2"/>
  <c r="BO67" i="2"/>
  <c r="DA67" i="2" s="1"/>
  <c r="BL68" i="2"/>
  <c r="BP68" i="2"/>
  <c r="BL67" i="2"/>
  <c r="CX67" i="2" s="1"/>
  <c r="BP67" i="2"/>
  <c r="BM68" i="2"/>
  <c r="BQ68" i="2"/>
  <c r="BJ67" i="2"/>
  <c r="CV67" i="2" s="1"/>
  <c r="BM67" i="2"/>
  <c r="CY67" i="2" s="1"/>
  <c r="BQ67" i="2"/>
  <c r="BN68" i="2"/>
  <c r="BR68" i="2"/>
  <c r="BK68" i="2"/>
  <c r="BO68" i="2"/>
  <c r="BN67" i="2"/>
  <c r="CZ67" i="2" s="1"/>
  <c r="BR67" i="2"/>
  <c r="BK63" i="2"/>
  <c r="CW63" i="2" s="1"/>
  <c r="BI64" i="2"/>
  <c r="BI63" i="2"/>
  <c r="CU63" i="2" s="1"/>
  <c r="BJ64" i="2"/>
  <c r="BK64" i="2"/>
  <c r="BO63" i="2"/>
  <c r="DA63" i="2" s="1"/>
  <c r="BL64" i="2"/>
  <c r="BP64" i="2"/>
  <c r="BL63" i="2"/>
  <c r="CX63" i="2" s="1"/>
  <c r="BP63" i="2"/>
  <c r="BM64" i="2"/>
  <c r="BQ64" i="2"/>
  <c r="BM63" i="2"/>
  <c r="CY63" i="2" s="1"/>
  <c r="BQ63" i="2"/>
  <c r="BN64" i="2"/>
  <c r="BR64" i="2"/>
  <c r="BJ63" i="2"/>
  <c r="CV63" i="2" s="1"/>
  <c r="BR63" i="2"/>
  <c r="BO64" i="2"/>
  <c r="BN63" i="2"/>
  <c r="CZ63" i="2" s="1"/>
  <c r="EF39" i="2"/>
  <c r="DN19" i="2"/>
  <c r="BR19" i="2"/>
  <c r="AN44" i="2"/>
  <c r="EF43" i="2"/>
  <c r="DN23" i="2"/>
  <c r="DZ35" i="2"/>
  <c r="DZ67" i="2"/>
  <c r="AN68" i="2"/>
  <c r="DZ65" i="2"/>
  <c r="AN66" i="2"/>
  <c r="DZ49" i="2"/>
  <c r="AN50" i="2"/>
  <c r="DZ53" i="2"/>
  <c r="AN54" i="2"/>
  <c r="DZ47" i="2"/>
  <c r="AN48" i="2"/>
  <c r="DZ51" i="2"/>
  <c r="DZ61" i="2"/>
  <c r="AN62" i="2"/>
  <c r="DZ45" i="2"/>
  <c r="DZ59" i="2"/>
  <c r="AN60" i="2"/>
  <c r="DZ57" i="2"/>
  <c r="AN58" i="2"/>
  <c r="DZ63" i="2"/>
  <c r="AN64" i="2"/>
  <c r="DZ55" i="2"/>
  <c r="AN56" i="2"/>
  <c r="DZ39" i="2"/>
  <c r="X38" i="2"/>
  <c r="Y38" i="2"/>
  <c r="W38" i="2"/>
  <c r="DZ41" i="2"/>
  <c r="DZ43" i="2"/>
  <c r="DZ31" i="2"/>
  <c r="EF31" i="2"/>
  <c r="DZ29" i="2"/>
  <c r="EF29" i="2"/>
  <c r="DZ27" i="2"/>
  <c r="EF27" i="2"/>
  <c r="DZ21" i="2"/>
  <c r="EF21" i="2"/>
  <c r="DZ23" i="2"/>
  <c r="EF23" i="2"/>
  <c r="DZ19" i="2"/>
  <c r="EF19" i="2"/>
  <c r="DZ25" i="2"/>
  <c r="EF25" i="2"/>
  <c r="F26" i="2"/>
  <c r="EM38" i="2"/>
  <c r="EM91" i="2" s="1"/>
  <c r="DZ33" i="2"/>
  <c r="I34" i="2"/>
  <c r="EA65" i="2"/>
  <c r="EA49" i="2"/>
  <c r="EA63" i="2"/>
  <c r="EA55" i="2"/>
  <c r="EA47" i="2"/>
  <c r="EA39" i="2"/>
  <c r="EA25" i="2"/>
  <c r="EA33" i="2"/>
  <c r="EA57" i="2"/>
  <c r="EA41" i="2"/>
  <c r="EA23" i="2"/>
  <c r="EA31" i="2"/>
  <c r="EA19" i="2"/>
  <c r="EA61" i="2"/>
  <c r="EA53" i="2"/>
  <c r="EA45" i="2"/>
  <c r="EA35" i="2"/>
  <c r="EA27" i="2"/>
  <c r="EA67" i="2"/>
  <c r="EA59" i="2"/>
  <c r="EA51" i="2"/>
  <c r="EA43" i="2"/>
  <c r="EA21" i="2"/>
  <c r="EA29" i="2"/>
  <c r="F28" i="2"/>
  <c r="F20" i="2"/>
  <c r="EN59" i="2"/>
  <c r="ER59" i="2"/>
  <c r="EV59" i="2"/>
  <c r="EZ59" i="2"/>
  <c r="FD59" i="2"/>
  <c r="EO59" i="2"/>
  <c r="ET59" i="2"/>
  <c r="EY59" i="2"/>
  <c r="EM59" i="2"/>
  <c r="ES59" i="2"/>
  <c r="FC59" i="2"/>
  <c r="EK59" i="2"/>
  <c r="EP59" i="2"/>
  <c r="EU59" i="2"/>
  <c r="FA59" i="2"/>
  <c r="EL59" i="2"/>
  <c r="EQ59" i="2"/>
  <c r="EW59" i="2"/>
  <c r="FB59" i="2"/>
  <c r="EX59" i="2"/>
  <c r="EN43" i="2"/>
  <c r="ER43" i="2"/>
  <c r="EV43" i="2"/>
  <c r="EZ43" i="2"/>
  <c r="EO43" i="2"/>
  <c r="ES43" i="2"/>
  <c r="EW43" i="2"/>
  <c r="EM43" i="2"/>
  <c r="EU43" i="2"/>
  <c r="EL43" i="2"/>
  <c r="EX43" i="2"/>
  <c r="ET43" i="2"/>
  <c r="EP43" i="2"/>
  <c r="EY43" i="2"/>
  <c r="EQ43" i="2"/>
  <c r="EO29" i="2"/>
  <c r="ES29" i="2"/>
  <c r="EW29" i="2"/>
  <c r="EL29" i="2"/>
  <c r="EP29" i="2"/>
  <c r="ET29" i="2"/>
  <c r="EX29" i="2"/>
  <c r="ER29" i="2"/>
  <c r="EZ29" i="2"/>
  <c r="EU29" i="2"/>
  <c r="EM29" i="2"/>
  <c r="EV29" i="2"/>
  <c r="EN29" i="2"/>
  <c r="EY29" i="2"/>
  <c r="EQ29" i="2"/>
  <c r="EK65" i="2"/>
  <c r="EO65" i="2"/>
  <c r="ES65" i="2"/>
  <c r="EW65" i="2"/>
  <c r="FA65" i="2"/>
  <c r="EN65" i="2"/>
  <c r="ET65" i="2"/>
  <c r="EY65" i="2"/>
  <c r="FD65" i="2"/>
  <c r="EX65" i="2"/>
  <c r="EP65" i="2"/>
  <c r="EU65" i="2"/>
  <c r="EZ65" i="2"/>
  <c r="EL65" i="2"/>
  <c r="EQ65" i="2"/>
  <c r="EV65" i="2"/>
  <c r="FB65" i="2"/>
  <c r="EM65" i="2"/>
  <c r="ER65" i="2"/>
  <c r="FC65" i="2"/>
  <c r="EO57" i="2"/>
  <c r="ES57" i="2"/>
  <c r="EW57" i="2"/>
  <c r="EM57" i="2"/>
  <c r="ER57" i="2"/>
  <c r="EX57" i="2"/>
  <c r="EL57" i="2"/>
  <c r="EQ57" i="2"/>
  <c r="EN57" i="2"/>
  <c r="ET57" i="2"/>
  <c r="EY57" i="2"/>
  <c r="EP57" i="2"/>
  <c r="EU57" i="2"/>
  <c r="EZ57" i="2"/>
  <c r="EV57" i="2"/>
  <c r="EN49" i="2"/>
  <c r="ER49" i="2"/>
  <c r="EV49" i="2"/>
  <c r="EZ49" i="2"/>
  <c r="EO49" i="2"/>
  <c r="ES49" i="2"/>
  <c r="EW49" i="2"/>
  <c r="EQ49" i="2"/>
  <c r="EY49" i="2"/>
  <c r="ET49" i="2"/>
  <c r="EP49" i="2"/>
  <c r="EL49" i="2"/>
  <c r="EU49" i="2"/>
  <c r="EM49" i="2"/>
  <c r="EX49" i="2"/>
  <c r="I42" i="2"/>
  <c r="EM41" i="2"/>
  <c r="EQ41" i="2"/>
  <c r="EU41" i="2"/>
  <c r="EY41" i="2"/>
  <c r="EN41" i="2"/>
  <c r="ER41" i="2"/>
  <c r="EV41" i="2"/>
  <c r="EZ41" i="2"/>
  <c r="EL41" i="2"/>
  <c r="ET41" i="2"/>
  <c r="EO41" i="2"/>
  <c r="EX41" i="2"/>
  <c r="EP41" i="2"/>
  <c r="ES41" i="2"/>
  <c r="EW41" i="2"/>
  <c r="EN31" i="2"/>
  <c r="ER31" i="2"/>
  <c r="EV31" i="2"/>
  <c r="EZ31" i="2"/>
  <c r="EO31" i="2"/>
  <c r="ES31" i="2"/>
  <c r="EW31" i="2"/>
  <c r="EM31" i="2"/>
  <c r="EU31" i="2"/>
  <c r="ET31" i="2"/>
  <c r="EL31" i="2"/>
  <c r="EX31" i="2"/>
  <c r="EP31" i="2"/>
  <c r="EY31" i="2"/>
  <c r="EQ31" i="2"/>
  <c r="EN67" i="2"/>
  <c r="ER67" i="2"/>
  <c r="EV67" i="2"/>
  <c r="EZ67" i="2"/>
  <c r="FD67" i="2"/>
  <c r="EK67" i="2"/>
  <c r="EP67" i="2"/>
  <c r="EU67" i="2"/>
  <c r="FA67" i="2"/>
  <c r="EY67" i="2"/>
  <c r="EL67" i="2"/>
  <c r="EQ67" i="2"/>
  <c r="EW67" i="2"/>
  <c r="FB67" i="2"/>
  <c r="EM67" i="2"/>
  <c r="ES67" i="2"/>
  <c r="EX67" i="2"/>
  <c r="FC67" i="2"/>
  <c r="EO67" i="2"/>
  <c r="ET67" i="2"/>
  <c r="EM51" i="2"/>
  <c r="EQ51" i="2"/>
  <c r="EU51" i="2"/>
  <c r="EY51" i="2"/>
  <c r="EN51" i="2"/>
  <c r="ER51" i="2"/>
  <c r="EV51" i="2"/>
  <c r="EZ51" i="2"/>
  <c r="EP51" i="2"/>
  <c r="EX51" i="2"/>
  <c r="EO51" i="2"/>
  <c r="EL51" i="2"/>
  <c r="ES51" i="2"/>
  <c r="ET51" i="2"/>
  <c r="EW51" i="2"/>
  <c r="EL63" i="2"/>
  <c r="EP63" i="2"/>
  <c r="ET63" i="2"/>
  <c r="EX63" i="2"/>
  <c r="FB63" i="2"/>
  <c r="EM63" i="2"/>
  <c r="ER63" i="2"/>
  <c r="EW63" i="2"/>
  <c r="FC63" i="2"/>
  <c r="EV63" i="2"/>
  <c r="EN63" i="2"/>
  <c r="ES63" i="2"/>
  <c r="EY63" i="2"/>
  <c r="FD63" i="2"/>
  <c r="EO63" i="2"/>
  <c r="EU63" i="2"/>
  <c r="EZ63" i="2"/>
  <c r="EK63" i="2"/>
  <c r="EQ63" i="2"/>
  <c r="FA63" i="2"/>
  <c r="EO55" i="2"/>
  <c r="ES55" i="2"/>
  <c r="EW55" i="2"/>
  <c r="EL55" i="2"/>
  <c r="EP55" i="2"/>
  <c r="ET55" i="2"/>
  <c r="EX55" i="2"/>
  <c r="EN55" i="2"/>
  <c r="EV55" i="2"/>
  <c r="ER55" i="2"/>
  <c r="EZ55" i="2"/>
  <c r="EU55" i="2"/>
  <c r="EM55" i="2"/>
  <c r="EY55" i="2"/>
  <c r="EQ55" i="2"/>
  <c r="EL47" i="2"/>
  <c r="EP47" i="2"/>
  <c r="ET47" i="2"/>
  <c r="EX47" i="2"/>
  <c r="EM47" i="2"/>
  <c r="EQ47" i="2"/>
  <c r="EU47" i="2"/>
  <c r="EY47" i="2"/>
  <c r="EO47" i="2"/>
  <c r="EW47" i="2"/>
  <c r="ES47" i="2"/>
  <c r="ER47" i="2"/>
  <c r="EV47" i="2"/>
  <c r="EN47" i="2"/>
  <c r="EZ47" i="2"/>
  <c r="EO39" i="2"/>
  <c r="ES39" i="2"/>
  <c r="EW39" i="2"/>
  <c r="EL39" i="2"/>
  <c r="EP39" i="2"/>
  <c r="ET39" i="2"/>
  <c r="EX39" i="2"/>
  <c r="ER39" i="2"/>
  <c r="EZ39" i="2"/>
  <c r="EN39" i="2"/>
  <c r="EY39" i="2"/>
  <c r="EQ39" i="2"/>
  <c r="EU39" i="2"/>
  <c r="EM39" i="2"/>
  <c r="EV39" i="2"/>
  <c r="EL33" i="2"/>
  <c r="EP33" i="2"/>
  <c r="ET33" i="2"/>
  <c r="EX33" i="2"/>
  <c r="EM33" i="2"/>
  <c r="EQ33" i="2"/>
  <c r="EU33" i="2"/>
  <c r="EY33" i="2"/>
  <c r="EO33" i="2"/>
  <c r="EW33" i="2"/>
  <c r="ES33" i="2"/>
  <c r="EV33" i="2"/>
  <c r="EN33" i="2"/>
  <c r="EZ33" i="2"/>
  <c r="ER33" i="2"/>
  <c r="F30" i="2"/>
  <c r="F22" i="2"/>
  <c r="EM61" i="2"/>
  <c r="EQ61" i="2"/>
  <c r="EU61" i="2"/>
  <c r="EY61" i="2"/>
  <c r="FC61" i="2"/>
  <c r="EK61" i="2"/>
  <c r="EP61" i="2"/>
  <c r="EV61" i="2"/>
  <c r="FA61" i="2"/>
  <c r="EO61" i="2"/>
  <c r="ET61" i="2"/>
  <c r="EL61" i="2"/>
  <c r="ER61" i="2"/>
  <c r="EW61" i="2"/>
  <c r="FB61" i="2"/>
  <c r="EN61" i="2"/>
  <c r="ES61" i="2"/>
  <c r="EX61" i="2"/>
  <c r="FD61" i="2"/>
  <c r="EZ61" i="2"/>
  <c r="EN53" i="2"/>
  <c r="ER53" i="2"/>
  <c r="EV53" i="2"/>
  <c r="EZ53" i="2"/>
  <c r="EO53" i="2"/>
  <c r="ES53" i="2"/>
  <c r="EW53" i="2"/>
  <c r="EM53" i="2"/>
  <c r="EU53" i="2"/>
  <c r="ET53" i="2"/>
  <c r="EL53" i="2"/>
  <c r="EX53" i="2"/>
  <c r="EP53" i="2"/>
  <c r="EY53" i="2"/>
  <c r="EQ53" i="2"/>
  <c r="EM45" i="2"/>
  <c r="EQ45" i="2"/>
  <c r="EU45" i="2"/>
  <c r="EY45" i="2"/>
  <c r="EN45" i="2"/>
  <c r="ER45" i="2"/>
  <c r="EV45" i="2"/>
  <c r="EZ45" i="2"/>
  <c r="EL45" i="2"/>
  <c r="ET45" i="2"/>
  <c r="ES45" i="2"/>
  <c r="EP45" i="2"/>
  <c r="EW45" i="2"/>
  <c r="EO45" i="2"/>
  <c r="EX45" i="2"/>
  <c r="EM35" i="2"/>
  <c r="EQ35" i="2"/>
  <c r="EU35" i="2"/>
  <c r="EY35" i="2"/>
  <c r="EN35" i="2"/>
  <c r="ER35" i="2"/>
  <c r="EV35" i="2"/>
  <c r="EZ35" i="2"/>
  <c r="EP35" i="2"/>
  <c r="EX35" i="2"/>
  <c r="ES35" i="2"/>
  <c r="ET35" i="2"/>
  <c r="EL35" i="2"/>
  <c r="EW35" i="2"/>
  <c r="EO35" i="2"/>
  <c r="EL27" i="2"/>
  <c r="EP27" i="2"/>
  <c r="ET27" i="2"/>
  <c r="EX27" i="2"/>
  <c r="EM27" i="2"/>
  <c r="EQ27" i="2"/>
  <c r="EU27" i="2"/>
  <c r="EY27" i="2"/>
  <c r="ES27" i="2"/>
  <c r="EN27" i="2"/>
  <c r="EW27" i="2"/>
  <c r="EO27" i="2"/>
  <c r="EZ27" i="2"/>
  <c r="ER27" i="2"/>
  <c r="EV27" i="2"/>
  <c r="EN25" i="2"/>
  <c r="ER25" i="2"/>
  <c r="EV25" i="2"/>
  <c r="EZ25" i="2"/>
  <c r="EO25" i="2"/>
  <c r="ES25" i="2"/>
  <c r="EW25" i="2"/>
  <c r="EM25" i="2"/>
  <c r="EQ25" i="2"/>
  <c r="EU25" i="2"/>
  <c r="EY25" i="2"/>
  <c r="EL25" i="2"/>
  <c r="EP25" i="2"/>
  <c r="ET25" i="2"/>
  <c r="EX25" i="2"/>
  <c r="EM23" i="2"/>
  <c r="EQ23" i="2"/>
  <c r="EU23" i="2"/>
  <c r="EY23" i="2"/>
  <c r="EN23" i="2"/>
  <c r="ER23" i="2"/>
  <c r="EV23" i="2"/>
  <c r="EZ23" i="2"/>
  <c r="EO23" i="2"/>
  <c r="ES23" i="2"/>
  <c r="EW23" i="2"/>
  <c r="EL23" i="2"/>
  <c r="EP23" i="2"/>
  <c r="ET23" i="2"/>
  <c r="EX23" i="2"/>
  <c r="EN21" i="2"/>
  <c r="EL21" i="2"/>
  <c r="ET21" i="2"/>
  <c r="EX21" i="2"/>
  <c r="EO21" i="2"/>
  <c r="EQ21" i="2"/>
  <c r="EU21" i="2"/>
  <c r="EY21" i="2"/>
  <c r="EP21" i="2"/>
  <c r="ER21" i="2"/>
  <c r="EV21" i="2"/>
  <c r="EZ21" i="2"/>
  <c r="EM21" i="2"/>
  <c r="ES21" i="2"/>
  <c r="EW21" i="2"/>
  <c r="H22" i="2"/>
  <c r="F17" i="3" s="1"/>
  <c r="H42" i="2"/>
  <c r="H24" i="2"/>
  <c r="H32" i="2"/>
  <c r="F22" i="3" s="1"/>
  <c r="H44" i="2"/>
  <c r="H30" i="2"/>
  <c r="F21" i="3" s="1"/>
  <c r="H40" i="2"/>
  <c r="H26" i="2"/>
  <c r="F19" i="3" s="1"/>
  <c r="H34" i="2"/>
  <c r="H36" i="2"/>
  <c r="F24" i="3" s="1"/>
  <c r="H28" i="2"/>
  <c r="H54" i="2"/>
  <c r="H68" i="2"/>
  <c r="H60" i="2"/>
  <c r="H52" i="2"/>
  <c r="H46" i="2"/>
  <c r="H66" i="2"/>
  <c r="H58" i="2"/>
  <c r="H50" i="2"/>
  <c r="H62" i="2"/>
  <c r="H64" i="2"/>
  <c r="H56" i="2"/>
  <c r="H48" i="2"/>
  <c r="H20" i="2"/>
  <c r="I50" i="2"/>
  <c r="I64" i="2"/>
  <c r="H63" i="2" s="1"/>
  <c r="I56" i="2"/>
  <c r="I48" i="2"/>
  <c r="I58" i="2"/>
  <c r="I62" i="2"/>
  <c r="H61" i="2" s="1"/>
  <c r="I54" i="2"/>
  <c r="I46" i="2"/>
  <c r="I66" i="2"/>
  <c r="H65" i="2" s="1"/>
  <c r="I68" i="2"/>
  <c r="H67" i="2" s="1"/>
  <c r="I60" i="2"/>
  <c r="H59" i="2" s="1"/>
  <c r="I52" i="2"/>
  <c r="I44" i="2"/>
  <c r="I40" i="2"/>
  <c r="I36" i="2"/>
  <c r="I32" i="2"/>
  <c r="I30" i="2"/>
  <c r="H29" i="2" s="1"/>
  <c r="I28" i="2"/>
  <c r="H27" i="2" s="1"/>
  <c r="I20" i="2"/>
  <c r="H19" i="2" s="1"/>
  <c r="I22" i="2"/>
  <c r="H21" i="2" s="1"/>
  <c r="I24" i="2"/>
  <c r="H23" i="2" s="1"/>
  <c r="I26" i="2"/>
  <c r="H25" i="2" s="1"/>
  <c r="EM19" i="2"/>
  <c r="EV19" i="2"/>
  <c r="EN19" i="2"/>
  <c r="EW19" i="2"/>
  <c r="EY19" i="2"/>
  <c r="EO19" i="2"/>
  <c r="EX19" i="2"/>
  <c r="EQ19" i="2"/>
  <c r="EZ19" i="2"/>
  <c r="ES19" i="2"/>
  <c r="FA19" i="2"/>
  <c r="ER19" i="2"/>
  <c r="EU19" i="2"/>
  <c r="EP19" i="2"/>
  <c r="EL19" i="2"/>
  <c r="ET19" i="2"/>
  <c r="DN25" i="2"/>
  <c r="DN63" i="2"/>
  <c r="DN47" i="2"/>
  <c r="DN61" i="2"/>
  <c r="DN45" i="2"/>
  <c r="DN65" i="2"/>
  <c r="DN49" i="2"/>
  <c r="DN59" i="2"/>
  <c r="DN43" i="2"/>
  <c r="DN57" i="2"/>
  <c r="DN55" i="2"/>
  <c r="DN53" i="2"/>
  <c r="DN67" i="2"/>
  <c r="DN51" i="2"/>
  <c r="DN21" i="2"/>
  <c r="DN27" i="2"/>
  <c r="DN31" i="2"/>
  <c r="DN33" i="2"/>
  <c r="DN35" i="2"/>
  <c r="DN41" i="2"/>
  <c r="DN39" i="2"/>
  <c r="DN29" i="2"/>
  <c r="DD63" i="2"/>
  <c r="DG63" i="2"/>
  <c r="DF63" i="2"/>
  <c r="DE63" i="2"/>
  <c r="DD39" i="2"/>
  <c r="DF39" i="2"/>
  <c r="DG39" i="2"/>
  <c r="DE39" i="2"/>
  <c r="DD33" i="2"/>
  <c r="DF33" i="2"/>
  <c r="DG33" i="2"/>
  <c r="DE33" i="2"/>
  <c r="DD19" i="2"/>
  <c r="DF19" i="2"/>
  <c r="DG19" i="2"/>
  <c r="DE19" i="2"/>
  <c r="DD61" i="2"/>
  <c r="DG61" i="2"/>
  <c r="DF61" i="2"/>
  <c r="DE61" i="2"/>
  <c r="DD53" i="2"/>
  <c r="DF53" i="2"/>
  <c r="DG53" i="2"/>
  <c r="DE53" i="2"/>
  <c r="DD45" i="2"/>
  <c r="DF45" i="2"/>
  <c r="DG45" i="2"/>
  <c r="DE45" i="2"/>
  <c r="DD35" i="2"/>
  <c r="DF35" i="2"/>
  <c r="DG35" i="2"/>
  <c r="DE35" i="2"/>
  <c r="DD27" i="2"/>
  <c r="DF27" i="2"/>
  <c r="DG27" i="2"/>
  <c r="DE27" i="2"/>
  <c r="DD47" i="2"/>
  <c r="DF47" i="2"/>
  <c r="DG47" i="2"/>
  <c r="DE47" i="2"/>
  <c r="DD67" i="2"/>
  <c r="DG67" i="2"/>
  <c r="DF67" i="2"/>
  <c r="DE67" i="2"/>
  <c r="DD59" i="2"/>
  <c r="DG59" i="2"/>
  <c r="DF59" i="2"/>
  <c r="DE59" i="2"/>
  <c r="DD51" i="2"/>
  <c r="DF51" i="2"/>
  <c r="DG51" i="2"/>
  <c r="DE51" i="2"/>
  <c r="DD43" i="2"/>
  <c r="DF43" i="2"/>
  <c r="DG43" i="2"/>
  <c r="DE43" i="2"/>
  <c r="DD21" i="2"/>
  <c r="DF21" i="2"/>
  <c r="DG21" i="2"/>
  <c r="DE21" i="2"/>
  <c r="DD29" i="2"/>
  <c r="DF29" i="2"/>
  <c r="DG29" i="2"/>
  <c r="DE29" i="2"/>
  <c r="DD55" i="2"/>
  <c r="DF55" i="2"/>
  <c r="DG55" i="2"/>
  <c r="DE55" i="2"/>
  <c r="DD65" i="2"/>
  <c r="DG65" i="2"/>
  <c r="DF65" i="2"/>
  <c r="DE65" i="2"/>
  <c r="DD57" i="2"/>
  <c r="DF57" i="2"/>
  <c r="DG57" i="2"/>
  <c r="DE57" i="2"/>
  <c r="DD49" i="2"/>
  <c r="DF49" i="2"/>
  <c r="DG49" i="2"/>
  <c r="DE49" i="2"/>
  <c r="DD41" i="2"/>
  <c r="DF41" i="2"/>
  <c r="DG41" i="2"/>
  <c r="DE41" i="2"/>
  <c r="DD31" i="2"/>
  <c r="DF31" i="2"/>
  <c r="DG31" i="2"/>
  <c r="DE31" i="2"/>
  <c r="DE23" i="2"/>
  <c r="DD23" i="2"/>
  <c r="DF23" i="2"/>
  <c r="DG23" i="2"/>
  <c r="DE25" i="2"/>
  <c r="DF25" i="2"/>
  <c r="DD25" i="2"/>
  <c r="DG25" i="2"/>
  <c r="CU37" i="2"/>
  <c r="CY37" i="2"/>
  <c r="CV37" i="2"/>
  <c r="CZ37" i="2"/>
  <c r="DA37" i="2"/>
  <c r="CW37" i="2"/>
  <c r="CX37" i="2"/>
  <c r="G21" i="2"/>
  <c r="BX123" i="1"/>
  <c r="BY123" i="1" s="1"/>
  <c r="CP67" i="2"/>
  <c r="V38" i="2"/>
  <c r="HM21" i="2" l="1"/>
  <c r="FE44" i="2"/>
  <c r="FE97" i="2" s="1"/>
  <c r="FH46" i="2"/>
  <c r="FH99" i="2" s="1"/>
  <c r="FM48" i="2"/>
  <c r="FM101" i="2" s="1"/>
  <c r="FG46" i="2"/>
  <c r="FG99" i="2" s="1"/>
  <c r="FN58" i="2"/>
  <c r="FN111" i="2" s="1"/>
  <c r="FK48" i="2"/>
  <c r="FK101" i="2" s="1"/>
  <c r="FI48" i="2"/>
  <c r="FI101" i="2" s="1"/>
  <c r="FM50" i="2"/>
  <c r="FM103" i="2" s="1"/>
  <c r="FC48" i="2"/>
  <c r="FC101" i="2" s="1"/>
  <c r="FI40" i="2"/>
  <c r="FI93" i="2" s="1"/>
  <c r="FD42" i="2"/>
  <c r="FD95" i="2" s="1"/>
  <c r="FA46" i="2"/>
  <c r="FA99" i="2" s="1"/>
  <c r="FD46" i="2"/>
  <c r="FD99" i="2" s="1"/>
  <c r="FJ50" i="2"/>
  <c r="FJ103" i="2" s="1"/>
  <c r="FA50" i="2"/>
  <c r="FA103" i="2" s="1"/>
  <c r="FL58" i="2"/>
  <c r="FL111" i="2" s="1"/>
  <c r="FB52" i="2"/>
  <c r="FB105" i="2" s="1"/>
  <c r="FJ44" i="2"/>
  <c r="FJ97" i="2" s="1"/>
  <c r="FH48" i="2"/>
  <c r="FH101" i="2" s="1"/>
  <c r="FH54" i="2"/>
  <c r="FH107" i="2" s="1"/>
  <c r="FI56" i="2"/>
  <c r="FI109" i="2" s="1"/>
  <c r="FC40" i="2"/>
  <c r="FC93" i="2" s="1"/>
  <c r="FC42" i="2"/>
  <c r="FC95" i="2" s="1"/>
  <c r="FC46" i="2"/>
  <c r="FC99" i="2" s="1"/>
  <c r="FI50" i="2"/>
  <c r="FI103" i="2" s="1"/>
  <c r="FE58" i="2"/>
  <c r="FE111" i="2" s="1"/>
  <c r="FD58" i="2"/>
  <c r="FD111" i="2" s="1"/>
  <c r="FM52" i="2"/>
  <c r="FM105" i="2" s="1"/>
  <c r="FB44" i="2"/>
  <c r="FB97" i="2" s="1"/>
  <c r="FG48" i="2"/>
  <c r="FG101" i="2" s="1"/>
  <c r="FN54" i="2"/>
  <c r="FN107" i="2" s="1"/>
  <c r="FL54" i="2"/>
  <c r="FL107" i="2" s="1"/>
  <c r="FG56" i="2"/>
  <c r="FG109" i="2" s="1"/>
  <c r="FJ46" i="2"/>
  <c r="FJ99" i="2" s="1"/>
  <c r="FC54" i="2"/>
  <c r="FC107" i="2" s="1"/>
  <c r="FN46" i="2"/>
  <c r="FN99" i="2" s="1"/>
  <c r="FB54" i="2"/>
  <c r="FB107" i="2" s="1"/>
  <c r="FL40" i="2"/>
  <c r="FL93" i="2" s="1"/>
  <c r="FI46" i="2"/>
  <c r="FI99" i="2" s="1"/>
  <c r="HM51" i="2"/>
  <c r="HL51" i="2"/>
  <c r="FA54" i="2"/>
  <c r="FA107" i="2" s="1"/>
  <c r="FI42" i="2"/>
  <c r="FI95" i="2" s="1"/>
  <c r="FL48" i="2"/>
  <c r="FL101" i="2" s="1"/>
  <c r="FE42" i="2"/>
  <c r="FE95" i="2" s="1"/>
  <c r="FJ48" i="2"/>
  <c r="FJ101" i="2" s="1"/>
  <c r="FG40" i="2"/>
  <c r="FG93" i="2" s="1"/>
  <c r="FH50" i="2"/>
  <c r="FH103" i="2" s="1"/>
  <c r="FA44" i="2"/>
  <c r="FA97" i="2" s="1"/>
  <c r="FJ54" i="2"/>
  <c r="FJ107" i="2" s="1"/>
  <c r="FH40" i="2"/>
  <c r="FH93" i="2" s="1"/>
  <c r="HL49" i="2"/>
  <c r="HM49" i="2"/>
  <c r="FL52" i="2"/>
  <c r="FL105" i="2" s="1"/>
  <c r="FE48" i="2"/>
  <c r="FE101" i="2" s="1"/>
  <c r="FG54" i="2"/>
  <c r="FG107" i="2" s="1"/>
  <c r="HM25" i="2"/>
  <c r="HN25" i="2" s="1"/>
  <c r="FA40" i="2"/>
  <c r="FA93" i="2" s="1"/>
  <c r="FD40" i="2"/>
  <c r="FD93" i="2" s="1"/>
  <c r="FF42" i="2"/>
  <c r="FF95" i="2" s="1"/>
  <c r="FM42" i="2"/>
  <c r="FM95" i="2" s="1"/>
  <c r="FG50" i="2"/>
  <c r="FG103" i="2" s="1"/>
  <c r="FF58" i="2"/>
  <c r="FF111" i="2" s="1"/>
  <c r="FF52" i="2"/>
  <c r="FF105" i="2" s="1"/>
  <c r="FK52" i="2"/>
  <c r="FK105" i="2" s="1"/>
  <c r="FH44" i="2"/>
  <c r="FH97" i="2" s="1"/>
  <c r="FA48" i="2"/>
  <c r="FA101" i="2" s="1"/>
  <c r="FD48" i="2"/>
  <c r="FD101" i="2" s="1"/>
  <c r="FF54" i="2"/>
  <c r="FF107" i="2" s="1"/>
  <c r="FC56" i="2"/>
  <c r="FC109" i="2" s="1"/>
  <c r="FE56" i="2"/>
  <c r="FE109" i="2" s="1"/>
  <c r="FJ42" i="2"/>
  <c r="FJ95" i="2" s="1"/>
  <c r="FC50" i="2"/>
  <c r="FC103" i="2" s="1"/>
  <c r="FE52" i="2"/>
  <c r="FE105" i="2" s="1"/>
  <c r="HL43" i="2"/>
  <c r="HM43" i="2"/>
  <c r="HN43" i="2" s="1"/>
  <c r="FM56" i="2"/>
  <c r="FM109" i="2" s="1"/>
  <c r="FM40" i="2"/>
  <c r="FM93" i="2" s="1"/>
  <c r="FH42" i="2"/>
  <c r="FH95" i="2" s="1"/>
  <c r="FN50" i="2"/>
  <c r="FN103" i="2" s="1"/>
  <c r="FC58" i="2"/>
  <c r="FC111" i="2" s="1"/>
  <c r="FD52" i="2"/>
  <c r="FD105" i="2" s="1"/>
  <c r="FI44" i="2"/>
  <c r="FI97" i="2" s="1"/>
  <c r="FL56" i="2"/>
  <c r="FL109" i="2" s="1"/>
  <c r="FC44" i="2"/>
  <c r="FC97" i="2" s="1"/>
  <c r="FK40" i="2"/>
  <c r="FK93" i="2" s="1"/>
  <c r="FL50" i="2"/>
  <c r="FL103" i="2" s="1"/>
  <c r="FD50" i="2"/>
  <c r="FD103" i="2" s="1"/>
  <c r="FM58" i="2"/>
  <c r="FM111" i="2" s="1"/>
  <c r="FG52" i="2"/>
  <c r="FG105" i="2" s="1"/>
  <c r="FM44" i="2"/>
  <c r="FM97" i="2" s="1"/>
  <c r="FJ56" i="2"/>
  <c r="FJ109" i="2" s="1"/>
  <c r="FJ40" i="2"/>
  <c r="FJ93" i="2" s="1"/>
  <c r="FE46" i="2"/>
  <c r="FE99" i="2" s="1"/>
  <c r="FA58" i="2"/>
  <c r="FA111" i="2" s="1"/>
  <c r="FC52" i="2"/>
  <c r="FC105" i="2" s="1"/>
  <c r="FK44" i="2"/>
  <c r="FK97" i="2" s="1"/>
  <c r="FA56" i="2"/>
  <c r="FA109" i="2" s="1"/>
  <c r="HL39" i="2"/>
  <c r="HM39" i="2"/>
  <c r="FB46" i="2"/>
  <c r="FB99" i="2" s="1"/>
  <c r="FI58" i="2"/>
  <c r="FI111" i="2" s="1"/>
  <c r="FB58" i="2"/>
  <c r="FB111" i="2" s="1"/>
  <c r="FF48" i="2"/>
  <c r="FF101" i="2" s="1"/>
  <c r="HL53" i="2"/>
  <c r="HM53" i="2"/>
  <c r="FF40" i="2"/>
  <c r="FF93" i="2" s="1"/>
  <c r="FM46" i="2"/>
  <c r="FM99" i="2" s="1"/>
  <c r="FH58" i="2"/>
  <c r="FH111" i="2" s="1"/>
  <c r="FK58" i="2"/>
  <c r="FK111" i="2" s="1"/>
  <c r="FL44" i="2"/>
  <c r="FL97" i="2" s="1"/>
  <c r="FF56" i="2"/>
  <c r="FF109" i="2" s="1"/>
  <c r="FB40" i="2"/>
  <c r="FB93" i="2" s="1"/>
  <c r="HL41" i="2"/>
  <c r="HM41" i="2"/>
  <c r="FA42" i="2"/>
  <c r="FA95" i="2" s="1"/>
  <c r="FL46" i="2"/>
  <c r="FL99" i="2" s="1"/>
  <c r="FF50" i="2"/>
  <c r="FF103" i="2" s="1"/>
  <c r="HM57" i="2"/>
  <c r="HL57" i="2"/>
  <c r="FI52" i="2"/>
  <c r="FI105" i="2" s="1"/>
  <c r="FN52" i="2"/>
  <c r="FN105" i="2" s="1"/>
  <c r="FG44" i="2"/>
  <c r="FG97" i="2" s="1"/>
  <c r="FN48" i="2"/>
  <c r="FN101" i="2" s="1"/>
  <c r="FE54" i="2"/>
  <c r="FE107" i="2" s="1"/>
  <c r="FB56" i="2"/>
  <c r="FB109" i="2" s="1"/>
  <c r="FH56" i="2"/>
  <c r="FH109" i="2" s="1"/>
  <c r="FN40" i="2"/>
  <c r="FN93" i="2" s="1"/>
  <c r="HL45" i="2"/>
  <c r="HM45" i="2"/>
  <c r="FJ58" i="2"/>
  <c r="FJ111" i="2" s="1"/>
  <c r="HL47" i="2"/>
  <c r="HM47" i="2"/>
  <c r="HN47" i="2" s="1"/>
  <c r="FD44" i="2"/>
  <c r="FD97" i="2" s="1"/>
  <c r="FG42" i="2"/>
  <c r="FG95" i="2" s="1"/>
  <c r="FB50" i="2"/>
  <c r="FB103" i="2" s="1"/>
  <c r="FN44" i="2"/>
  <c r="FN97" i="2" s="1"/>
  <c r="FK56" i="2"/>
  <c r="FK109" i="2" s="1"/>
  <c r="FF46" i="2"/>
  <c r="FF99" i="2" s="1"/>
  <c r="FK54" i="2"/>
  <c r="FK107" i="2" s="1"/>
  <c r="FK50" i="2"/>
  <c r="FK103" i="2" s="1"/>
  <c r="FI54" i="2"/>
  <c r="FI107" i="2" s="1"/>
  <c r="FN42" i="2"/>
  <c r="FN95" i="2" s="1"/>
  <c r="FA52" i="2"/>
  <c r="FA105" i="2" s="1"/>
  <c r="HM55" i="2"/>
  <c r="HL55" i="2"/>
  <c r="HN55" i="2"/>
  <c r="FB42" i="2"/>
  <c r="FB95" i="2" s="1"/>
  <c r="FM54" i="2"/>
  <c r="FM107" i="2" s="1"/>
  <c r="FE40" i="2"/>
  <c r="FE93" i="2" s="1"/>
  <c r="FK42" i="2"/>
  <c r="FK95" i="2" s="1"/>
  <c r="FL42" i="2"/>
  <c r="FL95" i="2" s="1"/>
  <c r="FK46" i="2"/>
  <c r="FK99" i="2" s="1"/>
  <c r="FE50" i="2"/>
  <c r="FE103" i="2" s="1"/>
  <c r="FG58" i="2"/>
  <c r="FG111" i="2" s="1"/>
  <c r="FH52" i="2"/>
  <c r="FH105" i="2" s="1"/>
  <c r="FJ52" i="2"/>
  <c r="FJ105" i="2" s="1"/>
  <c r="FF44" i="2"/>
  <c r="FF97" i="2" s="1"/>
  <c r="FB48" i="2"/>
  <c r="FB101" i="2" s="1"/>
  <c r="FD54" i="2"/>
  <c r="FD107" i="2" s="1"/>
  <c r="FN56" i="2"/>
  <c r="FN109" i="2" s="1"/>
  <c r="FD56" i="2"/>
  <c r="FD109" i="2" s="1"/>
  <c r="FF36" i="2"/>
  <c r="FF89" i="2" s="1"/>
  <c r="FE36" i="2"/>
  <c r="FE89" i="2" s="1"/>
  <c r="FA36" i="2"/>
  <c r="FA89" i="2" s="1"/>
  <c r="FD36" i="2"/>
  <c r="FD89" i="2" s="1"/>
  <c r="FH36" i="2"/>
  <c r="FH89" i="2" s="1"/>
  <c r="HL35" i="2"/>
  <c r="HM35" i="2"/>
  <c r="FN36" i="2"/>
  <c r="FN89" i="2" s="1"/>
  <c r="FL36" i="2"/>
  <c r="FL89" i="2" s="1"/>
  <c r="FB36" i="2"/>
  <c r="FB89" i="2" s="1"/>
  <c r="FK36" i="2"/>
  <c r="FK89" i="2" s="1"/>
  <c r="FM36" i="2"/>
  <c r="FM89" i="2" s="1"/>
  <c r="FI36" i="2"/>
  <c r="FI89" i="2" s="1"/>
  <c r="FG36" i="2"/>
  <c r="FG89" i="2" s="1"/>
  <c r="FC36" i="2"/>
  <c r="FC89" i="2" s="1"/>
  <c r="FJ36" i="2"/>
  <c r="FJ89" i="2" s="1"/>
  <c r="FE34" i="2"/>
  <c r="FE87" i="2" s="1"/>
  <c r="HL33" i="2"/>
  <c r="HM33" i="2"/>
  <c r="FN34" i="2"/>
  <c r="FN87" i="2" s="1"/>
  <c r="FI34" i="2"/>
  <c r="FI87" i="2" s="1"/>
  <c r="FC34" i="2"/>
  <c r="FC87" i="2" s="1"/>
  <c r="FJ34" i="2"/>
  <c r="FJ87" i="2" s="1"/>
  <c r="FH34" i="2"/>
  <c r="FH87" i="2" s="1"/>
  <c r="FG34" i="2"/>
  <c r="FG87" i="2" s="1"/>
  <c r="FD34" i="2"/>
  <c r="FD87" i="2" s="1"/>
  <c r="FL34" i="2"/>
  <c r="FL87" i="2" s="1"/>
  <c r="FF34" i="2"/>
  <c r="FF87" i="2" s="1"/>
  <c r="FM34" i="2"/>
  <c r="FM87" i="2" s="1"/>
  <c r="FB34" i="2"/>
  <c r="FB87" i="2" s="1"/>
  <c r="FK34" i="2"/>
  <c r="FK87" i="2" s="1"/>
  <c r="FA34" i="2"/>
  <c r="FA87" i="2" s="1"/>
  <c r="FD32" i="2"/>
  <c r="FD85" i="2" s="1"/>
  <c r="FL32" i="2"/>
  <c r="FL85" i="2" s="1"/>
  <c r="FI32" i="2"/>
  <c r="FI85" i="2" s="1"/>
  <c r="FG32" i="2"/>
  <c r="FG85" i="2" s="1"/>
  <c r="FK32" i="2"/>
  <c r="FK85" i="2" s="1"/>
  <c r="FH32" i="2"/>
  <c r="FH85" i="2" s="1"/>
  <c r="FJ32" i="2"/>
  <c r="FJ85" i="2" s="1"/>
  <c r="FC32" i="2"/>
  <c r="FC85" i="2" s="1"/>
  <c r="HL31" i="2"/>
  <c r="HM31" i="2"/>
  <c r="FB32" i="2"/>
  <c r="FB85" i="2" s="1"/>
  <c r="FF32" i="2"/>
  <c r="FF85" i="2" s="1"/>
  <c r="FM32" i="2"/>
  <c r="FM85" i="2" s="1"/>
  <c r="FN32" i="2"/>
  <c r="FN85" i="2" s="1"/>
  <c r="FE32" i="2"/>
  <c r="FE85" i="2" s="1"/>
  <c r="FA32" i="2"/>
  <c r="FA85" i="2" s="1"/>
  <c r="FI30" i="2"/>
  <c r="FI83" i="2" s="1"/>
  <c r="FG30" i="2"/>
  <c r="FG83" i="2" s="1"/>
  <c r="FF30" i="2"/>
  <c r="FF83" i="2" s="1"/>
  <c r="FJ30" i="2"/>
  <c r="FJ83" i="2" s="1"/>
  <c r="FH30" i="2"/>
  <c r="FH83" i="2" s="1"/>
  <c r="FE30" i="2"/>
  <c r="FE83" i="2" s="1"/>
  <c r="FD30" i="2"/>
  <c r="FD83" i="2" s="1"/>
  <c r="FC30" i="2"/>
  <c r="FC83" i="2" s="1"/>
  <c r="FN30" i="2"/>
  <c r="FN83" i="2" s="1"/>
  <c r="HL29" i="2"/>
  <c r="HM29" i="2"/>
  <c r="HN29" i="2"/>
  <c r="FB30" i="2"/>
  <c r="FB83" i="2" s="1"/>
  <c r="FL30" i="2"/>
  <c r="FL83" i="2" s="1"/>
  <c r="FM30" i="2"/>
  <c r="FM83" i="2" s="1"/>
  <c r="FK30" i="2"/>
  <c r="FK83" i="2" s="1"/>
  <c r="FA30" i="2"/>
  <c r="FA83" i="2" s="1"/>
  <c r="FL28" i="2"/>
  <c r="FL81" i="2" s="1"/>
  <c r="FF28" i="2"/>
  <c r="FF81" i="2" s="1"/>
  <c r="FK28" i="2"/>
  <c r="FK81" i="2" s="1"/>
  <c r="FE28" i="2"/>
  <c r="FE81" i="2" s="1"/>
  <c r="FD28" i="2"/>
  <c r="FD81" i="2" s="1"/>
  <c r="FC28" i="2"/>
  <c r="FC81" i="2" s="1"/>
  <c r="FN28" i="2"/>
  <c r="FN81" i="2" s="1"/>
  <c r="FB28" i="2"/>
  <c r="FB81" i="2" s="1"/>
  <c r="FI28" i="2"/>
  <c r="FI81" i="2" s="1"/>
  <c r="FH28" i="2"/>
  <c r="FH81" i="2" s="1"/>
  <c r="FG28" i="2"/>
  <c r="FG81" i="2" s="1"/>
  <c r="FJ28" i="2"/>
  <c r="FJ81" i="2" s="1"/>
  <c r="FM28" i="2"/>
  <c r="FM81" i="2" s="1"/>
  <c r="HL27" i="2"/>
  <c r="HM27" i="2"/>
  <c r="FA28" i="2"/>
  <c r="FA81" i="2" s="1"/>
  <c r="FC26" i="2"/>
  <c r="FC79" i="2" s="1"/>
  <c r="FH26" i="2"/>
  <c r="FH79" i="2" s="1"/>
  <c r="FG26" i="2"/>
  <c r="FG79" i="2" s="1"/>
  <c r="FE26" i="2"/>
  <c r="FE79" i="2" s="1"/>
  <c r="FD26" i="2"/>
  <c r="FD79" i="2" s="1"/>
  <c r="FN26" i="2"/>
  <c r="FN79" i="2" s="1"/>
  <c r="FB26" i="2"/>
  <c r="FB79" i="2" s="1"/>
  <c r="FL26" i="2"/>
  <c r="FL79" i="2" s="1"/>
  <c r="FM26" i="2"/>
  <c r="FM79" i="2" s="1"/>
  <c r="FI26" i="2"/>
  <c r="FI79" i="2" s="1"/>
  <c r="FF26" i="2"/>
  <c r="FF79" i="2" s="1"/>
  <c r="FK26" i="2"/>
  <c r="FK79" i="2" s="1"/>
  <c r="FA26" i="2"/>
  <c r="FA79" i="2" s="1"/>
  <c r="FJ26" i="2"/>
  <c r="FJ79" i="2" s="1"/>
  <c r="FF24" i="2"/>
  <c r="FE24" i="2"/>
  <c r="FA24" i="2"/>
  <c r="FD24" i="2"/>
  <c r="FN24" i="2"/>
  <c r="FB24" i="2"/>
  <c r="FL24" i="2"/>
  <c r="FM24" i="2"/>
  <c r="FI24" i="2"/>
  <c r="FH24" i="2"/>
  <c r="FC24" i="2"/>
  <c r="FJ24" i="2"/>
  <c r="FK24" i="2"/>
  <c r="FG24" i="2"/>
  <c r="FI22" i="2"/>
  <c r="FI75" i="2" s="1"/>
  <c r="FH22" i="2"/>
  <c r="FH75" i="2" s="1"/>
  <c r="FG22" i="2"/>
  <c r="FG75" i="2" s="1"/>
  <c r="FF22" i="2"/>
  <c r="FF75" i="2" s="1"/>
  <c r="FN22" i="2"/>
  <c r="FN75" i="2" s="1"/>
  <c r="FB22" i="2"/>
  <c r="FB75" i="2" s="1"/>
  <c r="FL22" i="2"/>
  <c r="FL75" i="2" s="1"/>
  <c r="FM22" i="2"/>
  <c r="FE22" i="2"/>
  <c r="FE75" i="2" s="1"/>
  <c r="FA22" i="2"/>
  <c r="FA75" i="2" s="1"/>
  <c r="FD22" i="2"/>
  <c r="FD75" i="2" s="1"/>
  <c r="FC22" i="2"/>
  <c r="FC75" i="2" s="1"/>
  <c r="FK22" i="2"/>
  <c r="FK75" i="2" s="1"/>
  <c r="FJ22" i="2"/>
  <c r="FJ75" i="2" s="1"/>
  <c r="HM19" i="2"/>
  <c r="HN19" i="2" s="1"/>
  <c r="J22" i="2"/>
  <c r="K22" i="2"/>
  <c r="L22" i="2"/>
  <c r="FS75" i="2"/>
  <c r="FT75" i="2"/>
  <c r="FU75" i="2"/>
  <c r="GM170" i="2"/>
  <c r="GN170" i="2"/>
  <c r="GK165" i="2"/>
  <c r="GF170" i="2"/>
  <c r="GI170" i="2"/>
  <c r="GP170" i="2"/>
  <c r="GR170" i="2"/>
  <c r="GA170" i="2"/>
  <c r="GH170" i="2"/>
  <c r="GO170" i="2"/>
  <c r="FU170" i="2"/>
  <c r="FS170" i="2"/>
  <c r="FZ170" i="2"/>
  <c r="GG170" i="2"/>
  <c r="FT170" i="2"/>
  <c r="GE170" i="2"/>
  <c r="GB165" i="2"/>
  <c r="FW170" i="2"/>
  <c r="FR170" i="2"/>
  <c r="FY170" i="2"/>
  <c r="GQ170" i="2"/>
  <c r="GC170" i="2"/>
  <c r="GK170" i="2"/>
  <c r="GT170" i="2"/>
  <c r="GL170" i="2"/>
  <c r="GJ170" i="2"/>
  <c r="GB170" i="2"/>
  <c r="GD170" i="2"/>
  <c r="FX165" i="2"/>
  <c r="GG165" i="2"/>
  <c r="FX170" i="2"/>
  <c r="GS170" i="2"/>
  <c r="GU170" i="2"/>
  <c r="FV170" i="2"/>
  <c r="FU165" i="2"/>
  <c r="GI150" i="2"/>
  <c r="GH155" i="2"/>
  <c r="GR155" i="2"/>
  <c r="FY155" i="2"/>
  <c r="GM155" i="2"/>
  <c r="GN140" i="2"/>
  <c r="GR145" i="2"/>
  <c r="GJ145" i="2"/>
  <c r="FY145" i="2"/>
  <c r="GM145" i="2"/>
  <c r="GA115" i="2"/>
  <c r="FY115" i="2"/>
  <c r="GM115" i="2"/>
  <c r="GQ160" i="2"/>
  <c r="FS160" i="2"/>
  <c r="GR165" i="2"/>
  <c r="FS165" i="2"/>
  <c r="FZ135" i="2"/>
  <c r="GS165" i="2"/>
  <c r="GJ165" i="2"/>
  <c r="GT165" i="2"/>
  <c r="GM165" i="2"/>
  <c r="GF165" i="2"/>
  <c r="GC165" i="2"/>
  <c r="GL165" i="2"/>
  <c r="GU165" i="2"/>
  <c r="FV165" i="2"/>
  <c r="GE165" i="2"/>
  <c r="GP165" i="2"/>
  <c r="FY165" i="2"/>
  <c r="GO165" i="2"/>
  <c r="FW165" i="2"/>
  <c r="GQ165" i="2"/>
  <c r="GH165" i="2"/>
  <c r="FT165" i="2"/>
  <c r="GI165" i="2"/>
  <c r="FZ165" i="2"/>
  <c r="GD165" i="2"/>
  <c r="GN165" i="2"/>
  <c r="GA165" i="2"/>
  <c r="FR165" i="2"/>
  <c r="GI160" i="2"/>
  <c r="GR160" i="2"/>
  <c r="FR160" i="2"/>
  <c r="GK160" i="2"/>
  <c r="GJ160" i="2"/>
  <c r="FY160" i="2"/>
  <c r="GL160" i="2"/>
  <c r="GH160" i="2"/>
  <c r="GG160" i="2"/>
  <c r="GT160" i="2"/>
  <c r="FV160" i="2"/>
  <c r="GO160" i="2"/>
  <c r="FX160" i="2"/>
  <c r="GP160" i="2"/>
  <c r="GM160" i="2"/>
  <c r="FT160" i="2"/>
  <c r="GS160" i="2"/>
  <c r="GN160" i="2"/>
  <c r="FZ160" i="2"/>
  <c r="FW160" i="2"/>
  <c r="GD160" i="2"/>
  <c r="GE160" i="2"/>
  <c r="GC160" i="2"/>
  <c r="GU160" i="2"/>
  <c r="FU160" i="2"/>
  <c r="GF160" i="2"/>
  <c r="GB160" i="2"/>
  <c r="GA160" i="2"/>
  <c r="GS155" i="2"/>
  <c r="GB155" i="2"/>
  <c r="GP155" i="2"/>
  <c r="FU155" i="2"/>
  <c r="FS155" i="2"/>
  <c r="GF155" i="2"/>
  <c r="GT155" i="2"/>
  <c r="FX155" i="2"/>
  <c r="GL155" i="2"/>
  <c r="GE155" i="2"/>
  <c r="FZ155" i="2"/>
  <c r="FR155" i="2"/>
  <c r="GK155" i="2"/>
  <c r="GQ155" i="2"/>
  <c r="GN155" i="2"/>
  <c r="GI155" i="2"/>
  <c r="FV155" i="2"/>
  <c r="GJ155" i="2"/>
  <c r="GO155" i="2"/>
  <c r="FW155" i="2"/>
  <c r="GC155" i="2"/>
  <c r="FT155" i="2"/>
  <c r="GD155" i="2"/>
  <c r="GA155" i="2"/>
  <c r="GG155" i="2"/>
  <c r="GU155" i="2"/>
  <c r="GF150" i="2"/>
  <c r="GJ150" i="2"/>
  <c r="GB150" i="2"/>
  <c r="FT150" i="2"/>
  <c r="GM150" i="2"/>
  <c r="GT150" i="2"/>
  <c r="GS150" i="2"/>
  <c r="GP150" i="2"/>
  <c r="GU150" i="2"/>
  <c r="FY150" i="2"/>
  <c r="GE150" i="2"/>
  <c r="FW150" i="2"/>
  <c r="GK150" i="2"/>
  <c r="GH150" i="2"/>
  <c r="GR150" i="2"/>
  <c r="GG150" i="2"/>
  <c r="FX150" i="2"/>
  <c r="GL150" i="2"/>
  <c r="GC150" i="2"/>
  <c r="FZ150" i="2"/>
  <c r="GA150" i="2"/>
  <c r="FS150" i="2"/>
  <c r="GO150" i="2"/>
  <c r="GN150" i="2"/>
  <c r="FU150" i="2"/>
  <c r="FR150" i="2"/>
  <c r="GD150" i="2"/>
  <c r="FV150" i="2"/>
  <c r="GQ150" i="2"/>
  <c r="GS145" i="2"/>
  <c r="GC145" i="2"/>
  <c r="FT145" i="2"/>
  <c r="GI145" i="2"/>
  <c r="GN145" i="2"/>
  <c r="FU145" i="2"/>
  <c r="FR145" i="2"/>
  <c r="GK145" i="2"/>
  <c r="GH145" i="2"/>
  <c r="GF145" i="2"/>
  <c r="GT145" i="2"/>
  <c r="GQ145" i="2"/>
  <c r="FX145" i="2"/>
  <c r="GL145" i="2"/>
  <c r="GB145" i="2"/>
  <c r="GA145" i="2"/>
  <c r="GO145" i="2"/>
  <c r="FZ145" i="2"/>
  <c r="GE145" i="2"/>
  <c r="FW145" i="2"/>
  <c r="GP145" i="2"/>
  <c r="GD145" i="2"/>
  <c r="FS145" i="2"/>
  <c r="FV145" i="2"/>
  <c r="GG145" i="2"/>
  <c r="GU145" i="2"/>
  <c r="FT140" i="2"/>
  <c r="GE140" i="2"/>
  <c r="GJ140" i="2"/>
  <c r="GT140" i="2"/>
  <c r="GL140" i="2"/>
  <c r="GS140" i="2"/>
  <c r="GP140" i="2"/>
  <c r="GI140" i="2"/>
  <c r="FV140" i="2"/>
  <c r="FS140" i="2"/>
  <c r="GO140" i="2"/>
  <c r="GG140" i="2"/>
  <c r="FY140" i="2"/>
  <c r="FW140" i="2"/>
  <c r="GU140" i="2"/>
  <c r="GK140" i="2"/>
  <c r="GH140" i="2"/>
  <c r="GC140" i="2"/>
  <c r="FZ140" i="2"/>
  <c r="FX140" i="2"/>
  <c r="GR140" i="2"/>
  <c r="GM140" i="2"/>
  <c r="GB140" i="2"/>
  <c r="GF140" i="2"/>
  <c r="FU140" i="2"/>
  <c r="FR140" i="2"/>
  <c r="GA140" i="2"/>
  <c r="GD140" i="2"/>
  <c r="GQ140" i="2"/>
  <c r="GT135" i="2"/>
  <c r="FX135" i="2"/>
  <c r="GP135" i="2"/>
  <c r="GH135" i="2"/>
  <c r="GG135" i="2"/>
  <c r="GJ135" i="2"/>
  <c r="FY135" i="2"/>
  <c r="GM135" i="2"/>
  <c r="FR135" i="2"/>
  <c r="GE135" i="2"/>
  <c r="GT125" i="2"/>
  <c r="GL135" i="2"/>
  <c r="GO135" i="2"/>
  <c r="GU135" i="2"/>
  <c r="FW135" i="2"/>
  <c r="GS135" i="2"/>
  <c r="GK135" i="2"/>
  <c r="GF135" i="2"/>
  <c r="GD135" i="2"/>
  <c r="FS135" i="2"/>
  <c r="FV135" i="2"/>
  <c r="FT135" i="2"/>
  <c r="GC135" i="2"/>
  <c r="GQ135" i="2"/>
  <c r="GR135" i="2"/>
  <c r="GB135" i="2"/>
  <c r="GI135" i="2"/>
  <c r="GA135" i="2"/>
  <c r="GN135" i="2"/>
  <c r="FU135" i="2"/>
  <c r="GF130" i="2"/>
  <c r="GQ130" i="2"/>
  <c r="GH130" i="2"/>
  <c r="FX130" i="2"/>
  <c r="FV130" i="2"/>
  <c r="GI130" i="2"/>
  <c r="GD130" i="2"/>
  <c r="GK130" i="2"/>
  <c r="GM130" i="2"/>
  <c r="GT130" i="2"/>
  <c r="GA130" i="2"/>
  <c r="GF125" i="2"/>
  <c r="FT130" i="2"/>
  <c r="GP130" i="2"/>
  <c r="GU130" i="2"/>
  <c r="FZ130" i="2"/>
  <c r="FU130" i="2"/>
  <c r="FR130" i="2"/>
  <c r="FW130" i="2"/>
  <c r="FS130" i="2"/>
  <c r="GR130" i="2"/>
  <c r="GO130" i="2"/>
  <c r="GS130" i="2"/>
  <c r="GL130" i="2"/>
  <c r="GC130" i="2"/>
  <c r="GE130" i="2"/>
  <c r="GJ130" i="2"/>
  <c r="GG130" i="2"/>
  <c r="GN130" i="2"/>
  <c r="GB130" i="2"/>
  <c r="FY130" i="2"/>
  <c r="GD125" i="2"/>
  <c r="FR125" i="2"/>
  <c r="GJ125" i="2"/>
  <c r="GO125" i="2"/>
  <c r="GR125" i="2"/>
  <c r="GH125" i="2"/>
  <c r="GG125" i="2"/>
  <c r="GU125" i="2"/>
  <c r="GQ125" i="2"/>
  <c r="FY125" i="2"/>
  <c r="GM125" i="2"/>
  <c r="FV125" i="2"/>
  <c r="GB125" i="2"/>
  <c r="FT125" i="2"/>
  <c r="GE125" i="2"/>
  <c r="FX125" i="2"/>
  <c r="GA125" i="2"/>
  <c r="GP125" i="2"/>
  <c r="GC125" i="2"/>
  <c r="GL125" i="2"/>
  <c r="FZ125" i="2"/>
  <c r="FW125" i="2"/>
  <c r="GS125" i="2"/>
  <c r="GK125" i="2"/>
  <c r="GI125" i="2"/>
  <c r="FS125" i="2"/>
  <c r="GN125" i="2"/>
  <c r="FU125" i="2"/>
  <c r="GQ115" i="2"/>
  <c r="FW115" i="2"/>
  <c r="GN115" i="2"/>
  <c r="GP115" i="2"/>
  <c r="GF115" i="2"/>
  <c r="GT115" i="2"/>
  <c r="FS115" i="2"/>
  <c r="FX115" i="2"/>
  <c r="GL115" i="2"/>
  <c r="GI115" i="2"/>
  <c r="GS115" i="2"/>
  <c r="FT115" i="2"/>
  <c r="GC115" i="2"/>
  <c r="GR115" i="2"/>
  <c r="GD115" i="2"/>
  <c r="FV115" i="2"/>
  <c r="GE115" i="2"/>
  <c r="GK115" i="2"/>
  <c r="GH115" i="2"/>
  <c r="FZ115" i="2"/>
  <c r="GJ115" i="2"/>
  <c r="GO115" i="2"/>
  <c r="FU115" i="2"/>
  <c r="GB115" i="2"/>
  <c r="FR115" i="2"/>
  <c r="GG115" i="2"/>
  <c r="GU115" i="2"/>
  <c r="FR105" i="2"/>
  <c r="GA75" i="2"/>
  <c r="GO105" i="2"/>
  <c r="GG105" i="2"/>
  <c r="FY105" i="2"/>
  <c r="GE105" i="2"/>
  <c r="GI105" i="2"/>
  <c r="GQ105" i="2"/>
  <c r="FW105" i="2"/>
  <c r="GS105" i="2"/>
  <c r="FR85" i="2"/>
  <c r="FV105" i="2"/>
  <c r="GM105" i="2"/>
  <c r="GK105" i="2"/>
  <c r="GD105" i="2"/>
  <c r="GA95" i="2"/>
  <c r="GB105" i="2"/>
  <c r="GJ105" i="2"/>
  <c r="GU105" i="2"/>
  <c r="GA105" i="2"/>
  <c r="GR105" i="2"/>
  <c r="GC105" i="2"/>
  <c r="GR85" i="2"/>
  <c r="GB95" i="2"/>
  <c r="GL75" i="2"/>
  <c r="GP105" i="2"/>
  <c r="GH105" i="2"/>
  <c r="FZ105" i="2"/>
  <c r="GN105" i="2"/>
  <c r="FU105" i="2"/>
  <c r="GF105" i="2"/>
  <c r="GT105" i="2"/>
  <c r="FT105" i="2"/>
  <c r="FX105" i="2"/>
  <c r="GL105" i="2"/>
  <c r="FS105" i="2"/>
  <c r="GH95" i="2"/>
  <c r="FX95" i="2"/>
  <c r="GO95" i="2"/>
  <c r="FY95" i="2"/>
  <c r="GU95" i="2"/>
  <c r="GS95" i="2"/>
  <c r="GQ95" i="2"/>
  <c r="FU95" i="2"/>
  <c r="FW95" i="2"/>
  <c r="GD95" i="2"/>
  <c r="FV95" i="2"/>
  <c r="FR95" i="2"/>
  <c r="GK95" i="2"/>
  <c r="GC95" i="2"/>
  <c r="GN95" i="2"/>
  <c r="GM95" i="2"/>
  <c r="GL95" i="2"/>
  <c r="FS95" i="2"/>
  <c r="GF95" i="2"/>
  <c r="GI95" i="2"/>
  <c r="GT95" i="2"/>
  <c r="GR95" i="2"/>
  <c r="GJ95" i="2"/>
  <c r="FZ95" i="2"/>
  <c r="GG95" i="2"/>
  <c r="FT95" i="2"/>
  <c r="GE95" i="2"/>
  <c r="GP95" i="2"/>
  <c r="FT85" i="2"/>
  <c r="GH85" i="2"/>
  <c r="GQ85" i="2"/>
  <c r="FZ85" i="2"/>
  <c r="GS85" i="2"/>
  <c r="FV85" i="2"/>
  <c r="GJ85" i="2"/>
  <c r="GM85" i="2"/>
  <c r="GP85" i="2"/>
  <c r="GD85" i="2"/>
  <c r="GL85" i="2"/>
  <c r="GN85" i="2"/>
  <c r="GG85" i="2"/>
  <c r="GB85" i="2"/>
  <c r="GI85" i="2"/>
  <c r="GF85" i="2"/>
  <c r="GE85" i="2"/>
  <c r="GO85" i="2"/>
  <c r="GA85" i="2"/>
  <c r="GU85" i="2"/>
  <c r="FX85" i="2"/>
  <c r="FU85" i="2"/>
  <c r="GK85" i="2"/>
  <c r="FW85" i="2"/>
  <c r="GT85" i="2"/>
  <c r="FY85" i="2"/>
  <c r="GC85" i="2"/>
  <c r="FS85" i="2"/>
  <c r="GD75" i="2"/>
  <c r="GH75" i="2"/>
  <c r="GO75" i="2"/>
  <c r="FZ75" i="2"/>
  <c r="GS75" i="2"/>
  <c r="GK75" i="2"/>
  <c r="FV75" i="2"/>
  <c r="GG75" i="2"/>
  <c r="GR75" i="2"/>
  <c r="GC75" i="2"/>
  <c r="GN75" i="2"/>
  <c r="FY75" i="2"/>
  <c r="GJ75" i="2"/>
  <c r="GU75" i="2"/>
  <c r="GF75" i="2"/>
  <c r="FX75" i="2"/>
  <c r="GI75" i="2"/>
  <c r="GT75" i="2"/>
  <c r="FW75" i="2"/>
  <c r="GQ75" i="2"/>
  <c r="GB75" i="2"/>
  <c r="GM75" i="2"/>
  <c r="GE75" i="2"/>
  <c r="GP75" i="2"/>
  <c r="FR75" i="2"/>
  <c r="HN21" i="2"/>
  <c r="HN23" i="2"/>
  <c r="DM19" i="2"/>
  <c r="EK58" i="2"/>
  <c r="EK111" i="2" s="1"/>
  <c r="EK52" i="2"/>
  <c r="EK105" i="2" s="1"/>
  <c r="EK48" i="2"/>
  <c r="EK101" i="2" s="1"/>
  <c r="EK50" i="2"/>
  <c r="EK103" i="2" s="1"/>
  <c r="EK56" i="2"/>
  <c r="EK109" i="2" s="1"/>
  <c r="EK54" i="2"/>
  <c r="EK107" i="2" s="1"/>
  <c r="EK46" i="2"/>
  <c r="EK99" i="2" s="1"/>
  <c r="EK44" i="2"/>
  <c r="EK97" i="2" s="1"/>
  <c r="EK42" i="2"/>
  <c r="EK95" i="2" s="1"/>
  <c r="EK40" i="2"/>
  <c r="EK93" i="2" s="1"/>
  <c r="EK36" i="2"/>
  <c r="EK89" i="2" s="1"/>
  <c r="EK34" i="2"/>
  <c r="EK87" i="2" s="1"/>
  <c r="EK32" i="2"/>
  <c r="EK85" i="2" s="1"/>
  <c r="EK30" i="2"/>
  <c r="EK83" i="2" s="1"/>
  <c r="EK28" i="2"/>
  <c r="EK81" i="2" s="1"/>
  <c r="EK26" i="2"/>
  <c r="EK79" i="2" s="1"/>
  <c r="EK24" i="2"/>
  <c r="EK22" i="2"/>
  <c r="F18" i="3"/>
  <c r="F20" i="3"/>
  <c r="E20" i="3" s="1"/>
  <c r="AK28" i="2"/>
  <c r="AG28" i="2"/>
  <c r="AC28" i="2"/>
  <c r="Y28" i="2"/>
  <c r="U28" i="2"/>
  <c r="AI28" i="2"/>
  <c r="S28" i="2"/>
  <c r="AJ28" i="2"/>
  <c r="AF28" i="2"/>
  <c r="AB28" i="2"/>
  <c r="X28" i="2"/>
  <c r="T28" i="2"/>
  <c r="P28" i="2"/>
  <c r="L28" i="2"/>
  <c r="AM28" i="2"/>
  <c r="AL28" i="2"/>
  <c r="AH28" i="2"/>
  <c r="AD28" i="2"/>
  <c r="Z28" i="2"/>
  <c r="V28" i="2"/>
  <c r="R28" i="2"/>
  <c r="N28" i="2"/>
  <c r="AE28" i="2"/>
  <c r="AA28" i="2"/>
  <c r="W28" i="2"/>
  <c r="BU3" i="1"/>
  <c r="F16" i="3"/>
  <c r="E16" i="3" s="1"/>
  <c r="H57" i="2"/>
  <c r="AD58" i="2" s="1"/>
  <c r="AO58" i="2"/>
  <c r="S35" i="3" s="1"/>
  <c r="H51" i="2"/>
  <c r="EM52" i="2" s="1"/>
  <c r="EM105" i="2" s="1"/>
  <c r="AO52" i="2"/>
  <c r="H47" i="2"/>
  <c r="AB48" i="2" s="1"/>
  <c r="AO48" i="2"/>
  <c r="H35" i="2"/>
  <c r="AD36" i="2" s="1"/>
  <c r="H55" i="2"/>
  <c r="AE56" i="2" s="1"/>
  <c r="AO56" i="2"/>
  <c r="S34" i="3" s="1"/>
  <c r="H41" i="2"/>
  <c r="AJ42" i="2" s="1"/>
  <c r="H39" i="2"/>
  <c r="AH40" i="2" s="1"/>
  <c r="H53" i="2"/>
  <c r="AK54" i="2" s="1"/>
  <c r="AO54" i="2"/>
  <c r="S33" i="3" s="1"/>
  <c r="H43" i="2"/>
  <c r="AA44" i="2" s="1"/>
  <c r="H49" i="2"/>
  <c r="J50" i="2" s="1"/>
  <c r="AO50" i="2"/>
  <c r="H31" i="2"/>
  <c r="Z32" i="2" s="1"/>
  <c r="H45" i="2"/>
  <c r="AK46" i="2" s="1"/>
  <c r="H33" i="2"/>
  <c r="AB34" i="2" s="1"/>
  <c r="FT79" i="2"/>
  <c r="FX79" i="2"/>
  <c r="GB79" i="2"/>
  <c r="GF79" i="2"/>
  <c r="GJ79" i="2"/>
  <c r="GN79" i="2"/>
  <c r="GR79" i="2"/>
  <c r="FW79" i="2"/>
  <c r="GE79" i="2"/>
  <c r="GQ79" i="2"/>
  <c r="FU79" i="2"/>
  <c r="FY79" i="2"/>
  <c r="GC79" i="2"/>
  <c r="GG79" i="2"/>
  <c r="GK79" i="2"/>
  <c r="GO79" i="2"/>
  <c r="GS79" i="2"/>
  <c r="GA79" i="2"/>
  <c r="GM79" i="2"/>
  <c r="FR79" i="2"/>
  <c r="FV79" i="2"/>
  <c r="FZ79" i="2"/>
  <c r="GD79" i="2"/>
  <c r="GH79" i="2"/>
  <c r="GL79" i="2"/>
  <c r="GP79" i="2"/>
  <c r="GT79" i="2"/>
  <c r="FS79" i="2"/>
  <c r="GI79" i="2"/>
  <c r="GU79" i="2"/>
  <c r="BW43" i="2"/>
  <c r="CD43" i="2"/>
  <c r="CJ43" i="2"/>
  <c r="BX43" i="2"/>
  <c r="CE43" i="2"/>
  <c r="CL43" i="2"/>
  <c r="BT43" i="2"/>
  <c r="CI43" i="2"/>
  <c r="CB43" i="2"/>
  <c r="BS43" i="2"/>
  <c r="BZ43" i="2"/>
  <c r="CH43" i="2"/>
  <c r="CC43" i="2"/>
  <c r="BV43" i="2"/>
  <c r="CG43" i="2"/>
  <c r="BU43" i="2"/>
  <c r="CK43" i="2"/>
  <c r="CF43" i="2"/>
  <c r="BY43" i="2"/>
  <c r="CA43" i="2"/>
  <c r="BV45" i="2"/>
  <c r="CA45" i="2"/>
  <c r="CF45" i="2"/>
  <c r="CL45" i="2"/>
  <c r="BW45" i="2"/>
  <c r="CB45" i="2"/>
  <c r="CH45" i="2"/>
  <c r="BZ45" i="2"/>
  <c r="CJ45" i="2"/>
  <c r="BT45" i="2"/>
  <c r="CE45" i="2"/>
  <c r="BX45" i="2"/>
  <c r="BS45" i="2"/>
  <c r="CD45" i="2"/>
  <c r="CI45" i="2"/>
  <c r="CG45" i="2"/>
  <c r="BU45" i="2"/>
  <c r="CK45" i="2"/>
  <c r="BY45" i="2"/>
  <c r="CC45" i="2"/>
  <c r="BS39" i="2"/>
  <c r="CB39" i="2"/>
  <c r="BV39" i="2"/>
  <c r="CF39" i="2"/>
  <c r="CA39" i="2"/>
  <c r="CL39" i="2"/>
  <c r="BW39" i="2"/>
  <c r="CH39" i="2"/>
  <c r="CE39" i="2"/>
  <c r="CC39" i="2"/>
  <c r="BZ39" i="2"/>
  <c r="CI39" i="2"/>
  <c r="CG39" i="2"/>
  <c r="BT39" i="2"/>
  <c r="CD39" i="2"/>
  <c r="BU39" i="2"/>
  <c r="CK39" i="2"/>
  <c r="CJ39" i="2"/>
  <c r="BX39" i="2"/>
  <c r="BY39" i="2"/>
  <c r="BS47" i="2"/>
  <c r="CB47" i="2"/>
  <c r="BV47" i="2"/>
  <c r="CF47" i="2"/>
  <c r="CL47" i="2"/>
  <c r="CA47" i="2"/>
  <c r="BW47" i="2"/>
  <c r="CH47" i="2"/>
  <c r="BZ47" i="2"/>
  <c r="BX47" i="2"/>
  <c r="CG47" i="2"/>
  <c r="BT47" i="2"/>
  <c r="BU47" i="2"/>
  <c r="CK47" i="2"/>
  <c r="CJ47" i="2"/>
  <c r="CI47" i="2"/>
  <c r="BY47" i="2"/>
  <c r="CE47" i="2"/>
  <c r="CD47" i="2"/>
  <c r="CC47" i="2"/>
  <c r="BS55" i="2"/>
  <c r="BZ55" i="2"/>
  <c r="CH55" i="2"/>
  <c r="BU55" i="2"/>
  <c r="CC55" i="2"/>
  <c r="CK55" i="2"/>
  <c r="BY55" i="2"/>
  <c r="CD55" i="2"/>
  <c r="CG55" i="2"/>
  <c r="BV55" i="2"/>
  <c r="CL55" i="2"/>
  <c r="BX55" i="2"/>
  <c r="BW55" i="2"/>
  <c r="CJ55" i="2"/>
  <c r="BT55" i="2"/>
  <c r="CI55" i="2"/>
  <c r="CF55" i="2"/>
  <c r="CE55" i="2"/>
  <c r="CB55" i="2"/>
  <c r="CA55" i="2"/>
  <c r="BS29" i="2"/>
  <c r="BV29" i="2"/>
  <c r="CB29" i="2"/>
  <c r="CJ29" i="2"/>
  <c r="BW29" i="2"/>
  <c r="CE29" i="2"/>
  <c r="CL29" i="2"/>
  <c r="BT29" i="2"/>
  <c r="CH29" i="2"/>
  <c r="CA29" i="2"/>
  <c r="CF29" i="2"/>
  <c r="BZ29" i="2"/>
  <c r="CI29" i="2"/>
  <c r="BU29" i="2"/>
  <c r="CK29" i="2"/>
  <c r="CD29" i="2"/>
  <c r="BY29" i="2"/>
  <c r="BX29" i="2"/>
  <c r="CC29" i="2"/>
  <c r="CG29" i="2"/>
  <c r="BS21" i="2"/>
  <c r="CB21" i="2"/>
  <c r="BT21" i="2"/>
  <c r="CE21" i="2"/>
  <c r="BW21" i="2"/>
  <c r="BZ21" i="2"/>
  <c r="CJ21" i="2"/>
  <c r="CH21" i="2"/>
  <c r="CD21" i="2"/>
  <c r="BU21" i="2"/>
  <c r="CK21" i="2"/>
  <c r="BV21" i="2"/>
  <c r="BX21" i="2"/>
  <c r="BY21" i="2"/>
  <c r="CL21" i="2"/>
  <c r="CC21" i="2"/>
  <c r="CF21" i="2"/>
  <c r="CI21" i="2"/>
  <c r="CG21" i="2"/>
  <c r="CA21" i="2"/>
  <c r="BT35" i="2"/>
  <c r="CB35" i="2"/>
  <c r="CI35" i="2"/>
  <c r="BW35" i="2"/>
  <c r="CD35" i="2"/>
  <c r="CJ35" i="2"/>
  <c r="BZ35" i="2"/>
  <c r="BS35" i="2"/>
  <c r="CH35" i="2"/>
  <c r="BX35" i="2"/>
  <c r="CE35" i="2"/>
  <c r="BY35" i="2"/>
  <c r="BV35" i="2"/>
  <c r="CC35" i="2"/>
  <c r="CL35" i="2"/>
  <c r="CG35" i="2"/>
  <c r="CF35" i="2"/>
  <c r="BU35" i="2"/>
  <c r="CK35" i="2"/>
  <c r="CA35" i="2"/>
  <c r="CB33" i="2"/>
  <c r="CH33" i="2"/>
  <c r="BY33" i="2"/>
  <c r="CL33" i="2"/>
  <c r="BW33" i="2"/>
  <c r="BT33" i="2"/>
  <c r="CD33" i="2"/>
  <c r="CC33" i="2"/>
  <c r="CF33" i="2"/>
  <c r="CJ33" i="2"/>
  <c r="BX33" i="2"/>
  <c r="CG33" i="2"/>
  <c r="CA33" i="2"/>
  <c r="CE33" i="2"/>
  <c r="BS33" i="2"/>
  <c r="BU33" i="2"/>
  <c r="CK33" i="2"/>
  <c r="BV33" i="2"/>
  <c r="BZ33" i="2"/>
  <c r="CI33" i="2"/>
  <c r="BT51" i="2"/>
  <c r="CB51" i="2"/>
  <c r="CI51" i="2"/>
  <c r="BW51" i="2"/>
  <c r="CD51" i="2"/>
  <c r="CJ51" i="2"/>
  <c r="BZ51" i="2"/>
  <c r="BS51" i="2"/>
  <c r="CH51" i="2"/>
  <c r="CE51" i="2"/>
  <c r="BX51" i="2"/>
  <c r="CC51" i="2"/>
  <c r="CA51" i="2"/>
  <c r="CG51" i="2"/>
  <c r="BV51" i="2"/>
  <c r="BU51" i="2"/>
  <c r="CK51" i="2"/>
  <c r="CL51" i="2"/>
  <c r="BY51" i="2"/>
  <c r="CF51" i="2"/>
  <c r="BS23" i="2"/>
  <c r="BV23" i="2"/>
  <c r="CF23" i="2"/>
  <c r="BW23" i="2"/>
  <c r="CH23" i="2"/>
  <c r="CA23" i="2"/>
  <c r="CB23" i="2"/>
  <c r="CL23" i="2"/>
  <c r="CE23" i="2"/>
  <c r="BU23" i="2"/>
  <c r="CK23" i="2"/>
  <c r="BZ23" i="2"/>
  <c r="CI23" i="2"/>
  <c r="BY23" i="2"/>
  <c r="BT23" i="2"/>
  <c r="CD23" i="2"/>
  <c r="CC23" i="2"/>
  <c r="CJ23" i="2"/>
  <c r="BX23" i="2"/>
  <c r="CG23" i="2"/>
  <c r="BS57" i="2"/>
  <c r="BV57" i="2"/>
  <c r="CD57" i="2"/>
  <c r="CL57" i="2"/>
  <c r="BY57" i="2"/>
  <c r="CG57" i="2"/>
  <c r="BU57" i="2"/>
  <c r="CK57" i="2"/>
  <c r="BZ57" i="2"/>
  <c r="CC57" i="2"/>
  <c r="CH57" i="2"/>
  <c r="CJ57" i="2"/>
  <c r="BT57" i="2"/>
  <c r="BW57" i="2"/>
  <c r="CF57" i="2"/>
  <c r="CI57" i="2"/>
  <c r="CB57" i="2"/>
  <c r="CE57" i="2"/>
  <c r="BX57" i="2"/>
  <c r="CA57" i="2"/>
  <c r="BV53" i="2"/>
  <c r="CA53" i="2"/>
  <c r="CF53" i="2"/>
  <c r="CL53" i="2"/>
  <c r="BW53" i="2"/>
  <c r="CB53" i="2"/>
  <c r="CH53" i="2"/>
  <c r="BT53" i="2"/>
  <c r="CE53" i="2"/>
  <c r="BZ53" i="2"/>
  <c r="CJ53" i="2"/>
  <c r="CD53" i="2"/>
  <c r="BX53" i="2"/>
  <c r="CI53" i="2"/>
  <c r="BS53" i="2"/>
  <c r="CG53" i="2"/>
  <c r="BU53" i="2"/>
  <c r="CK53" i="2"/>
  <c r="BY53" i="2"/>
  <c r="CC53" i="2"/>
  <c r="BS31" i="2"/>
  <c r="CA31" i="2"/>
  <c r="CL31" i="2"/>
  <c r="CB31" i="2"/>
  <c r="CH31" i="2"/>
  <c r="BW31" i="2"/>
  <c r="CF31" i="2"/>
  <c r="BV31" i="2"/>
  <c r="CJ31" i="2"/>
  <c r="BY31" i="2"/>
  <c r="CE31" i="2"/>
  <c r="CI31" i="2"/>
  <c r="CC31" i="2"/>
  <c r="BZ31" i="2"/>
  <c r="CD31" i="2"/>
  <c r="CG31" i="2"/>
  <c r="BT31" i="2"/>
  <c r="BX31" i="2"/>
  <c r="BU31" i="2"/>
  <c r="CK31" i="2"/>
  <c r="CB41" i="2"/>
  <c r="CH41" i="2"/>
  <c r="CC41" i="2"/>
  <c r="CF41" i="2"/>
  <c r="BT41" i="2"/>
  <c r="BX41" i="2"/>
  <c r="CG41" i="2"/>
  <c r="CA41" i="2"/>
  <c r="CJ41" i="2"/>
  <c r="BS41" i="2"/>
  <c r="BU41" i="2"/>
  <c r="CK41" i="2"/>
  <c r="BV41" i="2"/>
  <c r="CE41" i="2"/>
  <c r="CI41" i="2"/>
  <c r="BY41" i="2"/>
  <c r="CL41" i="2"/>
  <c r="BW41" i="2"/>
  <c r="BZ41" i="2"/>
  <c r="CD41" i="2"/>
  <c r="BV49" i="2"/>
  <c r="BW49" i="2"/>
  <c r="CB49" i="2"/>
  <c r="CH49" i="2"/>
  <c r="CF49" i="2"/>
  <c r="CC49" i="2"/>
  <c r="BZ49" i="2"/>
  <c r="BS49" i="2"/>
  <c r="CA49" i="2"/>
  <c r="CG49" i="2"/>
  <c r="BT49" i="2"/>
  <c r="CI49" i="2"/>
  <c r="BU49" i="2"/>
  <c r="CK49" i="2"/>
  <c r="CJ49" i="2"/>
  <c r="CD49" i="2"/>
  <c r="CL49" i="2"/>
  <c r="BY49" i="2"/>
  <c r="CE49" i="2"/>
  <c r="BX49" i="2"/>
  <c r="BS27" i="2"/>
  <c r="BX27" i="2"/>
  <c r="CD27" i="2"/>
  <c r="CI27" i="2"/>
  <c r="CH27" i="2"/>
  <c r="BT27" i="2"/>
  <c r="BZ27" i="2"/>
  <c r="CE27" i="2"/>
  <c r="CJ27" i="2"/>
  <c r="BW27" i="2"/>
  <c r="CB27" i="2"/>
  <c r="BV27" i="2"/>
  <c r="CA27" i="2"/>
  <c r="CF27" i="2"/>
  <c r="CL27" i="2"/>
  <c r="CG27" i="2"/>
  <c r="BU27" i="2"/>
  <c r="CK27" i="2"/>
  <c r="BY27" i="2"/>
  <c r="CC27" i="2"/>
  <c r="BV25" i="2"/>
  <c r="CB25" i="2"/>
  <c r="CH25" i="2"/>
  <c r="CF25" i="2"/>
  <c r="BU25" i="2"/>
  <c r="CK25" i="2"/>
  <c r="BT25" i="2"/>
  <c r="CI25" i="2"/>
  <c r="CA25" i="2"/>
  <c r="BY25" i="2"/>
  <c r="CJ25" i="2"/>
  <c r="CD25" i="2"/>
  <c r="CG25" i="2"/>
  <c r="BS25" i="2"/>
  <c r="BW25" i="2"/>
  <c r="CC25" i="2"/>
  <c r="CE25" i="2"/>
  <c r="BX25" i="2"/>
  <c r="CL25" i="2"/>
  <c r="BZ25" i="2"/>
  <c r="GZ27" i="2"/>
  <c r="GY27" i="2"/>
  <c r="GW27" i="2"/>
  <c r="HB27" i="2"/>
  <c r="GX27" i="2"/>
  <c r="HA27" i="2"/>
  <c r="GX25" i="2"/>
  <c r="HB25" i="2"/>
  <c r="GZ25" i="2"/>
  <c r="GW25" i="2"/>
  <c r="GY25" i="2"/>
  <c r="HA25" i="2"/>
  <c r="GY53" i="2"/>
  <c r="GW53" i="2"/>
  <c r="HA53" i="2"/>
  <c r="GX53" i="2"/>
  <c r="HB53" i="2"/>
  <c r="GZ53" i="2"/>
  <c r="GW47" i="2"/>
  <c r="HA47" i="2"/>
  <c r="GY47" i="2"/>
  <c r="GZ47" i="2"/>
  <c r="GX47" i="2"/>
  <c r="HB47" i="2"/>
  <c r="GY57" i="2"/>
  <c r="GW57" i="2"/>
  <c r="HA57" i="2"/>
  <c r="GX57" i="2"/>
  <c r="HB57" i="2"/>
  <c r="GZ57" i="2"/>
  <c r="GX19" i="2"/>
  <c r="HB19" i="2"/>
  <c r="GZ19" i="2"/>
  <c r="HA19" i="2"/>
  <c r="GY19" i="2"/>
  <c r="GW19" i="2"/>
  <c r="GZ35" i="2"/>
  <c r="GW35" i="2"/>
  <c r="HB35" i="2"/>
  <c r="GY35" i="2"/>
  <c r="HA35" i="2"/>
  <c r="GX35" i="2"/>
  <c r="GX39" i="2"/>
  <c r="HA39" i="2"/>
  <c r="GY39" i="2"/>
  <c r="GZ39" i="2"/>
  <c r="GW39" i="2"/>
  <c r="HB39" i="2"/>
  <c r="GW55" i="2"/>
  <c r="HA55" i="2"/>
  <c r="GY55" i="2"/>
  <c r="GZ55" i="2"/>
  <c r="GX55" i="2"/>
  <c r="HB55" i="2"/>
  <c r="GY49" i="2"/>
  <c r="GW49" i="2"/>
  <c r="HA49" i="2"/>
  <c r="GX49" i="2"/>
  <c r="HB49" i="2"/>
  <c r="GZ49" i="2"/>
  <c r="GX29" i="2"/>
  <c r="HB29" i="2"/>
  <c r="GY29" i="2"/>
  <c r="HA29" i="2"/>
  <c r="GW29" i="2"/>
  <c r="GZ29" i="2"/>
  <c r="GX33" i="2"/>
  <c r="HB33" i="2"/>
  <c r="GW33" i="2"/>
  <c r="GZ33" i="2"/>
  <c r="HA33" i="2"/>
  <c r="GY33" i="2"/>
  <c r="GY41" i="2"/>
  <c r="GW41" i="2"/>
  <c r="HA41" i="2"/>
  <c r="GX41" i="2"/>
  <c r="HB41" i="2"/>
  <c r="GZ41" i="2"/>
  <c r="GY45" i="2"/>
  <c r="GW45" i="2"/>
  <c r="HA45" i="2"/>
  <c r="GX45" i="2"/>
  <c r="HB45" i="2"/>
  <c r="GZ45" i="2"/>
  <c r="GW51" i="2"/>
  <c r="HA51" i="2"/>
  <c r="GY51" i="2"/>
  <c r="GZ51" i="2"/>
  <c r="GX51" i="2"/>
  <c r="HB51" i="2"/>
  <c r="GZ31" i="2"/>
  <c r="GX31" i="2"/>
  <c r="HA31" i="2"/>
  <c r="GW31" i="2"/>
  <c r="HB31" i="2"/>
  <c r="GY31" i="2"/>
  <c r="GW43" i="2"/>
  <c r="HA43" i="2"/>
  <c r="GY43" i="2"/>
  <c r="GZ43" i="2"/>
  <c r="GX43" i="2"/>
  <c r="HB43" i="2"/>
  <c r="GW21" i="2"/>
  <c r="HA21" i="2"/>
  <c r="GX21" i="2"/>
  <c r="HB21" i="2"/>
  <c r="GY21" i="2"/>
  <c r="GZ21" i="2"/>
  <c r="FK20" i="2"/>
  <c r="FK73" i="2" s="1"/>
  <c r="FM20" i="2"/>
  <c r="FM73" i="2" s="1"/>
  <c r="FF20" i="2"/>
  <c r="FF73" i="2" s="1"/>
  <c r="FG20" i="2"/>
  <c r="FG73" i="2" s="1"/>
  <c r="FL20" i="2"/>
  <c r="FL73" i="2" s="1"/>
  <c r="FN20" i="2"/>
  <c r="FN73" i="2" s="1"/>
  <c r="FI20" i="2"/>
  <c r="FI73" i="2" s="1"/>
  <c r="FM75" i="2"/>
  <c r="FH20" i="2"/>
  <c r="FH73" i="2" s="1"/>
  <c r="FJ20" i="2"/>
  <c r="FJ73" i="2" s="1"/>
  <c r="FE20" i="2"/>
  <c r="FE73" i="2" s="1"/>
  <c r="AB22" i="2"/>
  <c r="AF22" i="2"/>
  <c r="AJ22" i="2"/>
  <c r="AC22" i="2"/>
  <c r="AG22" i="2"/>
  <c r="AK22" i="2"/>
  <c r="Z22" i="2"/>
  <c r="AH22" i="2"/>
  <c r="AA22" i="2"/>
  <c r="AI22" i="2"/>
  <c r="AD22" i="2"/>
  <c r="AL22" i="2"/>
  <c r="AE22" i="2"/>
  <c r="AM22" i="2"/>
  <c r="CE19" i="2"/>
  <c r="CI19" i="2"/>
  <c r="CF19" i="2"/>
  <c r="CJ19" i="2"/>
  <c r="CC19" i="2"/>
  <c r="CG19" i="2"/>
  <c r="CK19" i="2"/>
  <c r="CD19" i="2"/>
  <c r="CH19" i="2"/>
  <c r="CL19" i="2"/>
  <c r="Z24" i="2"/>
  <c r="AD24" i="2"/>
  <c r="AH24" i="2"/>
  <c r="AL24" i="2"/>
  <c r="AA24" i="2"/>
  <c r="AE24" i="2"/>
  <c r="AI24" i="2"/>
  <c r="AM24" i="2"/>
  <c r="AB24" i="2"/>
  <c r="AJ24" i="2"/>
  <c r="AC24" i="2"/>
  <c r="AK24" i="2"/>
  <c r="AF24" i="2"/>
  <c r="AG24" i="2"/>
  <c r="AF20" i="2"/>
  <c r="AJ20" i="2"/>
  <c r="AC20" i="2"/>
  <c r="AH20" i="2"/>
  <c r="AM20" i="2"/>
  <c r="AD20" i="2"/>
  <c r="AE20" i="2"/>
  <c r="AI20" i="2"/>
  <c r="AK20" i="2"/>
  <c r="AL20" i="2"/>
  <c r="AG20" i="2"/>
  <c r="Z48" i="2"/>
  <c r="AH48" i="2"/>
  <c r="AL48" i="2"/>
  <c r="AA48" i="2"/>
  <c r="AE48" i="2"/>
  <c r="AI48" i="2"/>
  <c r="AB26" i="2"/>
  <c r="AF26" i="2"/>
  <c r="AJ26" i="2"/>
  <c r="AC26" i="2"/>
  <c r="AG26" i="2"/>
  <c r="AK26" i="2"/>
  <c r="AD26" i="2"/>
  <c r="AL26" i="2"/>
  <c r="AE26" i="2"/>
  <c r="AM26" i="2"/>
  <c r="Z26" i="2"/>
  <c r="AH26" i="2"/>
  <c r="AI26" i="2"/>
  <c r="AA26" i="2"/>
  <c r="AH56" i="2"/>
  <c r="E19" i="3"/>
  <c r="E21" i="3"/>
  <c r="E17" i="3"/>
  <c r="AJ60" i="2"/>
  <c r="AI60" i="2"/>
  <c r="AJ68" i="2"/>
  <c r="AI68" i="2"/>
  <c r="AJ62" i="2"/>
  <c r="AI62" i="2"/>
  <c r="AI66" i="2"/>
  <c r="AJ66" i="2"/>
  <c r="AJ64" i="2"/>
  <c r="AI64" i="2"/>
  <c r="AH68" i="2"/>
  <c r="AG68" i="2"/>
  <c r="AH62" i="2"/>
  <c r="AG62" i="2"/>
  <c r="AH66" i="2"/>
  <c r="AG66" i="2"/>
  <c r="AH64" i="2"/>
  <c r="AG64" i="2"/>
  <c r="AH60" i="2"/>
  <c r="AG60" i="2"/>
  <c r="AF60" i="2"/>
  <c r="AE60" i="2"/>
  <c r="AF68" i="2"/>
  <c r="AE68" i="2"/>
  <c r="AF62" i="2"/>
  <c r="AE62" i="2"/>
  <c r="AF66" i="2"/>
  <c r="AE66" i="2"/>
  <c r="AF64" i="2"/>
  <c r="AE64" i="2"/>
  <c r="AD68" i="2"/>
  <c r="AC68" i="2"/>
  <c r="AC62" i="2"/>
  <c r="AD62" i="2"/>
  <c r="AC66" i="2"/>
  <c r="AD66" i="2"/>
  <c r="AD64" i="2"/>
  <c r="AC64" i="2"/>
  <c r="AD60" i="2"/>
  <c r="AC60" i="2"/>
  <c r="AB60" i="2"/>
  <c r="AA60" i="2"/>
  <c r="AB68" i="2"/>
  <c r="AA68" i="2"/>
  <c r="AA62" i="2"/>
  <c r="AB62" i="2"/>
  <c r="AA66" i="2"/>
  <c r="AB66" i="2"/>
  <c r="AB64" i="2"/>
  <c r="AA64" i="2"/>
  <c r="P48" i="2"/>
  <c r="Y48" i="2"/>
  <c r="R48" i="2"/>
  <c r="K48" i="2"/>
  <c r="P66" i="2"/>
  <c r="X66" i="2"/>
  <c r="Q66" i="2"/>
  <c r="Y66" i="2"/>
  <c r="J66" i="2"/>
  <c r="R66" i="2"/>
  <c r="Z66" i="2"/>
  <c r="T66" i="2"/>
  <c r="K66" i="2"/>
  <c r="S66" i="2"/>
  <c r="AK66" i="2"/>
  <c r="L66" i="2"/>
  <c r="M66" i="2"/>
  <c r="U66" i="2"/>
  <c r="AM66" i="2"/>
  <c r="N66" i="2"/>
  <c r="V66" i="2"/>
  <c r="O66" i="2"/>
  <c r="W66" i="2"/>
  <c r="AL66" i="2"/>
  <c r="M64" i="2"/>
  <c r="U64" i="2"/>
  <c r="AM64" i="2"/>
  <c r="N64" i="2"/>
  <c r="V64" i="2"/>
  <c r="O64" i="2"/>
  <c r="W64" i="2"/>
  <c r="Y64" i="2"/>
  <c r="P64" i="2"/>
  <c r="X64" i="2"/>
  <c r="Q64" i="2"/>
  <c r="J64" i="2"/>
  <c r="R64" i="2"/>
  <c r="Z64" i="2"/>
  <c r="K64" i="2"/>
  <c r="S64" i="2"/>
  <c r="AK64" i="2"/>
  <c r="L64" i="2"/>
  <c r="T64" i="2"/>
  <c r="AL64" i="2"/>
  <c r="K68" i="2"/>
  <c r="S68" i="2"/>
  <c r="AK68" i="2"/>
  <c r="L68" i="2"/>
  <c r="T68" i="2"/>
  <c r="AL68" i="2"/>
  <c r="M68" i="2"/>
  <c r="U68" i="2"/>
  <c r="AM68" i="2"/>
  <c r="N68" i="2"/>
  <c r="V68" i="2"/>
  <c r="O68" i="2"/>
  <c r="P68" i="2"/>
  <c r="X68" i="2"/>
  <c r="Q68" i="2"/>
  <c r="Y68" i="2"/>
  <c r="J68" i="2"/>
  <c r="R68" i="2"/>
  <c r="Z68" i="2"/>
  <c r="W68" i="2"/>
  <c r="S56" i="2"/>
  <c r="U56" i="2"/>
  <c r="Y26" i="2"/>
  <c r="U26" i="2"/>
  <c r="V26" i="2"/>
  <c r="W26" i="2"/>
  <c r="X26" i="2"/>
  <c r="J62" i="2"/>
  <c r="R62" i="2"/>
  <c r="Z62" i="2"/>
  <c r="K62" i="2"/>
  <c r="S62" i="2"/>
  <c r="AK62" i="2"/>
  <c r="L62" i="2"/>
  <c r="T62" i="2"/>
  <c r="AL62" i="2"/>
  <c r="M62" i="2"/>
  <c r="U62" i="2"/>
  <c r="AM62" i="2"/>
  <c r="N62" i="2"/>
  <c r="V62" i="2"/>
  <c r="O62" i="2"/>
  <c r="W62" i="2"/>
  <c r="P62" i="2"/>
  <c r="X62" i="2"/>
  <c r="Q62" i="2"/>
  <c r="Y62" i="2"/>
  <c r="V24" i="2"/>
  <c r="W24" i="2"/>
  <c r="X24" i="2"/>
  <c r="Y24" i="2"/>
  <c r="T24" i="2"/>
  <c r="U24" i="2"/>
  <c r="O60" i="2"/>
  <c r="W60" i="2"/>
  <c r="P60" i="2"/>
  <c r="X60" i="2"/>
  <c r="Q60" i="2"/>
  <c r="Y60" i="2"/>
  <c r="S60" i="2"/>
  <c r="AK60" i="2"/>
  <c r="J60" i="2"/>
  <c r="R60" i="2"/>
  <c r="Z60" i="2"/>
  <c r="K60" i="2"/>
  <c r="L60" i="2"/>
  <c r="T60" i="2"/>
  <c r="AL60" i="2"/>
  <c r="M60" i="2"/>
  <c r="U60" i="2"/>
  <c r="AM60" i="2"/>
  <c r="N60" i="2"/>
  <c r="V60" i="2"/>
  <c r="S22" i="2"/>
  <c r="T22" i="2"/>
  <c r="U22" i="2"/>
  <c r="W22" i="2"/>
  <c r="V22" i="2"/>
  <c r="P22" i="2"/>
  <c r="X22" i="2"/>
  <c r="Y22" i="2"/>
  <c r="R22" i="2"/>
  <c r="DQ13" i="2"/>
  <c r="DT13" i="2"/>
  <c r="AB13" i="2" s="1"/>
  <c r="DS13" i="2"/>
  <c r="EG39" i="2" s="1"/>
  <c r="DR13" i="2"/>
  <c r="E39" i="3"/>
  <c r="E36" i="3"/>
  <c r="E38" i="3"/>
  <c r="E40" i="3"/>
  <c r="E37" i="3"/>
  <c r="DX21" i="2"/>
  <c r="DX25" i="2"/>
  <c r="DX29" i="2"/>
  <c r="DX33" i="2"/>
  <c r="DX37" i="2"/>
  <c r="DX41" i="2"/>
  <c r="DX45" i="2"/>
  <c r="DX49" i="2"/>
  <c r="DX53" i="2"/>
  <c r="DX57" i="2"/>
  <c r="DX61" i="2"/>
  <c r="DX65" i="2"/>
  <c r="DY19" i="2"/>
  <c r="DY21" i="2"/>
  <c r="DY25" i="2"/>
  <c r="DY29" i="2"/>
  <c r="DY33" i="2"/>
  <c r="DY37" i="2"/>
  <c r="DY41" i="2"/>
  <c r="DY45" i="2"/>
  <c r="DY49" i="2"/>
  <c r="DY53" i="2"/>
  <c r="DY57" i="2"/>
  <c r="DY61" i="2"/>
  <c r="DY65" i="2"/>
  <c r="DX19" i="2"/>
  <c r="DX23" i="2"/>
  <c r="DX27" i="2"/>
  <c r="DX31" i="2"/>
  <c r="DX35" i="2"/>
  <c r="DX39" i="2"/>
  <c r="DX43" i="2"/>
  <c r="DX47" i="2"/>
  <c r="DX51" i="2"/>
  <c r="DX55" i="2"/>
  <c r="DX59" i="2"/>
  <c r="DX63" i="2"/>
  <c r="DX67" i="2"/>
  <c r="DY23" i="2"/>
  <c r="DY27" i="2"/>
  <c r="DY31" i="2"/>
  <c r="DY35" i="2"/>
  <c r="DY39" i="2"/>
  <c r="DY43" i="2"/>
  <c r="DY47" i="2"/>
  <c r="DY51" i="2"/>
  <c r="DY55" i="2"/>
  <c r="DY59" i="2"/>
  <c r="DY63" i="2"/>
  <c r="DY67" i="2"/>
  <c r="DR21" i="2"/>
  <c r="DR29" i="2"/>
  <c r="DR37" i="2"/>
  <c r="DR45" i="2"/>
  <c r="DR53" i="2"/>
  <c r="DR61" i="2"/>
  <c r="DR19" i="2"/>
  <c r="DQ27" i="2"/>
  <c r="DQ35" i="2"/>
  <c r="DQ43" i="2"/>
  <c r="DQ51" i="2"/>
  <c r="DQ59" i="2"/>
  <c r="DQ67" i="2"/>
  <c r="DR23" i="2"/>
  <c r="DR31" i="2"/>
  <c r="DR39" i="2"/>
  <c r="DR47" i="2"/>
  <c r="DR55" i="2"/>
  <c r="DR63" i="2"/>
  <c r="DQ21" i="2"/>
  <c r="DQ29" i="2"/>
  <c r="DQ37" i="2"/>
  <c r="DQ45" i="2"/>
  <c r="DQ53" i="2"/>
  <c r="DQ61" i="2"/>
  <c r="DQ19" i="2"/>
  <c r="DR59" i="2"/>
  <c r="DQ33" i="2"/>
  <c r="DQ41" i="2"/>
  <c r="DR25" i="2"/>
  <c r="DR33" i="2"/>
  <c r="DR41" i="2"/>
  <c r="DR49" i="2"/>
  <c r="DR57" i="2"/>
  <c r="DR65" i="2"/>
  <c r="DQ23" i="2"/>
  <c r="DQ31" i="2"/>
  <c r="DQ39" i="2"/>
  <c r="DQ47" i="2"/>
  <c r="DQ55" i="2"/>
  <c r="DQ63" i="2"/>
  <c r="DR27" i="2"/>
  <c r="DR35" i="2"/>
  <c r="DR43" i="2"/>
  <c r="DR51" i="2"/>
  <c r="DR67" i="2"/>
  <c r="DQ25" i="2"/>
  <c r="DQ49" i="2"/>
  <c r="DQ57" i="2"/>
  <c r="DQ65" i="2"/>
  <c r="EL62" i="2"/>
  <c r="FC68" i="2"/>
  <c r="FB68" i="2"/>
  <c r="EY32" i="2"/>
  <c r="EY85" i="2" s="1"/>
  <c r="ES42" i="2"/>
  <c r="ES95" i="2" s="1"/>
  <c r="EO42" i="2"/>
  <c r="EO95" i="2" s="1"/>
  <c r="EX50" i="2"/>
  <c r="EX103" i="2" s="1"/>
  <c r="EZ58" i="2"/>
  <c r="EZ111" i="2" s="1"/>
  <c r="EY58" i="2"/>
  <c r="EY111" i="2" s="1"/>
  <c r="ER66" i="2"/>
  <c r="EL48" i="2"/>
  <c r="EL64" i="2"/>
  <c r="EL66" i="2"/>
  <c r="EO30" i="2"/>
  <c r="EO83" i="2" s="1"/>
  <c r="EY44" i="2"/>
  <c r="EY97" i="2" s="1"/>
  <c r="EW60" i="2"/>
  <c r="EY68" i="2"/>
  <c r="EQ50" i="2"/>
  <c r="EQ103" i="2" s="1"/>
  <c r="EP50" i="2"/>
  <c r="EP103" i="2" s="1"/>
  <c r="EQ58" i="2"/>
  <c r="EQ111" i="2" s="1"/>
  <c r="EM28" i="2"/>
  <c r="EM81" i="2" s="1"/>
  <c r="EZ28" i="2"/>
  <c r="EZ81" i="2" s="1"/>
  <c r="EW46" i="2"/>
  <c r="EW99" i="2" s="1"/>
  <c r="EZ46" i="2"/>
  <c r="EZ99" i="2" s="1"/>
  <c r="EX54" i="2"/>
  <c r="EX107" i="2" s="1"/>
  <c r="EL54" i="2"/>
  <c r="ES62" i="2"/>
  <c r="ER34" i="2"/>
  <c r="ER87" i="2" s="1"/>
  <c r="EQ40" i="2"/>
  <c r="EQ93" i="2" s="1"/>
  <c r="ER40" i="2"/>
  <c r="ER93" i="2" s="1"/>
  <c r="EZ48" i="2"/>
  <c r="EZ101" i="2" s="1"/>
  <c r="ER48" i="2"/>
  <c r="ER101" i="2" s="1"/>
  <c r="EU56" i="2"/>
  <c r="EU109" i="2" s="1"/>
  <c r="EL56" i="2"/>
  <c r="EQ64" i="2"/>
  <c r="EY28" i="2"/>
  <c r="EY81" i="2" s="1"/>
  <c r="ES36" i="2"/>
  <c r="ES89" i="2" s="1"/>
  <c r="FC62" i="2"/>
  <c r="EO34" i="2"/>
  <c r="EO87" i="2" s="1"/>
  <c r="ES40" i="2"/>
  <c r="ES93" i="2" s="1"/>
  <c r="EO48" i="2"/>
  <c r="EO101" i="2" s="1"/>
  <c r="ER64" i="2"/>
  <c r="EQ52" i="2"/>
  <c r="EQ105" i="2" s="1"/>
  <c r="ER68" i="2"/>
  <c r="EN42" i="2"/>
  <c r="EN95" i="2" s="1"/>
  <c r="EV50" i="2"/>
  <c r="EV103" i="2" s="1"/>
  <c r="EP66" i="2"/>
  <c r="ET66" i="2"/>
  <c r="EY30" i="2"/>
  <c r="EY83" i="2" s="1"/>
  <c r="ER44" i="2"/>
  <c r="ER97" i="2" s="1"/>
  <c r="EU60" i="2"/>
  <c r="ES60" i="2"/>
  <c r="EO60" i="2"/>
  <c r="ER60" i="2"/>
  <c r="EM30" i="2"/>
  <c r="EM83" i="2" s="1"/>
  <c r="EM68" i="2"/>
  <c r="EM62" i="2"/>
  <c r="DM61" i="2"/>
  <c r="DM45" i="2"/>
  <c r="DM53" i="2"/>
  <c r="ES26" i="2"/>
  <c r="ES79" i="2" s="1"/>
  <c r="EV28" i="2"/>
  <c r="EV81" i="2" s="1"/>
  <c r="EO28" i="2"/>
  <c r="EO81" i="2" s="1"/>
  <c r="ES28" i="2"/>
  <c r="ES81" i="2" s="1"/>
  <c r="EU28" i="2"/>
  <c r="EU81" i="2" s="1"/>
  <c r="EX28" i="2"/>
  <c r="EX81" i="2" s="1"/>
  <c r="ET36" i="2"/>
  <c r="ET89" i="2" s="1"/>
  <c r="EX36" i="2"/>
  <c r="EX89" i="2" s="1"/>
  <c r="EV36" i="2"/>
  <c r="EV89" i="2" s="1"/>
  <c r="EY36" i="2"/>
  <c r="EY89" i="2" s="1"/>
  <c r="ET46" i="2"/>
  <c r="ET99" i="2" s="1"/>
  <c r="EV46" i="2"/>
  <c r="EV99" i="2" s="1"/>
  <c r="EY46" i="2"/>
  <c r="EY99" i="2" s="1"/>
  <c r="EQ54" i="2"/>
  <c r="EQ107" i="2" s="1"/>
  <c r="EU54" i="2"/>
  <c r="EU107" i="2" s="1"/>
  <c r="ES54" i="2"/>
  <c r="ES107" i="2" s="1"/>
  <c r="EZ54" i="2"/>
  <c r="EZ107" i="2" s="1"/>
  <c r="EZ62" i="2"/>
  <c r="EN62" i="2"/>
  <c r="EV62" i="2"/>
  <c r="EY62" i="2"/>
  <c r="EZ34" i="2"/>
  <c r="EZ87" i="2" s="1"/>
  <c r="EP34" i="2"/>
  <c r="EP87" i="2" s="1"/>
  <c r="EY40" i="2"/>
  <c r="EY93" i="2" s="1"/>
  <c r="EO40" i="2"/>
  <c r="EO93" i="2" s="1"/>
  <c r="EN48" i="2"/>
  <c r="EN101" i="2" s="1"/>
  <c r="EP48" i="2"/>
  <c r="EP101" i="2" s="1"/>
  <c r="EY56" i="2"/>
  <c r="EY109" i="2" s="1"/>
  <c r="EZ56" i="2"/>
  <c r="EZ109" i="2" s="1"/>
  <c r="EV56" i="2"/>
  <c r="EV109" i="2" s="1"/>
  <c r="EP56" i="2"/>
  <c r="EP109" i="2" s="1"/>
  <c r="EO56" i="2"/>
  <c r="EO109" i="2" s="1"/>
  <c r="EK64" i="2"/>
  <c r="FD64" i="2"/>
  <c r="EV64" i="2"/>
  <c r="EP64" i="2"/>
  <c r="EO52" i="2"/>
  <c r="EO105" i="2" s="1"/>
  <c r="EZ52" i="2"/>
  <c r="EZ105" i="2" s="1"/>
  <c r="EX68" i="2"/>
  <c r="EW68" i="2"/>
  <c r="FA68" i="2"/>
  <c r="FD68" i="2"/>
  <c r="EN68" i="2"/>
  <c r="EP32" i="2"/>
  <c r="EP85" i="2" s="1"/>
  <c r="EW32" i="2"/>
  <c r="EW85" i="2" s="1"/>
  <c r="EN32" i="2"/>
  <c r="EN85" i="2" s="1"/>
  <c r="EZ42" i="2"/>
  <c r="EZ95" i="2" s="1"/>
  <c r="EU58" i="2"/>
  <c r="EU111" i="2" s="1"/>
  <c r="ET58" i="2"/>
  <c r="ET111" i="2" s="1"/>
  <c r="EO58" i="2"/>
  <c r="EO111" i="2" s="1"/>
  <c r="EX66" i="2"/>
  <c r="EN66" i="2"/>
  <c r="EO66" i="2"/>
  <c r="EN30" i="2"/>
  <c r="EN83" i="2" s="1"/>
  <c r="EU30" i="2"/>
  <c r="EU83" i="2" s="1"/>
  <c r="EX30" i="2"/>
  <c r="EX83" i="2" s="1"/>
  <c r="EP44" i="2"/>
  <c r="EP97" i="2" s="1"/>
  <c r="EW44" i="2"/>
  <c r="EW97" i="2" s="1"/>
  <c r="EN44" i="2"/>
  <c r="EN97" i="2" s="1"/>
  <c r="EQ60" i="2"/>
  <c r="EP60" i="2"/>
  <c r="FD60" i="2"/>
  <c r="EN60" i="2"/>
  <c r="EZ36" i="2"/>
  <c r="EZ89" i="2" s="1"/>
  <c r="ER62" i="2"/>
  <c r="EQ48" i="2"/>
  <c r="EQ101" i="2" s="1"/>
  <c r="ET56" i="2"/>
  <c r="ET109" i="2" s="1"/>
  <c r="EO64" i="2"/>
  <c r="ET64" i="2"/>
  <c r="EN52" i="2"/>
  <c r="EN105" i="2" s="1"/>
  <c r="EK68" i="2"/>
  <c r="ET32" i="2"/>
  <c r="ET85" i="2" s="1"/>
  <c r="EQ42" i="2"/>
  <c r="EQ95" i="2" s="1"/>
  <c r="EM66" i="2"/>
  <c r="EM48" i="2"/>
  <c r="EM101" i="2" s="1"/>
  <c r="EM64" i="2"/>
  <c r="EW28" i="2"/>
  <c r="EW81" i="2" s="1"/>
  <c r="EQ28" i="2"/>
  <c r="EQ81" i="2" s="1"/>
  <c r="ET28" i="2"/>
  <c r="ET81" i="2" s="1"/>
  <c r="EO36" i="2"/>
  <c r="EO89" i="2" s="1"/>
  <c r="EP36" i="2"/>
  <c r="EP89" i="2" s="1"/>
  <c r="ER36" i="2"/>
  <c r="ER89" i="2" s="1"/>
  <c r="EU36" i="2"/>
  <c r="EU89" i="2" s="1"/>
  <c r="EX46" i="2"/>
  <c r="EX99" i="2" s="1"/>
  <c r="EP46" i="2"/>
  <c r="EP99" i="2" s="1"/>
  <c r="ER46" i="2"/>
  <c r="ER99" i="2" s="1"/>
  <c r="EU46" i="2"/>
  <c r="EU99" i="2" s="1"/>
  <c r="EY54" i="2"/>
  <c r="EY107" i="2" s="1"/>
  <c r="EO54" i="2"/>
  <c r="EO107" i="2" s="1"/>
  <c r="EV54" i="2"/>
  <c r="EV107" i="2" s="1"/>
  <c r="FD62" i="2"/>
  <c r="FB62" i="2"/>
  <c r="ET62" i="2"/>
  <c r="EP62" i="2"/>
  <c r="EU62" i="2"/>
  <c r="EL60" i="2"/>
  <c r="EL58" i="2"/>
  <c r="EN34" i="2"/>
  <c r="EN87" i="2" s="1"/>
  <c r="ES34" i="2"/>
  <c r="ES87" i="2" s="1"/>
  <c r="EY34" i="2"/>
  <c r="EY87" i="2" s="1"/>
  <c r="EU40" i="2"/>
  <c r="EU93" i="2" s="1"/>
  <c r="EN40" i="2"/>
  <c r="EN93" i="2" s="1"/>
  <c r="EX40" i="2"/>
  <c r="EX93" i="2" s="1"/>
  <c r="EV48" i="2"/>
  <c r="EV101" i="2" s="1"/>
  <c r="ES48" i="2"/>
  <c r="ES101" i="2" s="1"/>
  <c r="EY48" i="2"/>
  <c r="EY101" i="2" s="1"/>
  <c r="EN56" i="2"/>
  <c r="EN109" i="2" s="1"/>
  <c r="EZ64" i="2"/>
  <c r="EY64" i="2"/>
  <c r="FC64" i="2"/>
  <c r="FB64" i="2"/>
  <c r="EW52" i="2"/>
  <c r="EW105" i="2" s="1"/>
  <c r="ES52" i="2"/>
  <c r="ES105" i="2" s="1"/>
  <c r="EX52" i="2"/>
  <c r="EX105" i="2" s="1"/>
  <c r="EV52" i="2"/>
  <c r="EV105" i="2" s="1"/>
  <c r="EY52" i="2"/>
  <c r="EY105" i="2" s="1"/>
  <c r="ET68" i="2"/>
  <c r="ES68" i="2"/>
  <c r="EQ68" i="2"/>
  <c r="EU68" i="2"/>
  <c r="EZ68" i="2"/>
  <c r="EX32" i="2"/>
  <c r="EX85" i="2" s="1"/>
  <c r="EU32" i="2"/>
  <c r="EU85" i="2" s="1"/>
  <c r="ES32" i="2"/>
  <c r="ES85" i="2" s="1"/>
  <c r="EZ32" i="2"/>
  <c r="EZ85" i="2" s="1"/>
  <c r="EW42" i="2"/>
  <c r="EW95" i="2" s="1"/>
  <c r="EP42" i="2"/>
  <c r="EP95" i="2" s="1"/>
  <c r="ET42" i="2"/>
  <c r="ET95" i="2" s="1"/>
  <c r="EV42" i="2"/>
  <c r="EV95" i="2" s="1"/>
  <c r="EY42" i="2"/>
  <c r="EY95" i="2" s="1"/>
  <c r="EU50" i="2"/>
  <c r="EU103" i="2" s="1"/>
  <c r="ET50" i="2"/>
  <c r="ET103" i="2" s="1"/>
  <c r="EW50" i="2"/>
  <c r="EW103" i="2" s="1"/>
  <c r="EN50" i="2"/>
  <c r="EN103" i="2" s="1"/>
  <c r="EP58" i="2"/>
  <c r="EP111" i="2" s="1"/>
  <c r="EN58" i="2"/>
  <c r="EN111" i="2" s="1"/>
  <c r="FB66" i="2"/>
  <c r="EZ66" i="2"/>
  <c r="FD66" i="2"/>
  <c r="FA66" i="2"/>
  <c r="EK66" i="2"/>
  <c r="EV30" i="2"/>
  <c r="EV83" i="2" s="1"/>
  <c r="EZ30" i="2"/>
  <c r="EZ83" i="2" s="1"/>
  <c r="ET30" i="2"/>
  <c r="ET83" i="2" s="1"/>
  <c r="EW30" i="2"/>
  <c r="EW83" i="2" s="1"/>
  <c r="ET44" i="2"/>
  <c r="ET97" i="2" s="1"/>
  <c r="EU44" i="2"/>
  <c r="EU97" i="2" s="1"/>
  <c r="ES44" i="2"/>
  <c r="ES97" i="2" s="1"/>
  <c r="EZ44" i="2"/>
  <c r="EZ97" i="2" s="1"/>
  <c r="EX60" i="2"/>
  <c r="EK60" i="2"/>
  <c r="EY60" i="2"/>
  <c r="EZ60" i="2"/>
  <c r="EW54" i="2"/>
  <c r="EW107" i="2" s="1"/>
  <c r="EN54" i="2"/>
  <c r="EN107" i="2" s="1"/>
  <c r="FA62" i="2"/>
  <c r="EQ34" i="2"/>
  <c r="EQ87" i="2" s="1"/>
  <c r="ET34" i="2"/>
  <c r="ET87" i="2" s="1"/>
  <c r="EP40" i="2"/>
  <c r="EP93" i="2" s="1"/>
  <c r="ET48" i="2"/>
  <c r="ET101" i="2" s="1"/>
  <c r="ES56" i="2"/>
  <c r="ES109" i="2" s="1"/>
  <c r="EN64" i="2"/>
  <c r="ER32" i="2"/>
  <c r="ER85" i="2" s="1"/>
  <c r="EO50" i="2"/>
  <c r="EO103" i="2" s="1"/>
  <c r="ER58" i="2"/>
  <c r="ER111" i="2" s="1"/>
  <c r="ES58" i="2"/>
  <c r="ES111" i="2" s="1"/>
  <c r="EQ66" i="2"/>
  <c r="ES66" i="2"/>
  <c r="EM60" i="2"/>
  <c r="DM33" i="2"/>
  <c r="ER28" i="2"/>
  <c r="ER81" i="2" s="1"/>
  <c r="EN28" i="2"/>
  <c r="EN81" i="2" s="1"/>
  <c r="EP28" i="2"/>
  <c r="EP81" i="2" s="1"/>
  <c r="EW36" i="2"/>
  <c r="EW89" i="2" s="1"/>
  <c r="EN36" i="2"/>
  <c r="EN89" i="2" s="1"/>
  <c r="EQ36" i="2"/>
  <c r="EQ89" i="2" s="1"/>
  <c r="EO46" i="2"/>
  <c r="EO99" i="2" s="1"/>
  <c r="ES46" i="2"/>
  <c r="ES99" i="2" s="1"/>
  <c r="EN46" i="2"/>
  <c r="EN99" i="2" s="1"/>
  <c r="EQ46" i="2"/>
  <c r="EQ99" i="2" s="1"/>
  <c r="EP54" i="2"/>
  <c r="EP107" i="2" s="1"/>
  <c r="ET54" i="2"/>
  <c r="ET107" i="2" s="1"/>
  <c r="ER54" i="2"/>
  <c r="ER107" i="2" s="1"/>
  <c r="EX62" i="2"/>
  <c r="EW62" i="2"/>
  <c r="EO62" i="2"/>
  <c r="EK62" i="2"/>
  <c r="EQ62" i="2"/>
  <c r="EL68" i="2"/>
  <c r="EV34" i="2"/>
  <c r="EV87" i="2" s="1"/>
  <c r="EW34" i="2"/>
  <c r="EW87" i="2" s="1"/>
  <c r="EU34" i="2"/>
  <c r="EU87" i="2" s="1"/>
  <c r="EX34" i="2"/>
  <c r="EX87" i="2" s="1"/>
  <c r="EV40" i="2"/>
  <c r="EV93" i="2" s="1"/>
  <c r="EZ40" i="2"/>
  <c r="EZ93" i="2" s="1"/>
  <c r="ET40" i="2"/>
  <c r="ET93" i="2" s="1"/>
  <c r="EW40" i="2"/>
  <c r="EW93" i="2" s="1"/>
  <c r="EW48" i="2"/>
  <c r="EW101" i="2" s="1"/>
  <c r="EU48" i="2"/>
  <c r="EU101" i="2" s="1"/>
  <c r="EX48" i="2"/>
  <c r="EX101" i="2" s="1"/>
  <c r="EQ56" i="2"/>
  <c r="EQ109" i="2" s="1"/>
  <c r="ER56" i="2"/>
  <c r="ER109" i="2" s="1"/>
  <c r="EX56" i="2"/>
  <c r="EX109" i="2" s="1"/>
  <c r="EW56" i="2"/>
  <c r="EW109" i="2" s="1"/>
  <c r="FA64" i="2"/>
  <c r="EU64" i="2"/>
  <c r="ES64" i="2"/>
  <c r="EW64" i="2"/>
  <c r="EX64" i="2"/>
  <c r="ET52" i="2"/>
  <c r="ET105" i="2" s="1"/>
  <c r="EP52" i="2"/>
  <c r="EP105" i="2" s="1"/>
  <c r="ER52" i="2"/>
  <c r="ER105" i="2" s="1"/>
  <c r="EU52" i="2"/>
  <c r="EU105" i="2" s="1"/>
  <c r="EO68" i="2"/>
  <c r="EP68" i="2"/>
  <c r="EV68" i="2"/>
  <c r="EQ32" i="2"/>
  <c r="EQ85" i="2" s="1"/>
  <c r="EO32" i="2"/>
  <c r="EO85" i="2" s="1"/>
  <c r="EV32" i="2"/>
  <c r="EV85" i="2" s="1"/>
  <c r="EX42" i="2"/>
  <c r="EX95" i="2" s="1"/>
  <c r="ER42" i="2"/>
  <c r="ER95" i="2" s="1"/>
  <c r="EU42" i="2"/>
  <c r="EU95" i="2" s="1"/>
  <c r="ER50" i="2"/>
  <c r="ER103" i="2" s="1"/>
  <c r="EY50" i="2"/>
  <c r="EY103" i="2" s="1"/>
  <c r="ES50" i="2"/>
  <c r="ES103" i="2" s="1"/>
  <c r="EZ50" i="2"/>
  <c r="EZ103" i="2" s="1"/>
  <c r="EV58" i="2"/>
  <c r="EV111" i="2" s="1"/>
  <c r="EX58" i="2"/>
  <c r="EX111" i="2" s="1"/>
  <c r="EW58" i="2"/>
  <c r="EW111" i="2" s="1"/>
  <c r="FC66" i="2"/>
  <c r="EV66" i="2"/>
  <c r="EU66" i="2"/>
  <c r="EY66" i="2"/>
  <c r="EW66" i="2"/>
  <c r="EQ30" i="2"/>
  <c r="EQ83" i="2" s="1"/>
  <c r="ER30" i="2"/>
  <c r="ER83" i="2" s="1"/>
  <c r="EP30" i="2"/>
  <c r="EP83" i="2" s="1"/>
  <c r="ES30" i="2"/>
  <c r="ES83" i="2" s="1"/>
  <c r="EQ44" i="2"/>
  <c r="EQ97" i="2" s="1"/>
  <c r="EX44" i="2"/>
  <c r="EX97" i="2" s="1"/>
  <c r="EO44" i="2"/>
  <c r="EO97" i="2" s="1"/>
  <c r="EV44" i="2"/>
  <c r="EV97" i="2" s="1"/>
  <c r="FB60" i="2"/>
  <c r="FA60" i="2"/>
  <c r="FC60" i="2"/>
  <c r="ET60" i="2"/>
  <c r="EV60" i="2"/>
  <c r="DM23" i="2"/>
  <c r="EX26" i="2"/>
  <c r="EX79" i="2" s="1"/>
  <c r="EO26" i="2"/>
  <c r="EO79" i="2" s="1"/>
  <c r="EV26" i="2"/>
  <c r="EV79" i="2" s="1"/>
  <c r="ET26" i="2"/>
  <c r="ET79" i="2" s="1"/>
  <c r="EY26" i="2"/>
  <c r="EY79" i="2" s="1"/>
  <c r="ER26" i="2"/>
  <c r="ER79" i="2" s="1"/>
  <c r="EQ26" i="2"/>
  <c r="EQ79" i="2" s="1"/>
  <c r="EZ26" i="2"/>
  <c r="EZ79" i="2" s="1"/>
  <c r="EM26" i="2"/>
  <c r="EM79" i="2" s="1"/>
  <c r="EP26" i="2"/>
  <c r="EP79" i="2" s="1"/>
  <c r="EU26" i="2"/>
  <c r="EU79" i="2" s="1"/>
  <c r="EW26" i="2"/>
  <c r="EW79" i="2" s="1"/>
  <c r="EN26" i="2"/>
  <c r="EN79" i="2" s="1"/>
  <c r="EP20" i="2"/>
  <c r="EP73" i="2" s="1"/>
  <c r="ER20" i="2"/>
  <c r="ER73" i="2" s="1"/>
  <c r="EL20" i="2"/>
  <c r="EL73" i="2" s="1"/>
  <c r="FB20" i="2"/>
  <c r="FB73" i="2" s="1"/>
  <c r="FA20" i="2"/>
  <c r="FA73" i="2" s="1"/>
  <c r="EX20" i="2"/>
  <c r="EX73" i="2" s="1"/>
  <c r="EW20" i="2"/>
  <c r="EW73" i="2" s="1"/>
  <c r="EM20" i="2"/>
  <c r="EM73" i="2" s="1"/>
  <c r="EQ20" i="2"/>
  <c r="EQ73" i="2" s="1"/>
  <c r="EV20" i="2"/>
  <c r="EV73" i="2" s="1"/>
  <c r="ET20" i="2"/>
  <c r="ET73" i="2" s="1"/>
  <c r="EU20" i="2"/>
  <c r="EU73" i="2" s="1"/>
  <c r="ES20" i="2"/>
  <c r="ES73" i="2" s="1"/>
  <c r="EO20" i="2"/>
  <c r="EO73" i="2" s="1"/>
  <c r="EN20" i="2"/>
  <c r="EN73" i="2" s="1"/>
  <c r="EK20" i="2"/>
  <c r="EK73" i="2" s="1"/>
  <c r="FC20" i="2"/>
  <c r="FC73" i="2" s="1"/>
  <c r="EZ20" i="2"/>
  <c r="EZ73" i="2" s="1"/>
  <c r="EY20" i="2"/>
  <c r="EY73" i="2" s="1"/>
  <c r="FD20" i="2"/>
  <c r="FD73" i="2" s="1"/>
  <c r="EL22" i="2"/>
  <c r="EL75" i="2" s="1"/>
  <c r="EM22" i="2"/>
  <c r="EM75" i="2" s="1"/>
  <c r="ER22" i="2"/>
  <c r="ER75" i="2" s="1"/>
  <c r="EU22" i="2"/>
  <c r="EU75" i="2" s="1"/>
  <c r="EX22" i="2"/>
  <c r="EX75" i="2" s="1"/>
  <c r="EW22" i="2"/>
  <c r="EW75" i="2" s="1"/>
  <c r="EP22" i="2"/>
  <c r="EP75" i="2" s="1"/>
  <c r="EQ22" i="2"/>
  <c r="EQ75" i="2" s="1"/>
  <c r="ET22" i="2"/>
  <c r="ET75" i="2" s="1"/>
  <c r="ES22" i="2"/>
  <c r="ES75" i="2" s="1"/>
  <c r="EZ22" i="2"/>
  <c r="EZ75" i="2" s="1"/>
  <c r="EO22" i="2"/>
  <c r="EO75" i="2" s="1"/>
  <c r="EV22" i="2"/>
  <c r="EV75" i="2" s="1"/>
  <c r="EY22" i="2"/>
  <c r="EY75" i="2" s="1"/>
  <c r="EN22" i="2"/>
  <c r="EN75" i="2" s="1"/>
  <c r="DM25" i="2"/>
  <c r="DM21" i="2"/>
  <c r="DM29" i="2"/>
  <c r="DM41" i="2"/>
  <c r="DM49" i="2"/>
  <c r="DM27" i="2"/>
  <c r="DM65" i="2"/>
  <c r="DM55" i="2"/>
  <c r="DM57" i="2"/>
  <c r="DM35" i="2"/>
  <c r="DM39" i="2"/>
  <c r="DM43" i="2"/>
  <c r="DM31" i="2"/>
  <c r="DM47" i="2"/>
  <c r="DM63" i="2"/>
  <c r="DM51" i="2"/>
  <c r="DM59" i="2"/>
  <c r="DM67" i="2"/>
  <c r="CR31" i="2"/>
  <c r="F32" i="2" s="1"/>
  <c r="BS62" i="2"/>
  <c r="BV62" i="2"/>
  <c r="BZ62" i="2"/>
  <c r="BU62" i="2"/>
  <c r="BX62" i="2"/>
  <c r="CA62" i="2"/>
  <c r="BT62" i="2"/>
  <c r="BW62" i="2"/>
  <c r="BY62" i="2"/>
  <c r="CB62" i="2"/>
  <c r="BS60" i="2"/>
  <c r="BV60" i="2"/>
  <c r="BZ60" i="2"/>
  <c r="BU60" i="2"/>
  <c r="CA60" i="2"/>
  <c r="CB60" i="2"/>
  <c r="BW60" i="2"/>
  <c r="BX60" i="2"/>
  <c r="BY60" i="2"/>
  <c r="BT60" i="2"/>
  <c r="BS66" i="2"/>
  <c r="BV66" i="2"/>
  <c r="BZ66" i="2"/>
  <c r="BU66" i="2"/>
  <c r="BX66" i="2"/>
  <c r="CA66" i="2"/>
  <c r="BT66" i="2"/>
  <c r="BW66" i="2"/>
  <c r="BY66" i="2"/>
  <c r="CB66" i="2"/>
  <c r="BS67" i="2"/>
  <c r="BV67" i="2"/>
  <c r="BZ67" i="2"/>
  <c r="CB67" i="2"/>
  <c r="BY67" i="2"/>
  <c r="BX67" i="2"/>
  <c r="BU67" i="2"/>
  <c r="BT67" i="2"/>
  <c r="CA67" i="2"/>
  <c r="BW67" i="2"/>
  <c r="BS63" i="2"/>
  <c r="BV63" i="2"/>
  <c r="BZ63" i="2"/>
  <c r="CB63" i="2"/>
  <c r="BY63" i="2"/>
  <c r="BX63" i="2"/>
  <c r="BU63" i="2"/>
  <c r="BT63" i="2"/>
  <c r="CA63" i="2"/>
  <c r="BW63" i="2"/>
  <c r="BS65" i="2"/>
  <c r="BV65" i="2"/>
  <c r="BZ65" i="2"/>
  <c r="BT65" i="2"/>
  <c r="BY65" i="2"/>
  <c r="BU65" i="2"/>
  <c r="CB65" i="2"/>
  <c r="CA65" i="2"/>
  <c r="BX65" i="2"/>
  <c r="BW65" i="2"/>
  <c r="BS59" i="2"/>
  <c r="BV59" i="2"/>
  <c r="BZ59" i="2"/>
  <c r="CB59" i="2"/>
  <c r="BY59" i="2"/>
  <c r="BX59" i="2"/>
  <c r="BU59" i="2"/>
  <c r="BT59" i="2"/>
  <c r="CA59" i="2"/>
  <c r="BW59" i="2"/>
  <c r="BS68" i="2"/>
  <c r="BV68" i="2"/>
  <c r="BZ68" i="2"/>
  <c r="BU68" i="2"/>
  <c r="CA68" i="2"/>
  <c r="CB68" i="2"/>
  <c r="BW68" i="2"/>
  <c r="BX68" i="2"/>
  <c r="BY68" i="2"/>
  <c r="BT68" i="2"/>
  <c r="BS61" i="2"/>
  <c r="BV61" i="2"/>
  <c r="BZ61" i="2"/>
  <c r="BT61" i="2"/>
  <c r="BY61" i="2"/>
  <c r="BU61" i="2"/>
  <c r="CB61" i="2"/>
  <c r="CA61" i="2"/>
  <c r="BX61" i="2"/>
  <c r="BW61" i="2"/>
  <c r="BV19" i="2"/>
  <c r="BZ19" i="2"/>
  <c r="BW19" i="2"/>
  <c r="CA19" i="2"/>
  <c r="BS19" i="2"/>
  <c r="BT19" i="2"/>
  <c r="BX19" i="2"/>
  <c r="CB19" i="2"/>
  <c r="BU19" i="2"/>
  <c r="BY19" i="2"/>
  <c r="BS64" i="2"/>
  <c r="BZ64" i="2"/>
  <c r="BU64" i="2"/>
  <c r="BV64" i="2"/>
  <c r="CA64" i="2"/>
  <c r="CB64" i="2"/>
  <c r="BW64" i="2"/>
  <c r="BX64" i="2"/>
  <c r="BY64" i="2"/>
  <c r="BT64" i="2"/>
  <c r="DB21" i="2"/>
  <c r="DC21" i="2"/>
  <c r="DB25" i="2"/>
  <c r="DC25" i="2"/>
  <c r="DB37" i="2"/>
  <c r="DC37" i="2"/>
  <c r="DC23" i="2"/>
  <c r="DB23" i="2"/>
  <c r="DC47" i="2"/>
  <c r="DB47" i="2"/>
  <c r="DB49" i="2"/>
  <c r="DC49" i="2"/>
  <c r="DB67" i="2"/>
  <c r="DC67" i="2"/>
  <c r="DB33" i="2"/>
  <c r="DC33" i="2"/>
  <c r="DC63" i="2"/>
  <c r="DB63" i="2"/>
  <c r="DB45" i="2"/>
  <c r="DC45" i="2"/>
  <c r="DB61" i="2"/>
  <c r="DC61" i="2"/>
  <c r="DB29" i="2"/>
  <c r="DC29" i="2"/>
  <c r="DB27" i="2"/>
  <c r="DC27" i="2"/>
  <c r="DB51" i="2"/>
  <c r="DC51" i="2"/>
  <c r="DC31" i="2"/>
  <c r="DB31" i="2"/>
  <c r="DC39" i="2"/>
  <c r="DB39" i="2"/>
  <c r="DC55" i="2"/>
  <c r="DB55" i="2"/>
  <c r="DB57" i="2"/>
  <c r="DC57" i="2"/>
  <c r="DB65" i="2"/>
  <c r="DC65" i="2"/>
  <c r="DB43" i="2"/>
  <c r="DC43" i="2"/>
  <c r="DB59" i="2"/>
  <c r="DC59" i="2"/>
  <c r="DB41" i="2"/>
  <c r="DC41" i="2"/>
  <c r="DB53" i="2"/>
  <c r="DC53" i="2"/>
  <c r="DB35" i="2"/>
  <c r="DC35" i="2"/>
  <c r="L48" i="2"/>
  <c r="O22" i="2"/>
  <c r="N22" i="2"/>
  <c r="M22" i="2"/>
  <c r="Q22" i="2"/>
  <c r="S24" i="2"/>
  <c r="AJ30" i="2"/>
  <c r="Z30" i="2"/>
  <c r="AD30" i="2"/>
  <c r="X30" i="2"/>
  <c r="Y30" i="2"/>
  <c r="AC30" i="2"/>
  <c r="AH30" i="2"/>
  <c r="AL30" i="2"/>
  <c r="T30" i="2"/>
  <c r="W30" i="2"/>
  <c r="AB30" i="2"/>
  <c r="AG30" i="2"/>
  <c r="AA30" i="2"/>
  <c r="AM30" i="2"/>
  <c r="U30" i="2"/>
  <c r="AF30" i="2"/>
  <c r="AK30" i="2"/>
  <c r="AI30" i="2"/>
  <c r="AE30" i="2"/>
  <c r="V30" i="2"/>
  <c r="T26" i="2"/>
  <c r="AB20" i="2"/>
  <c r="AA20" i="2"/>
  <c r="Z20" i="2"/>
  <c r="Y20" i="2"/>
  <c r="X20" i="2"/>
  <c r="W20" i="2"/>
  <c r="V20" i="2"/>
  <c r="U20" i="2"/>
  <c r="T20" i="2"/>
  <c r="Q28" i="2"/>
  <c r="O28" i="2"/>
  <c r="M28" i="2"/>
  <c r="K28" i="2"/>
  <c r="AF54" i="2" l="1"/>
  <c r="HN45" i="2"/>
  <c r="J48" i="2"/>
  <c r="HN53" i="2"/>
  <c r="AG56" i="2"/>
  <c r="N48" i="2"/>
  <c r="AC56" i="2"/>
  <c r="HN39" i="2"/>
  <c r="HN49" i="2"/>
  <c r="HN51" i="2"/>
  <c r="AK56" i="2"/>
  <c r="EM56" i="2"/>
  <c r="EM109" i="2" s="1"/>
  <c r="M56" i="2"/>
  <c r="HN57" i="2"/>
  <c r="AL56" i="2"/>
  <c r="T56" i="2"/>
  <c r="AF48" i="2"/>
  <c r="HN41" i="2"/>
  <c r="Z56" i="2"/>
  <c r="W48" i="2"/>
  <c r="N56" i="2"/>
  <c r="L56" i="2"/>
  <c r="AK48" i="2"/>
  <c r="R56" i="2"/>
  <c r="AB50" i="2"/>
  <c r="R50" i="2"/>
  <c r="AI56" i="2"/>
  <c r="HN33" i="2"/>
  <c r="Z44" i="2"/>
  <c r="Y50" i="2"/>
  <c r="AD56" i="2"/>
  <c r="HN27" i="2"/>
  <c r="AH58" i="2"/>
  <c r="X56" i="2"/>
  <c r="AM56" i="2"/>
  <c r="Y36" i="2"/>
  <c r="HN35" i="2"/>
  <c r="U36" i="2"/>
  <c r="HN31" i="2"/>
  <c r="FP105" i="2"/>
  <c r="FQ105" i="2" s="1"/>
  <c r="FQ32" i="2" s="1"/>
  <c r="FP140" i="2"/>
  <c r="FQ140" i="2" s="1"/>
  <c r="FQ46" i="2" s="1"/>
  <c r="FP115" i="2"/>
  <c r="FQ115" i="2" s="1"/>
  <c r="FQ36" i="2" s="1"/>
  <c r="FP165" i="2"/>
  <c r="FQ165" i="2" s="1"/>
  <c r="FQ56" i="2" s="1"/>
  <c r="FP170" i="2"/>
  <c r="FQ170" i="2" s="1"/>
  <c r="FQ58" i="2" s="1"/>
  <c r="FP85" i="2"/>
  <c r="FQ85" i="2" s="1"/>
  <c r="FQ24" i="2" s="1"/>
  <c r="FP125" i="2"/>
  <c r="FQ125" i="2" s="1"/>
  <c r="FQ40" i="2" s="1"/>
  <c r="FP150" i="2"/>
  <c r="FQ150" i="2" s="1"/>
  <c r="FQ50" i="2" s="1"/>
  <c r="FP155" i="2"/>
  <c r="FQ155" i="2" s="1"/>
  <c r="FQ52" i="2" s="1"/>
  <c r="FP160" i="2"/>
  <c r="FQ160" i="2" s="1"/>
  <c r="FQ54" i="2" s="1"/>
  <c r="FP95" i="2"/>
  <c r="FQ95" i="2" s="1"/>
  <c r="FQ28" i="2" s="1"/>
  <c r="FP135" i="2"/>
  <c r="FQ135" i="2" s="1"/>
  <c r="FQ44" i="2" s="1"/>
  <c r="FP130" i="2"/>
  <c r="FQ130" i="2" s="1"/>
  <c r="FQ42" i="2" s="1"/>
  <c r="FP145" i="2"/>
  <c r="FQ145" i="2" s="1"/>
  <c r="FQ48" i="2" s="1"/>
  <c r="FP75" i="2"/>
  <c r="FQ75" i="2" s="1"/>
  <c r="EI22" i="2" a="1"/>
  <c r="EI22" i="2" s="1"/>
  <c r="EK75" i="2"/>
  <c r="EI75" i="2" s="1"/>
  <c r="EL109" i="2"/>
  <c r="EI58" i="2" a="1"/>
  <c r="EI58" i="2" s="1"/>
  <c r="EL111" i="2"/>
  <c r="EL107" i="2"/>
  <c r="EL101" i="2"/>
  <c r="EI101" i="2" s="1"/>
  <c r="EI48" i="2" a="1"/>
  <c r="EI48" i="2" s="1"/>
  <c r="EI73" i="2"/>
  <c r="EK77" i="2"/>
  <c r="EI20" i="2" a="1"/>
  <c r="EI20" i="2" s="1"/>
  <c r="FZ80" i="2"/>
  <c r="GQ80" i="2"/>
  <c r="GJ80" i="2"/>
  <c r="GT80" i="2"/>
  <c r="FW80" i="2"/>
  <c r="GS80" i="2"/>
  <c r="GF80" i="2"/>
  <c r="GP80" i="2"/>
  <c r="GG80" i="2"/>
  <c r="FX80" i="2"/>
  <c r="GN80" i="2"/>
  <c r="GL80" i="2"/>
  <c r="GC80" i="2"/>
  <c r="GE80" i="2"/>
  <c r="FS80" i="2"/>
  <c r="GH80" i="2"/>
  <c r="FY80" i="2"/>
  <c r="GO80" i="2"/>
  <c r="GA80" i="2"/>
  <c r="GD80" i="2"/>
  <c r="FU80" i="2"/>
  <c r="GU80" i="2"/>
  <c r="GB80" i="2"/>
  <c r="FT80" i="2"/>
  <c r="FR80" i="2"/>
  <c r="GI80" i="2"/>
  <c r="GM80" i="2"/>
  <c r="FV80" i="2"/>
  <c r="GK80" i="2"/>
  <c r="GR80" i="2"/>
  <c r="E28" i="3"/>
  <c r="P54" i="2"/>
  <c r="W50" i="2"/>
  <c r="Z54" i="2"/>
  <c r="AE50" i="2"/>
  <c r="W54" i="2"/>
  <c r="V50" i="2"/>
  <c r="X48" i="2"/>
  <c r="AL50" i="2"/>
  <c r="M50" i="2"/>
  <c r="E31" i="3"/>
  <c r="U50" i="2"/>
  <c r="AK50" i="2"/>
  <c r="X50" i="2"/>
  <c r="AI50" i="2"/>
  <c r="N50" i="2"/>
  <c r="AD50" i="2"/>
  <c r="P58" i="2"/>
  <c r="T50" i="2"/>
  <c r="V48" i="2"/>
  <c r="AM48" i="2"/>
  <c r="AL44" i="2"/>
  <c r="AG50" i="2"/>
  <c r="Q44" i="2"/>
  <c r="AA50" i="2"/>
  <c r="Z50" i="2"/>
  <c r="L50" i="2"/>
  <c r="S50" i="2"/>
  <c r="AH44" i="2"/>
  <c r="AC50" i="2"/>
  <c r="Q50" i="2"/>
  <c r="K50" i="2"/>
  <c r="K44" i="2"/>
  <c r="AD44" i="2"/>
  <c r="AF50" i="2"/>
  <c r="E35" i="3"/>
  <c r="U58" i="2"/>
  <c r="K58" i="2"/>
  <c r="AC54" i="2"/>
  <c r="AM58" i="2"/>
  <c r="R58" i="2"/>
  <c r="L58" i="2"/>
  <c r="S54" i="2"/>
  <c r="K56" i="2"/>
  <c r="O48" i="2"/>
  <c r="E30" i="3"/>
  <c r="AB56" i="2"/>
  <c r="AG48" i="2"/>
  <c r="AD48" i="2"/>
  <c r="AM54" i="2"/>
  <c r="AI58" i="2"/>
  <c r="AJ50" i="2"/>
  <c r="O54" i="2"/>
  <c r="M58" i="2"/>
  <c r="AH54" i="2"/>
  <c r="Y58" i="2"/>
  <c r="AE54" i="2"/>
  <c r="W58" i="2"/>
  <c r="Q54" i="2"/>
  <c r="W56" i="2"/>
  <c r="Q56" i="2"/>
  <c r="P50" i="2"/>
  <c r="U48" i="2"/>
  <c r="J54" i="2"/>
  <c r="AA56" i="2"/>
  <c r="AC48" i="2"/>
  <c r="AB54" i="2"/>
  <c r="AA54" i="2"/>
  <c r="AF58" i="2"/>
  <c r="AH50" i="2"/>
  <c r="AG46" i="2"/>
  <c r="N58" i="2"/>
  <c r="V54" i="2"/>
  <c r="J58" i="2"/>
  <c r="N54" i="2"/>
  <c r="P56" i="2"/>
  <c r="E33" i="3"/>
  <c r="M48" i="2"/>
  <c r="E34" i="3"/>
  <c r="V58" i="2"/>
  <c r="AC58" i="2"/>
  <c r="EM54" i="2"/>
  <c r="EM107" i="2" s="1"/>
  <c r="U54" i="2"/>
  <c r="AJ54" i="2"/>
  <c r="AL58" i="2"/>
  <c r="M54" i="2"/>
  <c r="AD54" i="2"/>
  <c r="AG58" i="2"/>
  <c r="S58" i="2"/>
  <c r="T54" i="2"/>
  <c r="AB58" i="2"/>
  <c r="T58" i="2"/>
  <c r="L54" i="2"/>
  <c r="K54" i="2"/>
  <c r="AI54" i="2"/>
  <c r="Z58" i="2"/>
  <c r="AE58" i="2"/>
  <c r="Q58" i="2"/>
  <c r="Y54" i="2"/>
  <c r="Y56" i="2"/>
  <c r="AF56" i="2"/>
  <c r="AG54" i="2"/>
  <c r="AK58" i="2"/>
  <c r="AA58" i="2"/>
  <c r="Q48" i="2"/>
  <c r="O58" i="2"/>
  <c r="R54" i="2"/>
  <c r="O56" i="2"/>
  <c r="T48" i="2"/>
  <c r="AJ56" i="2"/>
  <c r="AJ48" i="2"/>
  <c r="AL54" i="2"/>
  <c r="AJ58" i="2"/>
  <c r="EM58" i="2"/>
  <c r="EM111" i="2" s="1"/>
  <c r="EM50" i="2"/>
  <c r="EM103" i="2" s="1"/>
  <c r="X58" i="2"/>
  <c r="X54" i="2"/>
  <c r="V56" i="2"/>
  <c r="O50" i="2"/>
  <c r="S48" i="2"/>
  <c r="J56" i="2"/>
  <c r="AM50" i="2"/>
  <c r="P34" i="2"/>
  <c r="Y42" i="2"/>
  <c r="U42" i="2"/>
  <c r="T42" i="2"/>
  <c r="S42" i="2"/>
  <c r="Q40" i="2"/>
  <c r="AC44" i="2"/>
  <c r="O44" i="2"/>
  <c r="AK44" i="2"/>
  <c r="X44" i="2"/>
  <c r="U44" i="2"/>
  <c r="AM44" i="2"/>
  <c r="AJ44" i="2"/>
  <c r="P44" i="2"/>
  <c r="M44" i="2"/>
  <c r="L44" i="2"/>
  <c r="AO44" i="2" s="1"/>
  <c r="AB44" i="2"/>
  <c r="EM44" i="2"/>
  <c r="EM97" i="2" s="1"/>
  <c r="T44" i="2"/>
  <c r="J44" i="2"/>
  <c r="W44" i="2"/>
  <c r="AG44" i="2"/>
  <c r="S44" i="2"/>
  <c r="N44" i="2"/>
  <c r="AF44" i="2"/>
  <c r="V44" i="2"/>
  <c r="AI44" i="2"/>
  <c r="R44" i="2"/>
  <c r="AE44" i="2"/>
  <c r="Y44" i="2"/>
  <c r="P42" i="2"/>
  <c r="AM42" i="2"/>
  <c r="W42" i="2"/>
  <c r="AD42" i="2"/>
  <c r="AF42" i="2"/>
  <c r="EM42" i="2"/>
  <c r="EM95" i="2" s="1"/>
  <c r="AB40" i="2"/>
  <c r="EM40" i="2"/>
  <c r="EM93" i="2" s="1"/>
  <c r="EM36" i="2"/>
  <c r="EM89" i="2" s="1"/>
  <c r="AE36" i="2"/>
  <c r="DT10" i="2"/>
  <c r="EG43" i="2"/>
  <c r="DR10" i="2"/>
  <c r="N32" i="2"/>
  <c r="U32" i="2"/>
  <c r="L32" i="2"/>
  <c r="X32" i="2"/>
  <c r="AF32" i="2"/>
  <c r="P32" i="2"/>
  <c r="E22" i="3"/>
  <c r="AM32" i="2"/>
  <c r="EM32" i="2"/>
  <c r="EM85" i="2" s="1"/>
  <c r="O32" i="2"/>
  <c r="AA32" i="2"/>
  <c r="T34" i="2"/>
  <c r="AH34" i="2"/>
  <c r="AL34" i="2"/>
  <c r="E23" i="3"/>
  <c r="AC34" i="2"/>
  <c r="Y34" i="2"/>
  <c r="W34" i="2"/>
  <c r="S34" i="2"/>
  <c r="Z34" i="2"/>
  <c r="AD34" i="2"/>
  <c r="AJ34" i="2"/>
  <c r="Q34" i="2"/>
  <c r="V34" i="2"/>
  <c r="R34" i="2"/>
  <c r="AI34" i="2"/>
  <c r="AM34" i="2"/>
  <c r="AK34" i="2"/>
  <c r="AF34" i="2"/>
  <c r="EM34" i="2"/>
  <c r="EM87" i="2" s="1"/>
  <c r="X34" i="2"/>
  <c r="U34" i="2"/>
  <c r="AA34" i="2"/>
  <c r="AE34" i="2"/>
  <c r="AG34" i="2"/>
  <c r="X46" i="2"/>
  <c r="R46" i="2"/>
  <c r="AE46" i="2"/>
  <c r="P36" i="2"/>
  <c r="AK36" i="2"/>
  <c r="Z36" i="2"/>
  <c r="T36" i="2"/>
  <c r="W36" i="2"/>
  <c r="AF36" i="2"/>
  <c r="R36" i="2"/>
  <c r="E24" i="3"/>
  <c r="AM36" i="2"/>
  <c r="AD40" i="2"/>
  <c r="AE42" i="2"/>
  <c r="AB42" i="2"/>
  <c r="AI32" i="2"/>
  <c r="U40" i="2"/>
  <c r="O42" i="2"/>
  <c r="T40" i="2"/>
  <c r="X36" i="2"/>
  <c r="T32" i="2"/>
  <c r="W32" i="2"/>
  <c r="E27" i="3"/>
  <c r="Z40" i="2"/>
  <c r="AI36" i="2"/>
  <c r="AL42" i="2"/>
  <c r="AG32" i="2"/>
  <c r="AE32" i="2"/>
  <c r="R42" i="2"/>
  <c r="Q36" i="2"/>
  <c r="AC36" i="2"/>
  <c r="AA36" i="2"/>
  <c r="AI42" i="2"/>
  <c r="AK42" i="2"/>
  <c r="AK32" i="2"/>
  <c r="AL32" i="2"/>
  <c r="S32" i="2"/>
  <c r="E32" i="3"/>
  <c r="AJ36" i="2"/>
  <c r="AL36" i="2"/>
  <c r="AA42" i="2"/>
  <c r="AG42" i="2"/>
  <c r="AC32" i="2"/>
  <c r="AH32" i="2"/>
  <c r="Q42" i="2"/>
  <c r="S36" i="2"/>
  <c r="Y32" i="2"/>
  <c r="AB36" i="2"/>
  <c r="AH36" i="2"/>
  <c r="AH42" i="2"/>
  <c r="AC42" i="2"/>
  <c r="AJ32" i="2"/>
  <c r="AD32" i="2"/>
  <c r="V42" i="2"/>
  <c r="X42" i="2"/>
  <c r="Y40" i="2"/>
  <c r="V36" i="2"/>
  <c r="V32" i="2"/>
  <c r="AJ40" i="2"/>
  <c r="AG36" i="2"/>
  <c r="Z42" i="2"/>
  <c r="AB32" i="2"/>
  <c r="X40" i="2"/>
  <c r="S40" i="2"/>
  <c r="W46" i="2"/>
  <c r="E26" i="3"/>
  <c r="AM40" i="2"/>
  <c r="AD46" i="2"/>
  <c r="AJ46" i="2"/>
  <c r="AC46" i="2"/>
  <c r="P40" i="2"/>
  <c r="K40" i="2"/>
  <c r="O46" i="2"/>
  <c r="AI40" i="2"/>
  <c r="AI46" i="2"/>
  <c r="AF46" i="2"/>
  <c r="L40" i="2"/>
  <c r="W40" i="2"/>
  <c r="V46" i="2"/>
  <c r="AG40" i="2"/>
  <c r="AE40" i="2"/>
  <c r="AA46" i="2"/>
  <c r="AB46" i="2"/>
  <c r="P46" i="2"/>
  <c r="M40" i="2"/>
  <c r="EM46" i="2"/>
  <c r="EM99" i="2" s="1"/>
  <c r="V40" i="2"/>
  <c r="U46" i="2"/>
  <c r="AF40" i="2"/>
  <c r="AA40" i="2"/>
  <c r="AH46" i="2"/>
  <c r="N40" i="2"/>
  <c r="Y46" i="2"/>
  <c r="T46" i="2"/>
  <c r="E29" i="3"/>
  <c r="AK40" i="2"/>
  <c r="AL40" i="2"/>
  <c r="Z46" i="2"/>
  <c r="AL46" i="2"/>
  <c r="R40" i="2"/>
  <c r="O40" i="2"/>
  <c r="Q46" i="2"/>
  <c r="S46" i="2"/>
  <c r="AC40" i="2"/>
  <c r="AM46" i="2"/>
  <c r="FP38" i="2"/>
  <c r="FQ38" i="2"/>
  <c r="S31" i="3"/>
  <c r="S30" i="3"/>
  <c r="AA13" i="2"/>
  <c r="EG35" i="2"/>
  <c r="EG31" i="2"/>
  <c r="Z13" i="2"/>
  <c r="EG29" i="2"/>
  <c r="Y13" i="2"/>
  <c r="EG21" i="2"/>
  <c r="EG25" i="2"/>
  <c r="EG19" i="2"/>
  <c r="EG23" i="2"/>
  <c r="EG27" i="2"/>
  <c r="DN13" i="2" a="1"/>
  <c r="DN13" i="2" s="1"/>
  <c r="DN12" i="2" s="1"/>
  <c r="DO13" i="2" a="1"/>
  <c r="DO13" i="2" s="1"/>
  <c r="DO12" i="2" s="1"/>
  <c r="DH13" i="2" a="1"/>
  <c r="DH13" i="2" s="1"/>
  <c r="DH12" i="2" s="1"/>
  <c r="DG13" i="2" a="1"/>
  <c r="DG13" i="2" s="1"/>
  <c r="DG12" i="2" s="1"/>
  <c r="EI66" i="2" a="1"/>
  <c r="EI66" i="2" s="1"/>
  <c r="EI65" i="2" s="1"/>
  <c r="EI64" i="2" a="1"/>
  <c r="EI64" i="2" s="1"/>
  <c r="EI63" i="2" s="1"/>
  <c r="EI60" i="2" a="1"/>
  <c r="EI60" i="2" s="1"/>
  <c r="EI59" i="2" s="1"/>
  <c r="EI62" i="2" a="1"/>
  <c r="EI62" i="2" s="1"/>
  <c r="EI61" i="2" s="1"/>
  <c r="EI68" i="2" a="1"/>
  <c r="EI68" i="2" s="1"/>
  <c r="EI67" i="2" s="1"/>
  <c r="DC19" i="2"/>
  <c r="DB19" i="2"/>
  <c r="G23" i="2"/>
  <c r="L42" i="2"/>
  <c r="R32" i="2"/>
  <c r="Q32" i="2"/>
  <c r="M32" i="2"/>
  <c r="K32" i="2"/>
  <c r="EI56" i="2" l="1" a="1"/>
  <c r="EI56" i="2" s="1"/>
  <c r="EI109" i="2"/>
  <c r="EI54" i="2" a="1"/>
  <c r="EI54" i="2" s="1"/>
  <c r="EI107" i="2"/>
  <c r="EI111" i="2"/>
  <c r="EI57" i="2" s="1"/>
  <c r="EI47" i="2"/>
  <c r="FP80" i="2"/>
  <c r="FQ80" i="2" s="1"/>
  <c r="EI21" i="2"/>
  <c r="EI19" i="2"/>
  <c r="FP58" i="2"/>
  <c r="FP56" i="2"/>
  <c r="FP42" i="2"/>
  <c r="FP48" i="2"/>
  <c r="FP36" i="2"/>
  <c r="FP54" i="2"/>
  <c r="FP52" i="2"/>
  <c r="FP50" i="2"/>
  <c r="FP44" i="2"/>
  <c r="FP32" i="2"/>
  <c r="FP46" i="2"/>
  <c r="FP40" i="2"/>
  <c r="FP28" i="2"/>
  <c r="FP24" i="2"/>
  <c r="FP20" i="2"/>
  <c r="FQ20" i="2"/>
  <c r="CR33" i="2"/>
  <c r="F34" i="2" s="1"/>
  <c r="G25" i="2"/>
  <c r="E7" i="3"/>
  <c r="L11" i="3"/>
  <c r="L10" i="3"/>
  <c r="L9" i="3"/>
  <c r="I11" i="3"/>
  <c r="I10" i="3"/>
  <c r="I9" i="3"/>
  <c r="G11" i="3"/>
  <c r="G10" i="3"/>
  <c r="G9" i="3"/>
  <c r="D11" i="3"/>
  <c r="D10" i="3"/>
  <c r="D9" i="3"/>
  <c r="EI55" i="2" l="1"/>
  <c r="EI53" i="2"/>
  <c r="EL26" i="2"/>
  <c r="G27" i="2"/>
  <c r="CP57" i="2"/>
  <c r="CP59" i="2"/>
  <c r="CP61" i="2"/>
  <c r="CP63" i="2"/>
  <c r="CP65" i="2"/>
  <c r="BX122" i="1"/>
  <c r="BY122" i="1" s="1"/>
  <c r="BX121" i="1"/>
  <c r="BY121" i="1" s="1"/>
  <c r="BX120" i="1"/>
  <c r="BY120" i="1" s="1"/>
  <c r="BX78" i="1"/>
  <c r="BY78" i="1" s="1"/>
  <c r="BX79" i="1"/>
  <c r="BY79" i="1" s="1"/>
  <c r="BX80" i="1"/>
  <c r="BY80" i="1" s="1"/>
  <c r="BX81" i="1"/>
  <c r="BY81" i="1" s="1"/>
  <c r="BX82" i="1"/>
  <c r="BY82" i="1" s="1"/>
  <c r="BX83" i="1"/>
  <c r="BY83" i="1" s="1"/>
  <c r="BX84" i="1"/>
  <c r="BY84" i="1" s="1"/>
  <c r="BX85" i="1"/>
  <c r="BY85" i="1" s="1"/>
  <c r="BX86" i="1"/>
  <c r="BY86" i="1" s="1"/>
  <c r="BX87" i="1"/>
  <c r="BY87" i="1" s="1"/>
  <c r="BX88" i="1"/>
  <c r="BY88" i="1" s="1"/>
  <c r="BX89" i="1"/>
  <c r="BY89" i="1" s="1"/>
  <c r="BX90" i="1"/>
  <c r="BY90" i="1" s="1"/>
  <c r="BX91" i="1"/>
  <c r="BY91" i="1" s="1"/>
  <c r="BX92" i="1"/>
  <c r="BY92" i="1" s="1"/>
  <c r="BX93" i="1"/>
  <c r="BY93" i="1" s="1"/>
  <c r="BX94" i="1"/>
  <c r="BY94" i="1" s="1"/>
  <c r="BX95" i="1"/>
  <c r="BY95" i="1" s="1"/>
  <c r="BX96" i="1"/>
  <c r="BY96" i="1" s="1"/>
  <c r="BX97" i="1"/>
  <c r="BY97" i="1" s="1"/>
  <c r="BX98" i="1"/>
  <c r="BY98" i="1" s="1"/>
  <c r="BX99" i="1"/>
  <c r="BY99" i="1" s="1"/>
  <c r="BX100" i="1"/>
  <c r="BY100" i="1" s="1"/>
  <c r="BX101" i="1"/>
  <c r="BY101" i="1" s="1"/>
  <c r="BX102" i="1"/>
  <c r="BY102" i="1" s="1"/>
  <c r="BX103" i="1"/>
  <c r="BY103" i="1" s="1"/>
  <c r="BX104" i="1"/>
  <c r="BY104" i="1" s="1"/>
  <c r="BX105" i="1"/>
  <c r="BY105" i="1" s="1"/>
  <c r="BX106" i="1"/>
  <c r="BY106" i="1" s="1"/>
  <c r="BX107" i="1"/>
  <c r="BY107" i="1" s="1"/>
  <c r="BX108" i="1"/>
  <c r="BY108" i="1" s="1"/>
  <c r="BX109" i="1"/>
  <c r="BY109" i="1" s="1"/>
  <c r="BX110" i="1"/>
  <c r="BY110" i="1" s="1"/>
  <c r="BX111" i="1"/>
  <c r="BY111" i="1" s="1"/>
  <c r="BX112" i="1"/>
  <c r="BY112" i="1" s="1"/>
  <c r="BX113" i="1"/>
  <c r="BY113" i="1" s="1"/>
  <c r="BX114" i="1"/>
  <c r="BY114" i="1" s="1"/>
  <c r="BX115" i="1"/>
  <c r="BY115" i="1" s="1"/>
  <c r="BX116" i="1"/>
  <c r="BY116" i="1" s="1"/>
  <c r="BX117" i="1"/>
  <c r="BY117" i="1" s="1"/>
  <c r="BX118" i="1"/>
  <c r="BY118" i="1" s="1"/>
  <c r="BX119" i="1"/>
  <c r="BY119" i="1" s="1"/>
  <c r="BX77" i="1"/>
  <c r="BY77" i="1" s="1"/>
  <c r="EL79" i="2" l="1"/>
  <c r="EI79" i="2" s="1"/>
  <c r="EI26" i="2" a="1"/>
  <c r="EI26" i="2" s="1"/>
  <c r="EL28" i="2"/>
  <c r="CR35" i="2"/>
  <c r="F36" i="2" s="1"/>
  <c r="G29" i="2"/>
  <c r="C43" i="3"/>
  <c r="K5" i="2"/>
  <c r="L5" i="2"/>
  <c r="E5" i="3" s="1"/>
  <c r="EI25" i="2" l="1"/>
  <c r="EI28" i="2" a="1"/>
  <c r="EI28" i="2" s="1"/>
  <c r="EL81" i="2"/>
  <c r="EI81" i="2" s="1"/>
  <c r="EL30" i="2"/>
  <c r="G31" i="2"/>
  <c r="D43" i="3"/>
  <c r="K8" i="2"/>
  <c r="K7" i="2"/>
  <c r="E12" i="3"/>
  <c r="G8" i="2"/>
  <c r="G7" i="2"/>
  <c r="D8" i="3"/>
  <c r="P5" i="2"/>
  <c r="G8" i="3" s="1"/>
  <c r="E13" i="3"/>
  <c r="E6" i="3"/>
  <c r="M7" i="2"/>
  <c r="EL83" i="2" l="1"/>
  <c r="EI83" i="2" s="1"/>
  <c r="EI30" i="2" a="1"/>
  <c r="EI30" i="2" s="1"/>
  <c r="EI27" i="2"/>
  <c r="EL32" i="2"/>
  <c r="CR37" i="2"/>
  <c r="F38" i="2" s="1"/>
  <c r="G33" i="2"/>
  <c r="C16" i="3"/>
  <c r="EI29" i="2" l="1"/>
  <c r="EI32" i="2" a="1"/>
  <c r="EI32" i="2" s="1"/>
  <c r="EL85" i="2"/>
  <c r="EI85" i="2" s="1"/>
  <c r="EL34" i="2"/>
  <c r="G35" i="2"/>
  <c r="BU5" i="1"/>
  <c r="BU7" i="1"/>
  <c r="BU9" i="1"/>
  <c r="EL87" i="2" l="1"/>
  <c r="EI87" i="2" s="1"/>
  <c r="EI34" i="2" a="1"/>
  <c r="EI34" i="2" s="1"/>
  <c r="EI31" i="2"/>
  <c r="G37" i="2"/>
  <c r="EL36" i="2"/>
  <c r="CR39" i="2"/>
  <c r="F40" i="2" s="1"/>
  <c r="C17" i="3"/>
  <c r="HI63" i="2"/>
  <c r="HI61" i="2"/>
  <c r="HI59" i="2"/>
  <c r="HI67" i="2"/>
  <c r="HI65" i="2"/>
  <c r="CS57" i="2"/>
  <c r="EI33" i="2" l="1"/>
  <c r="EI36" i="2" a="1"/>
  <c r="EI36" i="2" s="1"/>
  <c r="EL89" i="2"/>
  <c r="EI89" i="2" s="1"/>
  <c r="GW14" i="2"/>
  <c r="HA14" i="2"/>
  <c r="GZ14" i="2"/>
  <c r="EL38" i="2"/>
  <c r="FX89" i="2"/>
  <c r="GA89" i="2"/>
  <c r="GS89" i="2"/>
  <c r="FZ89" i="2"/>
  <c r="FW89" i="2"/>
  <c r="GB89" i="2"/>
  <c r="GM89" i="2"/>
  <c r="GD89" i="2"/>
  <c r="GI89" i="2"/>
  <c r="GO89" i="2"/>
  <c r="GF89" i="2"/>
  <c r="FU89" i="2"/>
  <c r="GH89" i="2"/>
  <c r="GU89" i="2"/>
  <c r="FT89" i="2"/>
  <c r="GJ89" i="2"/>
  <c r="FY89" i="2"/>
  <c r="GL89" i="2"/>
  <c r="GN89" i="2"/>
  <c r="GC89" i="2"/>
  <c r="FS89" i="2"/>
  <c r="GP89" i="2"/>
  <c r="GR89" i="2"/>
  <c r="GG89" i="2"/>
  <c r="GE89" i="2"/>
  <c r="GT89" i="2"/>
  <c r="GK89" i="2"/>
  <c r="GQ89" i="2"/>
  <c r="FR89" i="2"/>
  <c r="FV89" i="2"/>
  <c r="G39" i="2"/>
  <c r="GX14" i="2"/>
  <c r="GY14" i="2"/>
  <c r="C18" i="3"/>
  <c r="CP23" i="2"/>
  <c r="CP25" i="2"/>
  <c r="CP27" i="2"/>
  <c r="CP29" i="2"/>
  <c r="CP31" i="2"/>
  <c r="CP33" i="2"/>
  <c r="CP35" i="2"/>
  <c r="CP37" i="2"/>
  <c r="CP39" i="2"/>
  <c r="CP41" i="2"/>
  <c r="CP43" i="2"/>
  <c r="CP45" i="2"/>
  <c r="CP47" i="2"/>
  <c r="CS47" i="2" s="1"/>
  <c r="CP49" i="2"/>
  <c r="CP51" i="2"/>
  <c r="CP53" i="2"/>
  <c r="CS53" i="2" s="1"/>
  <c r="CP55" i="2"/>
  <c r="CS55" i="2" s="1"/>
  <c r="CP21" i="2"/>
  <c r="CP19" i="2"/>
  <c r="BU9" i="2"/>
  <c r="BV8" i="2"/>
  <c r="BV7" i="2"/>
  <c r="N43" i="1"/>
  <c r="EI35" i="2" l="1"/>
  <c r="EI38" i="2" a="1"/>
  <c r="EI38" i="2" s="1"/>
  <c r="EL91" i="2"/>
  <c r="EI91" i="2" s="1"/>
  <c r="FZ90" i="2"/>
  <c r="GQ90" i="2"/>
  <c r="GB90" i="2"/>
  <c r="GA90" i="2"/>
  <c r="GD90" i="2"/>
  <c r="FY90" i="2"/>
  <c r="FX90" i="2"/>
  <c r="FV90" i="2"/>
  <c r="GK90" i="2"/>
  <c r="FU90" i="2"/>
  <c r="GC90" i="2"/>
  <c r="GM90" i="2"/>
  <c r="GL90" i="2"/>
  <c r="FR90" i="2"/>
  <c r="GJ90" i="2"/>
  <c r="FT90" i="2"/>
  <c r="GS90" i="2"/>
  <c r="GT90" i="2"/>
  <c r="GU90" i="2"/>
  <c r="GE90" i="2"/>
  <c r="GH90" i="2"/>
  <c r="GG90" i="2"/>
  <c r="GR90" i="2"/>
  <c r="GF90" i="2"/>
  <c r="GP90" i="2"/>
  <c r="GO90" i="2"/>
  <c r="GN90" i="2"/>
  <c r="FW90" i="2"/>
  <c r="FS90" i="2"/>
  <c r="GI90" i="2"/>
  <c r="GY12" i="2"/>
  <c r="EL40" i="2"/>
  <c r="CS51" i="2"/>
  <c r="CS49" i="2"/>
  <c r="W12" i="2"/>
  <c r="V12" i="2"/>
  <c r="G41" i="2"/>
  <c r="G43" i="2" s="1"/>
  <c r="S11" i="2"/>
  <c r="S12" i="2"/>
  <c r="U12" i="2"/>
  <c r="T12" i="2"/>
  <c r="CR41" i="2"/>
  <c r="F42" i="2" s="1"/>
  <c r="X12" i="2"/>
  <c r="D1" i="6"/>
  <c r="D9" i="6" s="1"/>
  <c r="Q12" i="2"/>
  <c r="P12" i="2"/>
  <c r="CP15" i="2"/>
  <c r="D11" i="1" s="1"/>
  <c r="E11" i="1" s="1"/>
  <c r="L12" i="2"/>
  <c r="O12" i="2"/>
  <c r="K12" i="2"/>
  <c r="N12" i="2"/>
  <c r="M12" i="2"/>
  <c r="H12" i="2"/>
  <c r="B1" i="7"/>
  <c r="B1" i="6"/>
  <c r="C19" i="3"/>
  <c r="BV11" i="2"/>
  <c r="C14" i="2"/>
  <c r="C12" i="2"/>
  <c r="I12" i="2"/>
  <c r="J12" i="2"/>
  <c r="D14" i="2"/>
  <c r="CP17" i="2"/>
  <c r="BV14" i="2"/>
  <c r="BU14" i="2" s="1"/>
  <c r="BV12" i="2" s="1"/>
  <c r="CO15" i="2"/>
  <c r="FP90" i="2" l="1"/>
  <c r="FQ90" i="2" s="1"/>
  <c r="EI40" i="2" a="1"/>
  <c r="EI40" i="2" s="1"/>
  <c r="EL93" i="2"/>
  <c r="EI93" i="2" s="1"/>
  <c r="EI37" i="2"/>
  <c r="A19" i="2"/>
  <c r="B19" i="2"/>
  <c r="B21" i="2" s="1"/>
  <c r="B23" i="2" s="1"/>
  <c r="B25" i="2" s="1"/>
  <c r="B27" i="2" s="1"/>
  <c r="B29" i="2" s="1"/>
  <c r="B31" i="2" s="1"/>
  <c r="B33" i="2" s="1"/>
  <c r="B35" i="2" s="1"/>
  <c r="B37" i="2" s="1"/>
  <c r="B39" i="2" s="1"/>
  <c r="B41" i="2" s="1"/>
  <c r="B43" i="2" s="1"/>
  <c r="B45" i="2" s="1"/>
  <c r="B47" i="2" s="1"/>
  <c r="B49" i="2" s="1"/>
  <c r="B51" i="2" s="1"/>
  <c r="B53" i="2" s="1"/>
  <c r="B55" i="2" s="1"/>
  <c r="B57" i="2" s="1"/>
  <c r="B59" i="2" s="1"/>
  <c r="B61" i="2" s="1"/>
  <c r="B63" i="2" s="1"/>
  <c r="B65" i="2" s="1"/>
  <c r="B67" i="2" s="1"/>
  <c r="A284" i="6"/>
  <c r="A288" i="6"/>
  <c r="A292" i="6"/>
  <c r="A296" i="6"/>
  <c r="A300" i="6"/>
  <c r="A304" i="6"/>
  <c r="A308" i="6"/>
  <c r="A312" i="6"/>
  <c r="A316" i="6"/>
  <c r="A320" i="6"/>
  <c r="A324" i="6"/>
  <c r="A328" i="6"/>
  <c r="A332" i="6"/>
  <c r="A336" i="6"/>
  <c r="A340" i="6"/>
  <c r="A344" i="6"/>
  <c r="A348" i="6"/>
  <c r="A352" i="6"/>
  <c r="A356" i="6"/>
  <c r="A360" i="6"/>
  <c r="A364" i="6"/>
  <c r="A368" i="6"/>
  <c r="A372" i="6"/>
  <c r="A376" i="6"/>
  <c r="A380" i="6"/>
  <c r="A384" i="6"/>
  <c r="A388" i="6"/>
  <c r="A392" i="6"/>
  <c r="A396" i="6"/>
  <c r="A400" i="6"/>
  <c r="A404" i="6"/>
  <c r="A408" i="6"/>
  <c r="A412" i="6"/>
  <c r="A416" i="6"/>
  <c r="A420" i="6"/>
  <c r="A424" i="6"/>
  <c r="A428" i="6"/>
  <c r="A432" i="6"/>
  <c r="A436" i="6"/>
  <c r="A440" i="6"/>
  <c r="A444" i="6"/>
  <c r="A448" i="6"/>
  <c r="A452" i="6"/>
  <c r="A456" i="6"/>
  <c r="A460" i="6"/>
  <c r="A464" i="6"/>
  <c r="A468" i="6"/>
  <c r="A472" i="6"/>
  <c r="A476" i="6"/>
  <c r="A480" i="6"/>
  <c r="A7" i="6"/>
  <c r="A11" i="6"/>
  <c r="A15" i="6"/>
  <c r="A19" i="6"/>
  <c r="A23" i="6"/>
  <c r="A27" i="6"/>
  <c r="A31" i="6"/>
  <c r="A35" i="6"/>
  <c r="A39" i="6"/>
  <c r="A43" i="6"/>
  <c r="A47" i="6"/>
  <c r="A51" i="6"/>
  <c r="A55" i="6"/>
  <c r="A59" i="6"/>
  <c r="A63" i="6"/>
  <c r="A67" i="6"/>
  <c r="A71" i="6"/>
  <c r="A75" i="6"/>
  <c r="A79" i="6"/>
  <c r="A83" i="6"/>
  <c r="A87" i="6"/>
  <c r="A91" i="6"/>
  <c r="A95" i="6"/>
  <c r="A99" i="6"/>
  <c r="A103" i="6"/>
  <c r="A107" i="6"/>
  <c r="A111" i="6"/>
  <c r="A115" i="6"/>
  <c r="A119" i="6"/>
  <c r="A123" i="6"/>
  <c r="A127" i="6"/>
  <c r="A131" i="6"/>
  <c r="A135" i="6"/>
  <c r="A139" i="6"/>
  <c r="A143" i="6"/>
  <c r="A285" i="6"/>
  <c r="A289" i="6"/>
  <c r="A293" i="6"/>
  <c r="A297" i="6"/>
  <c r="A301" i="6"/>
  <c r="A305" i="6"/>
  <c r="A309" i="6"/>
  <c r="A313" i="6"/>
  <c r="A317" i="6"/>
  <c r="A321" i="6"/>
  <c r="A325" i="6"/>
  <c r="A329" i="6"/>
  <c r="A333" i="6"/>
  <c r="A337" i="6"/>
  <c r="A341" i="6"/>
  <c r="A345" i="6"/>
  <c r="A349" i="6"/>
  <c r="A353" i="6"/>
  <c r="A357" i="6"/>
  <c r="A361" i="6"/>
  <c r="A365" i="6"/>
  <c r="A369" i="6"/>
  <c r="A373" i="6"/>
  <c r="A377" i="6"/>
  <c r="A381" i="6"/>
  <c r="A385" i="6"/>
  <c r="A389" i="6"/>
  <c r="A393" i="6"/>
  <c r="A397" i="6"/>
  <c r="A401" i="6"/>
  <c r="A405" i="6"/>
  <c r="A409" i="6"/>
  <c r="A413" i="6"/>
  <c r="A417" i="6"/>
  <c r="A421" i="6"/>
  <c r="A425" i="6"/>
  <c r="A429" i="6"/>
  <c r="A433" i="6"/>
  <c r="A437" i="6"/>
  <c r="A441" i="6"/>
  <c r="A445" i="6"/>
  <c r="A449" i="6"/>
  <c r="A453" i="6"/>
  <c r="A457" i="6"/>
  <c r="A461" i="6"/>
  <c r="A465" i="6"/>
  <c r="A469" i="6"/>
  <c r="A473" i="6"/>
  <c r="A477" i="6"/>
  <c r="A481" i="6"/>
  <c r="A8" i="6"/>
  <c r="A12" i="6"/>
  <c r="A16" i="6"/>
  <c r="A20" i="6"/>
  <c r="A24" i="6"/>
  <c r="A28" i="6"/>
  <c r="A32" i="6"/>
  <c r="A36" i="6"/>
  <c r="A40" i="6"/>
  <c r="A44" i="6"/>
  <c r="A48" i="6"/>
  <c r="A52" i="6"/>
  <c r="A56" i="6"/>
  <c r="A60" i="6"/>
  <c r="A64" i="6"/>
  <c r="A68" i="6"/>
  <c r="A72" i="6"/>
  <c r="A76" i="6"/>
  <c r="A80" i="6"/>
  <c r="A84" i="6"/>
  <c r="A88" i="6"/>
  <c r="A92" i="6"/>
  <c r="A96" i="6"/>
  <c r="A100" i="6"/>
  <c r="A104" i="6"/>
  <c r="A108" i="6"/>
  <c r="A112" i="6"/>
  <c r="A116" i="6"/>
  <c r="A120" i="6"/>
  <c r="A124" i="6"/>
  <c r="A128" i="6"/>
  <c r="A132" i="6"/>
  <c r="A136" i="6"/>
  <c r="A140" i="6"/>
  <c r="A144" i="6"/>
  <c r="A286" i="6"/>
  <c r="A294" i="6"/>
  <c r="A302" i="6"/>
  <c r="A310" i="6"/>
  <c r="A318" i="6"/>
  <c r="A326" i="6"/>
  <c r="A334" i="6"/>
  <c r="A342" i="6"/>
  <c r="A350" i="6"/>
  <c r="A358" i="6"/>
  <c r="A366" i="6"/>
  <c r="A374" i="6"/>
  <c r="A382" i="6"/>
  <c r="A390" i="6"/>
  <c r="A398" i="6"/>
  <c r="A406" i="6"/>
  <c r="A414" i="6"/>
  <c r="A422" i="6"/>
  <c r="A430" i="6"/>
  <c r="A438" i="6"/>
  <c r="A446" i="6"/>
  <c r="A454" i="6"/>
  <c r="A462" i="6"/>
  <c r="A470" i="6"/>
  <c r="A478" i="6"/>
  <c r="A9" i="6"/>
  <c r="A17" i="6"/>
  <c r="A25" i="6"/>
  <c r="A33" i="6"/>
  <c r="A41" i="6"/>
  <c r="A49" i="6"/>
  <c r="A57" i="6"/>
  <c r="A65" i="6"/>
  <c r="A73" i="6"/>
  <c r="A81" i="6"/>
  <c r="A89" i="6"/>
  <c r="A97" i="6"/>
  <c r="A105" i="6"/>
  <c r="A113" i="6"/>
  <c r="A121" i="6"/>
  <c r="A129" i="6"/>
  <c r="A137" i="6"/>
  <c r="A145" i="6"/>
  <c r="A149" i="6"/>
  <c r="A153" i="6"/>
  <c r="A157" i="6"/>
  <c r="A161" i="6"/>
  <c r="A165" i="6"/>
  <c r="A169" i="6"/>
  <c r="A173" i="6"/>
  <c r="A177" i="6"/>
  <c r="A181" i="6"/>
  <c r="A185" i="6"/>
  <c r="A189" i="6"/>
  <c r="A193" i="6"/>
  <c r="A197" i="6"/>
  <c r="A201" i="6"/>
  <c r="A205" i="6"/>
  <c r="A209" i="6"/>
  <c r="A213" i="6"/>
  <c r="A217" i="6"/>
  <c r="A221" i="6"/>
  <c r="A225" i="6"/>
  <c r="A229" i="6"/>
  <c r="A233" i="6"/>
  <c r="A237" i="6"/>
  <c r="A241" i="6"/>
  <c r="A245" i="6"/>
  <c r="A249" i="6"/>
  <c r="A253" i="6"/>
  <c r="A257" i="6"/>
  <c r="A261" i="6"/>
  <c r="A265" i="6"/>
  <c r="A269" i="6"/>
  <c r="A273" i="6"/>
  <c r="A277" i="6"/>
  <c r="A281" i="6"/>
  <c r="A287" i="6"/>
  <c r="A295" i="6"/>
  <c r="A303" i="6"/>
  <c r="A311" i="6"/>
  <c r="A319" i="6"/>
  <c r="A327" i="6"/>
  <c r="A335" i="6"/>
  <c r="A343" i="6"/>
  <c r="A351" i="6"/>
  <c r="A359" i="6"/>
  <c r="A367" i="6"/>
  <c r="A375" i="6"/>
  <c r="A383" i="6"/>
  <c r="A391" i="6"/>
  <c r="A399" i="6"/>
  <c r="A407" i="6"/>
  <c r="A415" i="6"/>
  <c r="A423" i="6"/>
  <c r="A431" i="6"/>
  <c r="A439" i="6"/>
  <c r="A447" i="6"/>
  <c r="A455" i="6"/>
  <c r="A463" i="6"/>
  <c r="A471" i="6"/>
  <c r="A479" i="6"/>
  <c r="A10" i="6"/>
  <c r="A18" i="6"/>
  <c r="A26" i="6"/>
  <c r="A34" i="6"/>
  <c r="A42" i="6"/>
  <c r="A50" i="6"/>
  <c r="A58" i="6"/>
  <c r="A66" i="6"/>
  <c r="A74" i="6"/>
  <c r="A82" i="6"/>
  <c r="A90" i="6"/>
  <c r="A98" i="6"/>
  <c r="A106" i="6"/>
  <c r="A114" i="6"/>
  <c r="A122" i="6"/>
  <c r="A130" i="6"/>
  <c r="A138" i="6"/>
  <c r="A146" i="6"/>
  <c r="A150" i="6"/>
  <c r="A154" i="6"/>
  <c r="A158" i="6"/>
  <c r="A162" i="6"/>
  <c r="A166" i="6"/>
  <c r="A170" i="6"/>
  <c r="A174" i="6"/>
  <c r="A178" i="6"/>
  <c r="A182" i="6"/>
  <c r="A186" i="6"/>
  <c r="A190" i="6"/>
  <c r="A194" i="6"/>
  <c r="A198" i="6"/>
  <c r="A202" i="6"/>
  <c r="A206" i="6"/>
  <c r="A210" i="6"/>
  <c r="A214" i="6"/>
  <c r="A218" i="6"/>
  <c r="A222" i="6"/>
  <c r="A226" i="6"/>
  <c r="A230" i="6"/>
  <c r="A234" i="6"/>
  <c r="A238" i="6"/>
  <c r="A242" i="6"/>
  <c r="A246" i="6"/>
  <c r="A250" i="6"/>
  <c r="A254" i="6"/>
  <c r="A258" i="6"/>
  <c r="A262" i="6"/>
  <c r="A266" i="6"/>
  <c r="A270" i="6"/>
  <c r="A274" i="6"/>
  <c r="A278" i="6"/>
  <c r="A282" i="6"/>
  <c r="A290" i="6"/>
  <c r="A298" i="6"/>
  <c r="A306" i="6"/>
  <c r="A314" i="6"/>
  <c r="A322" i="6"/>
  <c r="A330" i="6"/>
  <c r="A338" i="6"/>
  <c r="A346" i="6"/>
  <c r="A354" i="6"/>
  <c r="A362" i="6"/>
  <c r="A370" i="6"/>
  <c r="A378" i="6"/>
  <c r="A386" i="6"/>
  <c r="A394" i="6"/>
  <c r="A402" i="6"/>
  <c r="A410" i="6"/>
  <c r="A418" i="6"/>
  <c r="A426" i="6"/>
  <c r="A434" i="6"/>
  <c r="A442" i="6"/>
  <c r="A450" i="6"/>
  <c r="A458" i="6"/>
  <c r="A466" i="6"/>
  <c r="A474" i="6"/>
  <c r="A5" i="6"/>
  <c r="A13" i="6"/>
  <c r="A21" i="6"/>
  <c r="A29" i="6"/>
  <c r="A37" i="6"/>
  <c r="A45" i="6"/>
  <c r="A53" i="6"/>
  <c r="A61" i="6"/>
  <c r="A69" i="6"/>
  <c r="A77" i="6"/>
  <c r="A85" i="6"/>
  <c r="A93" i="6"/>
  <c r="A101" i="6"/>
  <c r="A109" i="6"/>
  <c r="A117" i="6"/>
  <c r="A125" i="6"/>
  <c r="A133" i="6"/>
  <c r="A141" i="6"/>
  <c r="A147" i="6"/>
  <c r="A151" i="6"/>
  <c r="A155" i="6"/>
  <c r="A159" i="6"/>
  <c r="A163" i="6"/>
  <c r="A167" i="6"/>
  <c r="A171" i="6"/>
  <c r="A175" i="6"/>
  <c r="A179" i="6"/>
  <c r="A183" i="6"/>
  <c r="A187" i="6"/>
  <c r="A191" i="6"/>
  <c r="A195" i="6"/>
  <c r="A199" i="6"/>
  <c r="A203" i="6"/>
  <c r="A207" i="6"/>
  <c r="A211" i="6"/>
  <c r="A215" i="6"/>
  <c r="A219" i="6"/>
  <c r="A223" i="6"/>
  <c r="A227" i="6"/>
  <c r="A231" i="6"/>
  <c r="A235" i="6"/>
  <c r="A239" i="6"/>
  <c r="A243" i="6"/>
  <c r="A247" i="6"/>
  <c r="A251" i="6"/>
  <c r="A255" i="6"/>
  <c r="A259" i="6"/>
  <c r="A263" i="6"/>
  <c r="A267" i="6"/>
  <c r="A271" i="6"/>
  <c r="A275" i="6"/>
  <c r="A279" i="6"/>
  <c r="A283" i="6"/>
  <c r="A291" i="6"/>
  <c r="A307" i="6"/>
  <c r="A315" i="6"/>
  <c r="A323" i="6"/>
  <c r="A331" i="6"/>
  <c r="A339" i="6"/>
  <c r="A347" i="6"/>
  <c r="A355" i="6"/>
  <c r="A299" i="6"/>
  <c r="A387" i="6"/>
  <c r="A419" i="6"/>
  <c r="A451" i="6"/>
  <c r="A6" i="6"/>
  <c r="A38" i="6"/>
  <c r="A70" i="6"/>
  <c r="A102" i="6"/>
  <c r="A134" i="6"/>
  <c r="A156" i="6"/>
  <c r="A172" i="6"/>
  <c r="A188" i="6"/>
  <c r="A204" i="6"/>
  <c r="A220" i="6"/>
  <c r="A236" i="6"/>
  <c r="A252" i="6"/>
  <c r="A268" i="6"/>
  <c r="A4" i="6"/>
  <c r="A363" i="6"/>
  <c r="A395" i="6"/>
  <c r="A427" i="6"/>
  <c r="A459" i="6"/>
  <c r="A14" i="6"/>
  <c r="A46" i="6"/>
  <c r="A78" i="6"/>
  <c r="A110" i="6"/>
  <c r="A142" i="6"/>
  <c r="A160" i="6"/>
  <c r="A176" i="6"/>
  <c r="A192" i="6"/>
  <c r="A208" i="6"/>
  <c r="A224" i="6"/>
  <c r="A240" i="6"/>
  <c r="A256" i="6"/>
  <c r="A272" i="6"/>
  <c r="A371" i="6"/>
  <c r="A403" i="6"/>
  <c r="A435" i="6"/>
  <c r="A467" i="6"/>
  <c r="A22" i="6"/>
  <c r="A54" i="6"/>
  <c r="A86" i="6"/>
  <c r="A118" i="6"/>
  <c r="A148" i="6"/>
  <c r="A164" i="6"/>
  <c r="A180" i="6"/>
  <c r="A196" i="6"/>
  <c r="A212" i="6"/>
  <c r="A228" i="6"/>
  <c r="A244" i="6"/>
  <c r="A260" i="6"/>
  <c r="A276" i="6"/>
  <c r="A379" i="6"/>
  <c r="A411" i="6"/>
  <c r="A443" i="6"/>
  <c r="A475" i="6"/>
  <c r="A30" i="6"/>
  <c r="A62" i="6"/>
  <c r="A94" i="6"/>
  <c r="A126" i="6"/>
  <c r="A152" i="6"/>
  <c r="A168" i="6"/>
  <c r="A184" i="6"/>
  <c r="A200" i="6"/>
  <c r="A216" i="6"/>
  <c r="A232" i="6"/>
  <c r="A248" i="6"/>
  <c r="A264" i="6"/>
  <c r="A280" i="6"/>
  <c r="G45" i="2"/>
  <c r="EL44" i="2"/>
  <c r="EL42" i="2"/>
  <c r="D381" i="6"/>
  <c r="E370" i="6"/>
  <c r="D400" i="6"/>
  <c r="E378" i="6"/>
  <c r="E400" i="6"/>
  <c r="D344" i="6"/>
  <c r="D320" i="6"/>
  <c r="E384" i="6"/>
  <c r="D352" i="6"/>
  <c r="D301" i="6"/>
  <c r="D218" i="6"/>
  <c r="E202" i="6"/>
  <c r="E394" i="6"/>
  <c r="D296" i="6"/>
  <c r="D210" i="6"/>
  <c r="E340" i="6"/>
  <c r="D373" i="6"/>
  <c r="D285" i="6"/>
  <c r="E392" i="6"/>
  <c r="D327" i="6"/>
  <c r="E314" i="6"/>
  <c r="D246" i="6"/>
  <c r="E344" i="6"/>
  <c r="E224" i="6"/>
  <c r="E386" i="6"/>
  <c r="E60" i="6"/>
  <c r="E270" i="6"/>
  <c r="E246" i="6"/>
  <c r="D325" i="6"/>
  <c r="D349" i="6"/>
  <c r="D254" i="6"/>
  <c r="E330" i="6"/>
  <c r="D350" i="6"/>
  <c r="D395" i="6"/>
  <c r="E240" i="6"/>
  <c r="D304" i="6"/>
  <c r="E338" i="6"/>
  <c r="D238" i="6"/>
  <c r="D309" i="6"/>
  <c r="D339" i="6"/>
  <c r="E336" i="6"/>
  <c r="E326" i="6"/>
  <c r="E182" i="6"/>
  <c r="D328" i="6"/>
  <c r="D222" i="6"/>
  <c r="D282" i="6"/>
  <c r="D318" i="6"/>
  <c r="E320" i="6"/>
  <c r="D392" i="6"/>
  <c r="E306" i="6"/>
  <c r="D164" i="6"/>
  <c r="D234" i="6"/>
  <c r="E278" i="6"/>
  <c r="D315" i="6"/>
  <c r="D394" i="6"/>
  <c r="E178" i="6"/>
  <c r="D391" i="6"/>
  <c r="E382" i="6"/>
  <c r="D343" i="6"/>
  <c r="D329" i="6"/>
  <c r="E244" i="6"/>
  <c r="D384" i="6"/>
  <c r="D288" i="6"/>
  <c r="D376" i="6"/>
  <c r="D333" i="6"/>
  <c r="E290" i="6"/>
  <c r="D230" i="6"/>
  <c r="D389" i="6"/>
  <c r="E298" i="6"/>
  <c r="D398" i="6"/>
  <c r="D323" i="6"/>
  <c r="E238" i="6"/>
  <c r="D379" i="6"/>
  <c r="E288" i="6"/>
  <c r="D386" i="6"/>
  <c r="E324" i="6"/>
  <c r="E186" i="6"/>
  <c r="D264" i="6"/>
  <c r="D382" i="6"/>
  <c r="D365" i="6"/>
  <c r="E322" i="6"/>
  <c r="D278" i="6"/>
  <c r="D214" i="6"/>
  <c r="D368" i="6"/>
  <c r="D274" i="6"/>
  <c r="D387" i="6"/>
  <c r="D302" i="6"/>
  <c r="E214" i="6"/>
  <c r="D358" i="6"/>
  <c r="E258" i="6"/>
  <c r="D367" i="6"/>
  <c r="D303" i="6"/>
  <c r="E52" i="6"/>
  <c r="D180" i="6"/>
  <c r="E230" i="6"/>
  <c r="D363" i="6"/>
  <c r="E282" i="6"/>
  <c r="D370" i="6"/>
  <c r="E308" i="6"/>
  <c r="D248" i="6"/>
  <c r="E346" i="6"/>
  <c r="D334" i="6"/>
  <c r="D360" i="6"/>
  <c r="D317" i="6"/>
  <c r="D270" i="6"/>
  <c r="D206" i="6"/>
  <c r="D357" i="6"/>
  <c r="D250" i="6"/>
  <c r="D371" i="6"/>
  <c r="E296" i="6"/>
  <c r="E206" i="6"/>
  <c r="E352" i="6"/>
  <c r="E226" i="6"/>
  <c r="E364" i="6"/>
  <c r="E284" i="6"/>
  <c r="E188" i="6"/>
  <c r="E90" i="6"/>
  <c r="E362" i="6"/>
  <c r="D336" i="6"/>
  <c r="D397" i="6"/>
  <c r="E354" i="6"/>
  <c r="D312" i="6"/>
  <c r="D262" i="6"/>
  <c r="E194" i="6"/>
  <c r="D341" i="6"/>
  <c r="D242" i="6"/>
  <c r="D366" i="6"/>
  <c r="D291" i="6"/>
  <c r="E68" i="6"/>
  <c r="D342" i="6"/>
  <c r="E210" i="6"/>
  <c r="D351" i="6"/>
  <c r="E280" i="6"/>
  <c r="D393" i="6"/>
  <c r="E250" i="6"/>
  <c r="D383" i="6"/>
  <c r="E332" i="6"/>
  <c r="E252" i="6"/>
  <c r="D194" i="6"/>
  <c r="D256" i="6"/>
  <c r="D310" i="6"/>
  <c r="E396" i="6"/>
  <c r="D354" i="6"/>
  <c r="D306" i="6"/>
  <c r="E212" i="6"/>
  <c r="D380" i="6"/>
  <c r="D293" i="6"/>
  <c r="D226" i="6"/>
  <c r="E376" i="6"/>
  <c r="E328" i="6"/>
  <c r="D286" i="6"/>
  <c r="E222" i="6"/>
  <c r="D390" i="6"/>
  <c r="D347" i="6"/>
  <c r="E304" i="6"/>
  <c r="E218" i="6"/>
  <c r="E388" i="6"/>
  <c r="D362" i="6"/>
  <c r="D330" i="6"/>
  <c r="D290" i="6"/>
  <c r="E228" i="6"/>
  <c r="D198" i="6"/>
  <c r="E358" i="6"/>
  <c r="D192" i="6"/>
  <c r="D266" i="6"/>
  <c r="D202" i="6"/>
  <c r="E360" i="6"/>
  <c r="E312" i="6"/>
  <c r="E262" i="6"/>
  <c r="E198" i="6"/>
  <c r="D374" i="6"/>
  <c r="D331" i="6"/>
  <c r="E274" i="6"/>
  <c r="E190" i="6"/>
  <c r="D375" i="6"/>
  <c r="E348" i="6"/>
  <c r="D322" i="6"/>
  <c r="E276" i="6"/>
  <c r="E196" i="6"/>
  <c r="E180" i="6"/>
  <c r="D321" i="6"/>
  <c r="E50" i="6"/>
  <c r="D258" i="6"/>
  <c r="E100" i="6"/>
  <c r="D355" i="6"/>
  <c r="D307" i="6"/>
  <c r="E254" i="6"/>
  <c r="E174" i="6"/>
  <c r="E368" i="6"/>
  <c r="D326" i="6"/>
  <c r="E266" i="6"/>
  <c r="E132" i="6"/>
  <c r="E372" i="6"/>
  <c r="D346" i="6"/>
  <c r="D311" i="6"/>
  <c r="E272" i="6"/>
  <c r="E192" i="6"/>
  <c r="E28" i="6"/>
  <c r="E294" i="6"/>
  <c r="E371" i="6"/>
  <c r="E300" i="6"/>
  <c r="E260" i="6"/>
  <c r="E220" i="6"/>
  <c r="D169" i="6"/>
  <c r="E124" i="6"/>
  <c r="E374" i="6"/>
  <c r="E318" i="6"/>
  <c r="D208" i="6"/>
  <c r="E18" i="6"/>
  <c r="D298" i="6"/>
  <c r="E256" i="6"/>
  <c r="E216" i="6"/>
  <c r="E148" i="6"/>
  <c r="E92" i="6"/>
  <c r="D364" i="6"/>
  <c r="D308" i="6"/>
  <c r="D200" i="6"/>
  <c r="E399" i="6"/>
  <c r="D319" i="6"/>
  <c r="D287" i="6"/>
  <c r="E248" i="6"/>
  <c r="E208" i="6"/>
  <c r="E20" i="6"/>
  <c r="E4" i="6"/>
  <c r="D353" i="6"/>
  <c r="D289" i="6"/>
  <c r="E176" i="6"/>
  <c r="E335" i="6"/>
  <c r="D396" i="6"/>
  <c r="D337" i="6"/>
  <c r="D276" i="6"/>
  <c r="E44" i="6"/>
  <c r="D299" i="6"/>
  <c r="E242" i="6"/>
  <c r="E36" i="6"/>
  <c r="E380" i="6"/>
  <c r="D359" i="6"/>
  <c r="D338" i="6"/>
  <c r="E316" i="6"/>
  <c r="D295" i="6"/>
  <c r="E268" i="6"/>
  <c r="E236" i="6"/>
  <c r="E204" i="6"/>
  <c r="E116" i="6"/>
  <c r="D172" i="6"/>
  <c r="E390" i="6"/>
  <c r="E350" i="6"/>
  <c r="D300" i="6"/>
  <c r="D244" i="6"/>
  <c r="D171" i="6"/>
  <c r="E315" i="6"/>
  <c r="D294" i="6"/>
  <c r="E234" i="6"/>
  <c r="D399" i="6"/>
  <c r="D378" i="6"/>
  <c r="E356" i="6"/>
  <c r="D335" i="6"/>
  <c r="D314" i="6"/>
  <c r="E292" i="6"/>
  <c r="E264" i="6"/>
  <c r="E232" i="6"/>
  <c r="E200" i="6"/>
  <c r="E84" i="6"/>
  <c r="E156" i="6"/>
  <c r="D385" i="6"/>
  <c r="D348" i="6"/>
  <c r="D297" i="6"/>
  <c r="D224" i="6"/>
  <c r="E168" i="6"/>
  <c r="E134" i="6"/>
  <c r="D372" i="6"/>
  <c r="E342" i="6"/>
  <c r="D316" i="6"/>
  <c r="E286" i="6"/>
  <c r="D232" i="6"/>
  <c r="E166" i="6"/>
  <c r="E154" i="6"/>
  <c r="E379" i="6"/>
  <c r="E221" i="6"/>
  <c r="D369" i="6"/>
  <c r="D340" i="6"/>
  <c r="E310" i="6"/>
  <c r="D284" i="6"/>
  <c r="D228" i="6"/>
  <c r="E76" i="6"/>
  <c r="E138" i="6"/>
  <c r="E373" i="6"/>
  <c r="E197" i="6"/>
  <c r="D361" i="6"/>
  <c r="D332" i="6"/>
  <c r="D305" i="6"/>
  <c r="D272" i="6"/>
  <c r="D212" i="6"/>
  <c r="E12" i="6"/>
  <c r="E74" i="6"/>
  <c r="E365" i="6"/>
  <c r="E102" i="6"/>
  <c r="E357" i="6"/>
  <c r="D176" i="6"/>
  <c r="E26" i="6"/>
  <c r="E349" i="6"/>
  <c r="D186" i="6"/>
  <c r="E114" i="6"/>
  <c r="E391" i="6"/>
  <c r="E347" i="6"/>
  <c r="E40" i="6"/>
  <c r="D184" i="6"/>
  <c r="E106" i="6"/>
  <c r="E387" i="6"/>
  <c r="E343" i="6"/>
  <c r="D183" i="6"/>
  <c r="E293" i="6"/>
  <c r="E269" i="6"/>
  <c r="B475" i="6"/>
  <c r="B479" i="6"/>
  <c r="B483" i="6"/>
  <c r="B487" i="6"/>
  <c r="B491" i="6"/>
  <c r="B495" i="6"/>
  <c r="B499" i="6"/>
  <c r="B139" i="6"/>
  <c r="B143" i="6"/>
  <c r="B147" i="6"/>
  <c r="B151" i="6"/>
  <c r="B155" i="6"/>
  <c r="B159" i="6"/>
  <c r="B163" i="6"/>
  <c r="B167" i="6"/>
  <c r="B171" i="6"/>
  <c r="B175" i="6"/>
  <c r="B179" i="6"/>
  <c r="B183" i="6"/>
  <c r="B187" i="6"/>
  <c r="B191" i="6"/>
  <c r="B195" i="6"/>
  <c r="B199" i="6"/>
  <c r="B203" i="6"/>
  <c r="B207" i="6"/>
  <c r="B211" i="6"/>
  <c r="B215" i="6"/>
  <c r="B219" i="6"/>
  <c r="B223" i="6"/>
  <c r="B227" i="6"/>
  <c r="B231" i="6"/>
  <c r="B235" i="6"/>
  <c r="B239" i="6"/>
  <c r="B243" i="6"/>
  <c r="B247" i="6"/>
  <c r="B251" i="6"/>
  <c r="B255" i="6"/>
  <c r="B259" i="6"/>
  <c r="B263" i="6"/>
  <c r="B267" i="6"/>
  <c r="B271" i="6"/>
  <c r="B275" i="6"/>
  <c r="B279" i="6"/>
  <c r="B283" i="6"/>
  <c r="B287" i="6"/>
  <c r="B291" i="6"/>
  <c r="B295" i="6"/>
  <c r="B299" i="6"/>
  <c r="B303" i="6"/>
  <c r="B307" i="6"/>
  <c r="B311" i="6"/>
  <c r="B315" i="6"/>
  <c r="B319" i="6"/>
  <c r="B323" i="6"/>
  <c r="B327" i="6"/>
  <c r="B331" i="6"/>
  <c r="B335" i="6"/>
  <c r="B339" i="6"/>
  <c r="B343" i="6"/>
  <c r="B347" i="6"/>
  <c r="B351" i="6"/>
  <c r="B355" i="6"/>
  <c r="B359" i="6"/>
  <c r="B363" i="6"/>
  <c r="B367" i="6"/>
  <c r="B371" i="6"/>
  <c r="B375" i="6"/>
  <c r="B379" i="6"/>
  <c r="B383" i="6"/>
  <c r="B387" i="6"/>
  <c r="B391" i="6"/>
  <c r="B395" i="6"/>
  <c r="B399" i="6"/>
  <c r="B403" i="6"/>
  <c r="B407" i="6"/>
  <c r="B411" i="6"/>
  <c r="B415" i="6"/>
  <c r="B419" i="6"/>
  <c r="B423" i="6"/>
  <c r="B427" i="6"/>
  <c r="B431" i="6"/>
  <c r="B435" i="6"/>
  <c r="B439" i="6"/>
  <c r="B443" i="6"/>
  <c r="B447" i="6"/>
  <c r="C475" i="6"/>
  <c r="C479" i="6"/>
  <c r="C483" i="6"/>
  <c r="C487" i="6"/>
  <c r="C491" i="6"/>
  <c r="C495" i="6"/>
  <c r="C499" i="6"/>
  <c r="C139" i="6"/>
  <c r="C143" i="6"/>
  <c r="C147" i="6"/>
  <c r="C151" i="6"/>
  <c r="C155" i="6"/>
  <c r="C159" i="6"/>
  <c r="C163" i="6"/>
  <c r="C167" i="6"/>
  <c r="C171" i="6"/>
  <c r="C175" i="6"/>
  <c r="C179" i="6"/>
  <c r="C183" i="6"/>
  <c r="C187" i="6"/>
  <c r="C191" i="6"/>
  <c r="C195" i="6"/>
  <c r="C199" i="6"/>
  <c r="C203" i="6"/>
  <c r="C207" i="6"/>
  <c r="C211" i="6"/>
  <c r="C215" i="6"/>
  <c r="C219" i="6"/>
  <c r="C223" i="6"/>
  <c r="C227" i="6"/>
  <c r="C231" i="6"/>
  <c r="C235" i="6"/>
  <c r="C239" i="6"/>
  <c r="C243" i="6"/>
  <c r="C247" i="6"/>
  <c r="C251" i="6"/>
  <c r="C255" i="6"/>
  <c r="C259" i="6"/>
  <c r="C263" i="6"/>
  <c r="C267" i="6"/>
  <c r="C271" i="6"/>
  <c r="C275" i="6"/>
  <c r="C279" i="6"/>
  <c r="C283" i="6"/>
  <c r="C287" i="6"/>
  <c r="C291" i="6"/>
  <c r="C295" i="6"/>
  <c r="C299" i="6"/>
  <c r="C303" i="6"/>
  <c r="C307" i="6"/>
  <c r="C311" i="6"/>
  <c r="C315" i="6"/>
  <c r="C319" i="6"/>
  <c r="C323" i="6"/>
  <c r="C327" i="6"/>
  <c r="C331" i="6"/>
  <c r="C335" i="6"/>
  <c r="C339" i="6"/>
  <c r="C343" i="6"/>
  <c r="C347" i="6"/>
  <c r="C351" i="6"/>
  <c r="C355" i="6"/>
  <c r="C359" i="6"/>
  <c r="C363" i="6"/>
  <c r="C367" i="6"/>
  <c r="C371" i="6"/>
  <c r="C375" i="6"/>
  <c r="C379" i="6"/>
  <c r="C383" i="6"/>
  <c r="C387" i="6"/>
  <c r="C391" i="6"/>
  <c r="C395" i="6"/>
  <c r="C399" i="6"/>
  <c r="C403" i="6"/>
  <c r="C407" i="6"/>
  <c r="C411" i="6"/>
  <c r="C415" i="6"/>
  <c r="C419" i="6"/>
  <c r="C423" i="6"/>
  <c r="C427" i="6"/>
  <c r="C431" i="6"/>
  <c r="C435" i="6"/>
  <c r="C439" i="6"/>
  <c r="C443" i="6"/>
  <c r="C447" i="6"/>
  <c r="B476" i="6"/>
  <c r="B480" i="6"/>
  <c r="B484" i="6"/>
  <c r="B488" i="6"/>
  <c r="B492" i="6"/>
  <c r="B496" i="6"/>
  <c r="B500" i="6"/>
  <c r="B140" i="6"/>
  <c r="B144" i="6"/>
  <c r="B148" i="6"/>
  <c r="B152" i="6"/>
  <c r="B156" i="6"/>
  <c r="B160" i="6"/>
  <c r="B164" i="6"/>
  <c r="B168" i="6"/>
  <c r="B172" i="6"/>
  <c r="B176" i="6"/>
  <c r="B180" i="6"/>
  <c r="B184" i="6"/>
  <c r="B188" i="6"/>
  <c r="B192" i="6"/>
  <c r="B196" i="6"/>
  <c r="B200" i="6"/>
  <c r="B204" i="6"/>
  <c r="B208" i="6"/>
  <c r="B212" i="6"/>
  <c r="B216" i="6"/>
  <c r="B220" i="6"/>
  <c r="B224" i="6"/>
  <c r="B228" i="6"/>
  <c r="B232" i="6"/>
  <c r="B236" i="6"/>
  <c r="B240" i="6"/>
  <c r="B244" i="6"/>
  <c r="B248" i="6"/>
  <c r="B252" i="6"/>
  <c r="B256" i="6"/>
  <c r="B260" i="6"/>
  <c r="B264" i="6"/>
  <c r="B268" i="6"/>
  <c r="B272" i="6"/>
  <c r="B276" i="6"/>
  <c r="B280" i="6"/>
  <c r="B284" i="6"/>
  <c r="B288" i="6"/>
  <c r="B292" i="6"/>
  <c r="B296" i="6"/>
  <c r="B300" i="6"/>
  <c r="B304" i="6"/>
  <c r="B308" i="6"/>
  <c r="B312" i="6"/>
  <c r="B316" i="6"/>
  <c r="B320" i="6"/>
  <c r="B324" i="6"/>
  <c r="B328" i="6"/>
  <c r="C477" i="6"/>
  <c r="C481" i="6"/>
  <c r="C485" i="6"/>
  <c r="C489" i="6"/>
  <c r="C493" i="6"/>
  <c r="C497" i="6"/>
  <c r="C137" i="6"/>
  <c r="C141" i="6"/>
  <c r="C145" i="6"/>
  <c r="C149" i="6"/>
  <c r="C153" i="6"/>
  <c r="C157" i="6"/>
  <c r="C161" i="6"/>
  <c r="C165" i="6"/>
  <c r="C169" i="6"/>
  <c r="C173" i="6"/>
  <c r="C177" i="6"/>
  <c r="C181" i="6"/>
  <c r="C185" i="6"/>
  <c r="C189" i="6"/>
  <c r="C193" i="6"/>
  <c r="C197" i="6"/>
  <c r="C201" i="6"/>
  <c r="C205" i="6"/>
  <c r="C209" i="6"/>
  <c r="C213" i="6"/>
  <c r="C217" i="6"/>
  <c r="C221" i="6"/>
  <c r="C225" i="6"/>
  <c r="C229" i="6"/>
  <c r="C233" i="6"/>
  <c r="C237" i="6"/>
  <c r="C241" i="6"/>
  <c r="C245" i="6"/>
  <c r="C249" i="6"/>
  <c r="C253" i="6"/>
  <c r="C257" i="6"/>
  <c r="C261" i="6"/>
  <c r="C265" i="6"/>
  <c r="C269" i="6"/>
  <c r="C273" i="6"/>
  <c r="C277" i="6"/>
  <c r="C281" i="6"/>
  <c r="C285" i="6"/>
  <c r="C289" i="6"/>
  <c r="C293" i="6"/>
  <c r="C297" i="6"/>
  <c r="C301" i="6"/>
  <c r="C305" i="6"/>
  <c r="C309" i="6"/>
  <c r="C313" i="6"/>
  <c r="C317" i="6"/>
  <c r="C321" i="6"/>
  <c r="C325" i="6"/>
  <c r="C329" i="6"/>
  <c r="C333" i="6"/>
  <c r="C337" i="6"/>
  <c r="C341" i="6"/>
  <c r="C345" i="6"/>
  <c r="C349" i="6"/>
  <c r="C353" i="6"/>
  <c r="C357" i="6"/>
  <c r="C361" i="6"/>
  <c r="C365" i="6"/>
  <c r="C369" i="6"/>
  <c r="C373" i="6"/>
  <c r="C377" i="6"/>
  <c r="C381" i="6"/>
  <c r="C385" i="6"/>
  <c r="C389" i="6"/>
  <c r="C393" i="6"/>
  <c r="C397" i="6"/>
  <c r="C401" i="6"/>
  <c r="C405" i="6"/>
  <c r="C409" i="6"/>
  <c r="C413" i="6"/>
  <c r="C417" i="6"/>
  <c r="C421" i="6"/>
  <c r="C425" i="6"/>
  <c r="C429" i="6"/>
  <c r="C433" i="6"/>
  <c r="C437" i="6"/>
  <c r="C441" i="6"/>
  <c r="C445" i="6"/>
  <c r="C449" i="6"/>
  <c r="B478" i="6"/>
  <c r="B482" i="6"/>
  <c r="B486" i="6"/>
  <c r="B490" i="6"/>
  <c r="B494" i="6"/>
  <c r="B498" i="6"/>
  <c r="B138" i="6"/>
  <c r="B142" i="6"/>
  <c r="B146" i="6"/>
  <c r="B150" i="6"/>
  <c r="B154" i="6"/>
  <c r="B158" i="6"/>
  <c r="B162" i="6"/>
  <c r="B166" i="6"/>
  <c r="B170" i="6"/>
  <c r="B174" i="6"/>
  <c r="B178" i="6"/>
  <c r="B182" i="6"/>
  <c r="B186" i="6"/>
  <c r="B190" i="6"/>
  <c r="B194" i="6"/>
  <c r="B198" i="6"/>
  <c r="B202" i="6"/>
  <c r="B206" i="6"/>
  <c r="B210" i="6"/>
  <c r="B214" i="6"/>
  <c r="B218" i="6"/>
  <c r="B222" i="6"/>
  <c r="B226" i="6"/>
  <c r="B230" i="6"/>
  <c r="B234" i="6"/>
  <c r="B238" i="6"/>
  <c r="B242" i="6"/>
  <c r="B246" i="6"/>
  <c r="B250" i="6"/>
  <c r="B254" i="6"/>
  <c r="B258" i="6"/>
  <c r="B262" i="6"/>
  <c r="B266" i="6"/>
  <c r="B270" i="6"/>
  <c r="B274" i="6"/>
  <c r="B278" i="6"/>
  <c r="B282" i="6"/>
  <c r="B286" i="6"/>
  <c r="B290" i="6"/>
  <c r="B294" i="6"/>
  <c r="B298" i="6"/>
  <c r="B302" i="6"/>
  <c r="B306" i="6"/>
  <c r="B310" i="6"/>
  <c r="B314" i="6"/>
  <c r="B318" i="6"/>
  <c r="B322" i="6"/>
  <c r="B326" i="6"/>
  <c r="B330" i="6"/>
  <c r="B334" i="6"/>
  <c r="B338" i="6"/>
  <c r="B342" i="6"/>
  <c r="B346" i="6"/>
  <c r="B350" i="6"/>
  <c r="B354" i="6"/>
  <c r="B358" i="6"/>
  <c r="B362" i="6"/>
  <c r="B366" i="6"/>
  <c r="B370" i="6"/>
  <c r="B374" i="6"/>
  <c r="B378" i="6"/>
  <c r="B382" i="6"/>
  <c r="B386" i="6"/>
  <c r="B390" i="6"/>
  <c r="B394" i="6"/>
  <c r="B398" i="6"/>
  <c r="B402" i="6"/>
  <c r="B406" i="6"/>
  <c r="B410" i="6"/>
  <c r="B414" i="6"/>
  <c r="B418" i="6"/>
  <c r="B422" i="6"/>
  <c r="B426" i="6"/>
  <c r="B430" i="6"/>
  <c r="B434" i="6"/>
  <c r="B438" i="6"/>
  <c r="B442" i="6"/>
  <c r="B446" i="6"/>
  <c r="C478" i="6"/>
  <c r="C482" i="6"/>
  <c r="C486" i="6"/>
  <c r="C490" i="6"/>
  <c r="C494" i="6"/>
  <c r="C498" i="6"/>
  <c r="C138" i="6"/>
  <c r="C142" i="6"/>
  <c r="C146" i="6"/>
  <c r="C150" i="6"/>
  <c r="C154" i="6"/>
  <c r="C158" i="6"/>
  <c r="C162" i="6"/>
  <c r="C166" i="6"/>
  <c r="C170" i="6"/>
  <c r="C174" i="6"/>
  <c r="C178" i="6"/>
  <c r="C182" i="6"/>
  <c r="C186" i="6"/>
  <c r="C190" i="6"/>
  <c r="C194" i="6"/>
  <c r="C198" i="6"/>
  <c r="C202" i="6"/>
  <c r="C206" i="6"/>
  <c r="C210" i="6"/>
  <c r="C214" i="6"/>
  <c r="C218" i="6"/>
  <c r="C222" i="6"/>
  <c r="C226" i="6"/>
  <c r="C230" i="6"/>
  <c r="C234" i="6"/>
  <c r="C238" i="6"/>
  <c r="C242" i="6"/>
  <c r="C246" i="6"/>
  <c r="C250" i="6"/>
  <c r="C254" i="6"/>
  <c r="C258" i="6"/>
  <c r="C262" i="6"/>
  <c r="C266" i="6"/>
  <c r="C270" i="6"/>
  <c r="C274" i="6"/>
  <c r="C278" i="6"/>
  <c r="C282" i="6"/>
  <c r="C286" i="6"/>
  <c r="C290" i="6"/>
  <c r="C294" i="6"/>
  <c r="C298" i="6"/>
  <c r="C302" i="6"/>
  <c r="C306" i="6"/>
  <c r="C310" i="6"/>
  <c r="C314" i="6"/>
  <c r="C318" i="6"/>
  <c r="C322" i="6"/>
  <c r="C326" i="6"/>
  <c r="C330" i="6"/>
  <c r="C334" i="6"/>
  <c r="C338" i="6"/>
  <c r="C342" i="6"/>
  <c r="C346" i="6"/>
  <c r="C350" i="6"/>
  <c r="C354" i="6"/>
  <c r="C358" i="6"/>
  <c r="C362" i="6"/>
  <c r="C366" i="6"/>
  <c r="C370" i="6"/>
  <c r="C374" i="6"/>
  <c r="C378" i="6"/>
  <c r="C382" i="6"/>
  <c r="C386" i="6"/>
  <c r="C390" i="6"/>
  <c r="C394" i="6"/>
  <c r="C398" i="6"/>
  <c r="C402" i="6"/>
  <c r="C406" i="6"/>
  <c r="C410" i="6"/>
  <c r="C414" i="6"/>
  <c r="C418" i="6"/>
  <c r="C422" i="6"/>
  <c r="C476" i="6"/>
  <c r="C492" i="6"/>
  <c r="C144" i="6"/>
  <c r="C160" i="6"/>
  <c r="C176" i="6"/>
  <c r="C192" i="6"/>
  <c r="C208" i="6"/>
  <c r="C224" i="6"/>
  <c r="C240" i="6"/>
  <c r="C256" i="6"/>
  <c r="C272" i="6"/>
  <c r="C288" i="6"/>
  <c r="C304" i="6"/>
  <c r="C320" i="6"/>
  <c r="B333" i="6"/>
  <c r="C344" i="6"/>
  <c r="B356" i="6"/>
  <c r="B365" i="6"/>
  <c r="C376" i="6"/>
  <c r="B388" i="6"/>
  <c r="B397" i="6"/>
  <c r="C408" i="6"/>
  <c r="B420" i="6"/>
  <c r="C428" i="6"/>
  <c r="C436" i="6"/>
  <c r="C444" i="6"/>
  <c r="B451" i="6"/>
  <c r="B455" i="6"/>
  <c r="B459" i="6"/>
  <c r="B463" i="6"/>
  <c r="B467" i="6"/>
  <c r="B471" i="6"/>
  <c r="C484" i="6"/>
  <c r="C200" i="6"/>
  <c r="C216" i="6"/>
  <c r="C232" i="6"/>
  <c r="C248" i="6"/>
  <c r="C264" i="6"/>
  <c r="C280" i="6"/>
  <c r="C296" i="6"/>
  <c r="C312" i="6"/>
  <c r="C328" i="6"/>
  <c r="B340" i="6"/>
  <c r="B349" i="6"/>
  <c r="B372" i="6"/>
  <c r="C392" i="6"/>
  <c r="B413" i="6"/>
  <c r="C440" i="6"/>
  <c r="B453" i="6"/>
  <c r="B473" i="6"/>
  <c r="B477" i="6"/>
  <c r="B493" i="6"/>
  <c r="B145" i="6"/>
  <c r="B161" i="6"/>
  <c r="B177" i="6"/>
  <c r="B193" i="6"/>
  <c r="B209" i="6"/>
  <c r="B225" i="6"/>
  <c r="B241" i="6"/>
  <c r="B257" i="6"/>
  <c r="B273" i="6"/>
  <c r="B289" i="6"/>
  <c r="B305" i="6"/>
  <c r="B321" i="6"/>
  <c r="B336" i="6"/>
  <c r="B345" i="6"/>
  <c r="C356" i="6"/>
  <c r="B368" i="6"/>
  <c r="B377" i="6"/>
  <c r="C388" i="6"/>
  <c r="B400" i="6"/>
  <c r="B409" i="6"/>
  <c r="C420" i="6"/>
  <c r="B429" i="6"/>
  <c r="B437" i="6"/>
  <c r="B445" i="6"/>
  <c r="C451" i="6"/>
  <c r="C455" i="6"/>
  <c r="C459" i="6"/>
  <c r="C463" i="6"/>
  <c r="C467" i="6"/>
  <c r="C471" i="6"/>
  <c r="C184" i="6"/>
  <c r="C480" i="6"/>
  <c r="C496" i="6"/>
  <c r="C148" i="6"/>
  <c r="C164" i="6"/>
  <c r="C180" i="6"/>
  <c r="C196" i="6"/>
  <c r="C212" i="6"/>
  <c r="C228" i="6"/>
  <c r="C244" i="6"/>
  <c r="C260" i="6"/>
  <c r="C276" i="6"/>
  <c r="C292" i="6"/>
  <c r="C308" i="6"/>
  <c r="C324" i="6"/>
  <c r="C336" i="6"/>
  <c r="B348" i="6"/>
  <c r="B357" i="6"/>
  <c r="C368" i="6"/>
  <c r="B380" i="6"/>
  <c r="B389" i="6"/>
  <c r="C400" i="6"/>
  <c r="B412" i="6"/>
  <c r="B421" i="6"/>
  <c r="C430" i="6"/>
  <c r="C438" i="6"/>
  <c r="C446" i="6"/>
  <c r="B452" i="6"/>
  <c r="B456" i="6"/>
  <c r="B460" i="6"/>
  <c r="B464" i="6"/>
  <c r="B468" i="6"/>
  <c r="B472" i="6"/>
  <c r="C152" i="6"/>
  <c r="B404" i="6"/>
  <c r="B465" i="6"/>
  <c r="B481" i="6"/>
  <c r="B497" i="6"/>
  <c r="B149" i="6"/>
  <c r="B165" i="6"/>
  <c r="B181" i="6"/>
  <c r="B197" i="6"/>
  <c r="B213" i="6"/>
  <c r="B229" i="6"/>
  <c r="B245" i="6"/>
  <c r="B261" i="6"/>
  <c r="B277" i="6"/>
  <c r="B293" i="6"/>
  <c r="B309" i="6"/>
  <c r="B325" i="6"/>
  <c r="B337" i="6"/>
  <c r="C348" i="6"/>
  <c r="B360" i="6"/>
  <c r="B369" i="6"/>
  <c r="C380" i="6"/>
  <c r="B392" i="6"/>
  <c r="B401" i="6"/>
  <c r="C412" i="6"/>
  <c r="B424" i="6"/>
  <c r="B432" i="6"/>
  <c r="B440" i="6"/>
  <c r="B448" i="6"/>
  <c r="C452" i="6"/>
  <c r="C456" i="6"/>
  <c r="C460" i="6"/>
  <c r="C464" i="6"/>
  <c r="C468" i="6"/>
  <c r="C472" i="6"/>
  <c r="C500" i="6"/>
  <c r="C360" i="6"/>
  <c r="C432" i="6"/>
  <c r="B461" i="6"/>
  <c r="B485" i="6"/>
  <c r="B137" i="6"/>
  <c r="B153" i="6"/>
  <c r="B169" i="6"/>
  <c r="B185" i="6"/>
  <c r="B201" i="6"/>
  <c r="B217" i="6"/>
  <c r="B233" i="6"/>
  <c r="B249" i="6"/>
  <c r="B265" i="6"/>
  <c r="B281" i="6"/>
  <c r="B297" i="6"/>
  <c r="B313" i="6"/>
  <c r="B329" i="6"/>
  <c r="C340" i="6"/>
  <c r="B352" i="6"/>
  <c r="B361" i="6"/>
  <c r="C372" i="6"/>
  <c r="B384" i="6"/>
  <c r="B393" i="6"/>
  <c r="C404" i="6"/>
  <c r="B416" i="6"/>
  <c r="B425" i="6"/>
  <c r="B433" i="6"/>
  <c r="B441" i="6"/>
  <c r="B449" i="6"/>
  <c r="C453" i="6"/>
  <c r="C457" i="6"/>
  <c r="C461" i="6"/>
  <c r="C465" i="6"/>
  <c r="C469" i="6"/>
  <c r="C473" i="6"/>
  <c r="C488" i="6"/>
  <c r="C140" i="6"/>
  <c r="C156" i="6"/>
  <c r="C172" i="6"/>
  <c r="C188" i="6"/>
  <c r="C204" i="6"/>
  <c r="C220" i="6"/>
  <c r="C236" i="6"/>
  <c r="C252" i="6"/>
  <c r="C268" i="6"/>
  <c r="C284" i="6"/>
  <c r="C300" i="6"/>
  <c r="C316" i="6"/>
  <c r="B332" i="6"/>
  <c r="B341" i="6"/>
  <c r="C352" i="6"/>
  <c r="B364" i="6"/>
  <c r="B373" i="6"/>
  <c r="C384" i="6"/>
  <c r="B396" i="6"/>
  <c r="B405" i="6"/>
  <c r="C416" i="6"/>
  <c r="C426" i="6"/>
  <c r="C434" i="6"/>
  <c r="C442" i="6"/>
  <c r="B450" i="6"/>
  <c r="B454" i="6"/>
  <c r="B458" i="6"/>
  <c r="B462" i="6"/>
  <c r="B466" i="6"/>
  <c r="B470" i="6"/>
  <c r="B474" i="6"/>
  <c r="B489" i="6"/>
  <c r="B141" i="6"/>
  <c r="B157" i="6"/>
  <c r="B173" i="6"/>
  <c r="B189" i="6"/>
  <c r="B205" i="6"/>
  <c r="B221" i="6"/>
  <c r="B237" i="6"/>
  <c r="B253" i="6"/>
  <c r="B269" i="6"/>
  <c r="B285" i="6"/>
  <c r="B301" i="6"/>
  <c r="B317" i="6"/>
  <c r="C332" i="6"/>
  <c r="B344" i="6"/>
  <c r="B353" i="6"/>
  <c r="C364" i="6"/>
  <c r="B376" i="6"/>
  <c r="B385" i="6"/>
  <c r="C396" i="6"/>
  <c r="B408" i="6"/>
  <c r="B417" i="6"/>
  <c r="B428" i="6"/>
  <c r="B436" i="6"/>
  <c r="B444" i="6"/>
  <c r="C450" i="6"/>
  <c r="C454" i="6"/>
  <c r="C458" i="6"/>
  <c r="C462" i="6"/>
  <c r="C466" i="6"/>
  <c r="C470" i="6"/>
  <c r="C474" i="6"/>
  <c r="C168" i="6"/>
  <c r="B381" i="6"/>
  <c r="C424" i="6"/>
  <c r="C448" i="6"/>
  <c r="B457" i="6"/>
  <c r="B469" i="6"/>
  <c r="E398" i="6"/>
  <c r="D377" i="6"/>
  <c r="D356" i="6"/>
  <c r="E334" i="6"/>
  <c r="D313" i="6"/>
  <c r="D292" i="6"/>
  <c r="D260" i="6"/>
  <c r="D216" i="6"/>
  <c r="E140" i="6"/>
  <c r="D178" i="6"/>
  <c r="E122" i="6"/>
  <c r="E42" i="6"/>
  <c r="E383" i="6"/>
  <c r="E351" i="6"/>
  <c r="E303" i="6"/>
  <c r="D187" i="6"/>
  <c r="D388" i="6"/>
  <c r="E366" i="6"/>
  <c r="D345" i="6"/>
  <c r="D324" i="6"/>
  <c r="E302" i="6"/>
  <c r="D280" i="6"/>
  <c r="D240" i="6"/>
  <c r="D196" i="6"/>
  <c r="D188" i="6"/>
  <c r="D166" i="6"/>
  <c r="E82" i="6"/>
  <c r="E395" i="6"/>
  <c r="E367" i="6"/>
  <c r="E341" i="6"/>
  <c r="E199" i="6"/>
  <c r="D132" i="6"/>
  <c r="E146" i="6"/>
  <c r="E58" i="6"/>
  <c r="E389" i="6"/>
  <c r="E363" i="6"/>
  <c r="E319" i="6"/>
  <c r="E177" i="6"/>
  <c r="E267" i="6"/>
  <c r="E32" i="6"/>
  <c r="D124" i="6"/>
  <c r="E263" i="6"/>
  <c r="E16" i="6"/>
  <c r="D72" i="6"/>
  <c r="E245" i="6"/>
  <c r="D245" i="6"/>
  <c r="D60" i="6"/>
  <c r="E10" i="6"/>
  <c r="E381" i="6"/>
  <c r="E359" i="6"/>
  <c r="E339" i="6"/>
  <c r="E299" i="6"/>
  <c r="E261" i="6"/>
  <c r="E185" i="6"/>
  <c r="D259" i="6"/>
  <c r="E118" i="6"/>
  <c r="D68" i="6"/>
  <c r="E397" i="6"/>
  <c r="E375" i="6"/>
  <c r="E355" i="6"/>
  <c r="E331" i="6"/>
  <c r="E291" i="6"/>
  <c r="E243" i="6"/>
  <c r="D173" i="6"/>
  <c r="D237" i="6"/>
  <c r="D154" i="6"/>
  <c r="D10" i="6"/>
  <c r="E327" i="6"/>
  <c r="E287" i="6"/>
  <c r="E239" i="6"/>
  <c r="E72" i="6"/>
  <c r="D235" i="6"/>
  <c r="D146" i="6"/>
  <c r="E325" i="6"/>
  <c r="E271" i="6"/>
  <c r="E235" i="6"/>
  <c r="E64" i="6"/>
  <c r="D215" i="6"/>
  <c r="D138" i="6"/>
  <c r="E311" i="6"/>
  <c r="E285" i="6"/>
  <c r="E255" i="6"/>
  <c r="E217" i="6"/>
  <c r="D165" i="6"/>
  <c r="D279" i="6"/>
  <c r="D207" i="6"/>
  <c r="E94" i="6"/>
  <c r="D116" i="6"/>
  <c r="E173" i="6"/>
  <c r="E309" i="6"/>
  <c r="E283" i="6"/>
  <c r="E251" i="6"/>
  <c r="E215" i="6"/>
  <c r="E160" i="6"/>
  <c r="D267" i="6"/>
  <c r="D203" i="6"/>
  <c r="E70" i="6"/>
  <c r="D104" i="6"/>
  <c r="E157" i="6"/>
  <c r="E333" i="6"/>
  <c r="E307" i="6"/>
  <c r="E277" i="6"/>
  <c r="E247" i="6"/>
  <c r="E207" i="6"/>
  <c r="E144" i="6"/>
  <c r="D261" i="6"/>
  <c r="D195" i="6"/>
  <c r="E22" i="6"/>
  <c r="D96" i="6"/>
  <c r="E129" i="6"/>
  <c r="D74" i="6"/>
  <c r="E125" i="6"/>
  <c r="E27" i="6"/>
  <c r="E229" i="6"/>
  <c r="E193" i="6"/>
  <c r="E128" i="6"/>
  <c r="D271" i="6"/>
  <c r="D229" i="6"/>
  <c r="D181" i="6"/>
  <c r="D160" i="6"/>
  <c r="D112" i="6"/>
  <c r="D48" i="6"/>
  <c r="E105" i="6"/>
  <c r="E225" i="6"/>
  <c r="E189" i="6"/>
  <c r="E104" i="6"/>
  <c r="D269" i="6"/>
  <c r="D223" i="6"/>
  <c r="E172" i="6"/>
  <c r="D156" i="6"/>
  <c r="D106" i="6"/>
  <c r="D26" i="6"/>
  <c r="E69" i="6"/>
  <c r="D8" i="6"/>
  <c r="E323" i="6"/>
  <c r="E301" i="6"/>
  <c r="E279" i="6"/>
  <c r="E259" i="6"/>
  <c r="E237" i="6"/>
  <c r="E209" i="6"/>
  <c r="E183" i="6"/>
  <c r="E112" i="6"/>
  <c r="D283" i="6"/>
  <c r="D251" i="6"/>
  <c r="D213" i="6"/>
  <c r="D175" i="6"/>
  <c r="E54" i="6"/>
  <c r="D136" i="6"/>
  <c r="D100" i="6"/>
  <c r="D50" i="6"/>
  <c r="E165" i="6"/>
  <c r="E53" i="6"/>
  <c r="E317" i="6"/>
  <c r="E295" i="6"/>
  <c r="E275" i="6"/>
  <c r="E253" i="6"/>
  <c r="E231" i="6"/>
  <c r="E205" i="6"/>
  <c r="E175" i="6"/>
  <c r="E80" i="6"/>
  <c r="D277" i="6"/>
  <c r="D239" i="6"/>
  <c r="D205" i="6"/>
  <c r="E158" i="6"/>
  <c r="E6" i="6"/>
  <c r="D128" i="6"/>
  <c r="D90" i="6"/>
  <c r="D40" i="6"/>
  <c r="E145" i="6"/>
  <c r="D147" i="6"/>
  <c r="D80" i="6"/>
  <c r="D36" i="6"/>
  <c r="E133" i="6"/>
  <c r="D255" i="6"/>
  <c r="D227" i="6"/>
  <c r="D197" i="6"/>
  <c r="D170" i="6"/>
  <c r="E62" i="6"/>
  <c r="D148" i="6"/>
  <c r="D122" i="6"/>
  <c r="D92" i="6"/>
  <c r="D64" i="6"/>
  <c r="D32" i="6"/>
  <c r="E163" i="6"/>
  <c r="E115" i="6"/>
  <c r="E15" i="6"/>
  <c r="D247" i="6"/>
  <c r="D219" i="6"/>
  <c r="D191" i="6"/>
  <c r="E150" i="6"/>
  <c r="E30" i="6"/>
  <c r="D144" i="6"/>
  <c r="D114" i="6"/>
  <c r="D84" i="6"/>
  <c r="D58" i="6"/>
  <c r="D20" i="6"/>
  <c r="E153" i="6"/>
  <c r="E97" i="6"/>
  <c r="D91" i="6"/>
  <c r="D82" i="6"/>
  <c r="D52" i="6"/>
  <c r="D18" i="6"/>
  <c r="E147" i="6"/>
  <c r="E91" i="6"/>
  <c r="E73" i="6"/>
  <c r="E113" i="6"/>
  <c r="E85" i="6"/>
  <c r="E41" i="6"/>
  <c r="D135" i="6"/>
  <c r="D51" i="6"/>
  <c r="D131" i="6"/>
  <c r="D95" i="6"/>
  <c r="D268" i="6"/>
  <c r="D252" i="6"/>
  <c r="D236" i="6"/>
  <c r="D220" i="6"/>
  <c r="D204" i="6"/>
  <c r="E184" i="6"/>
  <c r="E108" i="6"/>
  <c r="D190" i="6"/>
  <c r="D182" i="6"/>
  <c r="D174" i="6"/>
  <c r="E162" i="6"/>
  <c r="E130" i="6"/>
  <c r="E98" i="6"/>
  <c r="E66" i="6"/>
  <c r="E34" i="6"/>
  <c r="D4" i="6"/>
  <c r="E393" i="6"/>
  <c r="E385" i="6"/>
  <c r="E377" i="6"/>
  <c r="E369" i="6"/>
  <c r="E361" i="6"/>
  <c r="E353" i="6"/>
  <c r="E345" i="6"/>
  <c r="E337" i="6"/>
  <c r="E329" i="6"/>
  <c r="E321" i="6"/>
  <c r="E313" i="6"/>
  <c r="E305" i="6"/>
  <c r="E297" i="6"/>
  <c r="E289" i="6"/>
  <c r="E281" i="6"/>
  <c r="E273" i="6"/>
  <c r="E265" i="6"/>
  <c r="E257" i="6"/>
  <c r="E249" i="6"/>
  <c r="E241" i="6"/>
  <c r="E233" i="6"/>
  <c r="E223" i="6"/>
  <c r="E213" i="6"/>
  <c r="E201" i="6"/>
  <c r="E191" i="6"/>
  <c r="E181" i="6"/>
  <c r="D168" i="6"/>
  <c r="E136" i="6"/>
  <c r="E96" i="6"/>
  <c r="E48" i="6"/>
  <c r="E8" i="6"/>
  <c r="D275" i="6"/>
  <c r="D263" i="6"/>
  <c r="D253" i="6"/>
  <c r="D243" i="6"/>
  <c r="D231" i="6"/>
  <c r="D221" i="6"/>
  <c r="D211" i="6"/>
  <c r="D199" i="6"/>
  <c r="D189" i="6"/>
  <c r="D179" i="6"/>
  <c r="E164" i="6"/>
  <c r="E126" i="6"/>
  <c r="E86" i="6"/>
  <c r="E38" i="6"/>
  <c r="D162" i="6"/>
  <c r="D152" i="6"/>
  <c r="D140" i="6"/>
  <c r="D130" i="6"/>
  <c r="D120" i="6"/>
  <c r="D108" i="6"/>
  <c r="D98" i="6"/>
  <c r="D88" i="6"/>
  <c r="D76" i="6"/>
  <c r="D66" i="6"/>
  <c r="D56" i="6"/>
  <c r="D42" i="6"/>
  <c r="D28" i="6"/>
  <c r="D16" i="6"/>
  <c r="E169" i="6"/>
  <c r="E155" i="6"/>
  <c r="E139" i="6"/>
  <c r="E117" i="6"/>
  <c r="E101" i="6"/>
  <c r="E83" i="6"/>
  <c r="E43" i="6"/>
  <c r="E7" i="6"/>
  <c r="D111" i="6"/>
  <c r="D35" i="6"/>
  <c r="E59" i="6"/>
  <c r="E29" i="6"/>
  <c r="D153" i="6"/>
  <c r="D115" i="6"/>
  <c r="D79" i="6"/>
  <c r="D73" i="6"/>
  <c r="D59" i="6"/>
  <c r="D44" i="6"/>
  <c r="D34" i="6"/>
  <c r="D24" i="6"/>
  <c r="D12" i="6"/>
  <c r="E171" i="6"/>
  <c r="E161" i="6"/>
  <c r="E149" i="6"/>
  <c r="E137" i="6"/>
  <c r="E123" i="6"/>
  <c r="E107" i="6"/>
  <c r="E93" i="6"/>
  <c r="E81" i="6"/>
  <c r="E65" i="6"/>
  <c r="E51" i="6"/>
  <c r="E37" i="6"/>
  <c r="E19" i="6"/>
  <c r="D163" i="6"/>
  <c r="D145" i="6"/>
  <c r="D123" i="6"/>
  <c r="D105" i="6"/>
  <c r="D89" i="6"/>
  <c r="D67" i="6"/>
  <c r="D49" i="6"/>
  <c r="D27" i="6"/>
  <c r="E75" i="6"/>
  <c r="E61" i="6"/>
  <c r="E49" i="6"/>
  <c r="E33" i="6"/>
  <c r="E17" i="6"/>
  <c r="D159" i="6"/>
  <c r="D137" i="6"/>
  <c r="D121" i="6"/>
  <c r="D103" i="6"/>
  <c r="D81" i="6"/>
  <c r="D63" i="6"/>
  <c r="D47" i="6"/>
  <c r="D39" i="6"/>
  <c r="E227" i="6"/>
  <c r="E219" i="6"/>
  <c r="E211" i="6"/>
  <c r="E203" i="6"/>
  <c r="E195" i="6"/>
  <c r="E187" i="6"/>
  <c r="E179" i="6"/>
  <c r="E170" i="6"/>
  <c r="E152" i="6"/>
  <c r="E120" i="6"/>
  <c r="E88" i="6"/>
  <c r="E56" i="6"/>
  <c r="E24" i="6"/>
  <c r="D281" i="6"/>
  <c r="D273" i="6"/>
  <c r="D265" i="6"/>
  <c r="D257" i="6"/>
  <c r="D249" i="6"/>
  <c r="D241" i="6"/>
  <c r="D233" i="6"/>
  <c r="D225" i="6"/>
  <c r="D217" i="6"/>
  <c r="D209" i="6"/>
  <c r="D201" i="6"/>
  <c r="D193" i="6"/>
  <c r="D185" i="6"/>
  <c r="D177" i="6"/>
  <c r="D167" i="6"/>
  <c r="E142" i="6"/>
  <c r="E110" i="6"/>
  <c r="E78" i="6"/>
  <c r="E46" i="6"/>
  <c r="E14" i="6"/>
  <c r="D158" i="6"/>
  <c r="D150" i="6"/>
  <c r="D142" i="6"/>
  <c r="D134" i="6"/>
  <c r="D126" i="6"/>
  <c r="D118" i="6"/>
  <c r="D110" i="6"/>
  <c r="D102" i="6"/>
  <c r="D94" i="6"/>
  <c r="D86" i="6"/>
  <c r="D78" i="6"/>
  <c r="D70" i="6"/>
  <c r="D62" i="6"/>
  <c r="D54" i="6"/>
  <c r="D46" i="6"/>
  <c r="D38" i="6"/>
  <c r="D30" i="6"/>
  <c r="D22" i="6"/>
  <c r="D14" i="6"/>
  <c r="D6" i="6"/>
  <c r="E167" i="6"/>
  <c r="E159" i="6"/>
  <c r="E151" i="6"/>
  <c r="E141" i="6"/>
  <c r="E131" i="6"/>
  <c r="E121" i="6"/>
  <c r="E109" i="6"/>
  <c r="E99" i="6"/>
  <c r="E89" i="6"/>
  <c r="E77" i="6"/>
  <c r="E67" i="6"/>
  <c r="E57" i="6"/>
  <c r="E45" i="6"/>
  <c r="E35" i="6"/>
  <c r="E25" i="6"/>
  <c r="E9" i="6"/>
  <c r="D155" i="6"/>
  <c r="D143" i="6"/>
  <c r="D127" i="6"/>
  <c r="D113" i="6"/>
  <c r="D99" i="6"/>
  <c r="D83" i="6"/>
  <c r="D71" i="6"/>
  <c r="D57" i="6"/>
  <c r="D41" i="6"/>
  <c r="D17" i="6"/>
  <c r="E143" i="6"/>
  <c r="E135" i="6"/>
  <c r="E127" i="6"/>
  <c r="E119" i="6"/>
  <c r="E111" i="6"/>
  <c r="E103" i="6"/>
  <c r="E95" i="6"/>
  <c r="E87" i="6"/>
  <c r="E79" i="6"/>
  <c r="E71" i="6"/>
  <c r="E63" i="6"/>
  <c r="E55" i="6"/>
  <c r="E47" i="6"/>
  <c r="E39" i="6"/>
  <c r="E31" i="6"/>
  <c r="E23" i="6"/>
  <c r="E11" i="6"/>
  <c r="D161" i="6"/>
  <c r="D151" i="6"/>
  <c r="D139" i="6"/>
  <c r="D129" i="6"/>
  <c r="D119" i="6"/>
  <c r="D107" i="6"/>
  <c r="D97" i="6"/>
  <c r="D87" i="6"/>
  <c r="D75" i="6"/>
  <c r="D65" i="6"/>
  <c r="D55" i="6"/>
  <c r="D43" i="6"/>
  <c r="D33" i="6"/>
  <c r="D7" i="6"/>
  <c r="D31" i="6"/>
  <c r="D25" i="6"/>
  <c r="D23" i="6"/>
  <c r="D19" i="6"/>
  <c r="E21" i="6"/>
  <c r="E13" i="6"/>
  <c r="E5" i="6"/>
  <c r="D157" i="6"/>
  <c r="D149" i="6"/>
  <c r="D141" i="6"/>
  <c r="D133" i="6"/>
  <c r="D125" i="6"/>
  <c r="D117" i="6"/>
  <c r="D109" i="6"/>
  <c r="D101" i="6"/>
  <c r="D93" i="6"/>
  <c r="D85" i="6"/>
  <c r="D77" i="6"/>
  <c r="D69" i="6"/>
  <c r="D61" i="6"/>
  <c r="D53" i="6"/>
  <c r="D45" i="6"/>
  <c r="D37" i="6"/>
  <c r="D29" i="6"/>
  <c r="D21" i="6"/>
  <c r="D5" i="6"/>
  <c r="D15" i="6"/>
  <c r="D13" i="6"/>
  <c r="D11" i="6"/>
  <c r="B117" i="6"/>
  <c r="B118" i="6"/>
  <c r="B119" i="6"/>
  <c r="B120" i="6"/>
  <c r="B121" i="6"/>
  <c r="B122" i="6"/>
  <c r="B123" i="6"/>
  <c r="B124" i="6"/>
  <c r="B125" i="6"/>
  <c r="B126" i="6"/>
  <c r="B127" i="6"/>
  <c r="B128" i="6"/>
  <c r="B129" i="6"/>
  <c r="B130" i="6"/>
  <c r="B131" i="6"/>
  <c r="B132" i="6"/>
  <c r="B133" i="6"/>
  <c r="B134" i="6"/>
  <c r="B135" i="6"/>
  <c r="B136" i="6"/>
  <c r="C117" i="6"/>
  <c r="C118" i="6"/>
  <c r="C119" i="6"/>
  <c r="C120" i="6"/>
  <c r="C121" i="6"/>
  <c r="C122" i="6"/>
  <c r="C123" i="6"/>
  <c r="C124" i="6"/>
  <c r="C125" i="6"/>
  <c r="C126" i="6"/>
  <c r="C127" i="6"/>
  <c r="C128" i="6"/>
  <c r="C129" i="6"/>
  <c r="C130" i="6"/>
  <c r="C131" i="6"/>
  <c r="C132" i="6"/>
  <c r="C133" i="6"/>
  <c r="C134" i="6"/>
  <c r="C135" i="6"/>
  <c r="C136" i="6"/>
  <c r="B6" i="7"/>
  <c r="D6" i="7" s="1"/>
  <c r="E6" i="7" s="1"/>
  <c r="B8" i="7"/>
  <c r="D8" i="7" s="1"/>
  <c r="E8" i="7" s="1"/>
  <c r="B10" i="7"/>
  <c r="D10" i="7" s="1"/>
  <c r="E10" i="7" s="1"/>
  <c r="B12" i="7"/>
  <c r="D12" i="7" s="1"/>
  <c r="E12" i="7" s="1"/>
  <c r="C4" i="7"/>
  <c r="C5" i="7"/>
  <c r="C13" i="7"/>
  <c r="C6" i="7"/>
  <c r="C8" i="7"/>
  <c r="C10" i="7"/>
  <c r="C12" i="7"/>
  <c r="B4" i="7"/>
  <c r="C7" i="7"/>
  <c r="C11" i="7"/>
  <c r="B5" i="7"/>
  <c r="D5" i="7" s="1"/>
  <c r="E5" i="7" s="1"/>
  <c r="B7" i="7"/>
  <c r="D7" i="7" s="1"/>
  <c r="E7" i="7" s="1"/>
  <c r="B9" i="7"/>
  <c r="D9" i="7" s="1"/>
  <c r="E9" i="7" s="1"/>
  <c r="B11" i="7"/>
  <c r="D11" i="7" s="1"/>
  <c r="E11" i="7" s="1"/>
  <c r="B13" i="7"/>
  <c r="D13" i="7" s="1"/>
  <c r="E13" i="7" s="1"/>
  <c r="C9" i="7"/>
  <c r="C103" i="6"/>
  <c r="B75" i="6"/>
  <c r="B47" i="6"/>
  <c r="B22" i="6"/>
  <c r="B12" i="6"/>
  <c r="C111" i="6"/>
  <c r="B83" i="6"/>
  <c r="B55" i="6"/>
  <c r="C40" i="6"/>
  <c r="B28" i="6"/>
  <c r="B106" i="6"/>
  <c r="C92" i="6"/>
  <c r="C63" i="6"/>
  <c r="B35" i="6"/>
  <c r="B24" i="6"/>
  <c r="B15" i="6"/>
  <c r="C116" i="6"/>
  <c r="C87" i="6"/>
  <c r="B59" i="6"/>
  <c r="B112" i="6"/>
  <c r="C101" i="6"/>
  <c r="B96" i="6"/>
  <c r="C85" i="6"/>
  <c r="B80" i="6"/>
  <c r="C69" i="6"/>
  <c r="B64" i="6"/>
  <c r="C53" i="6"/>
  <c r="B48" i="6"/>
  <c r="C37" i="6"/>
  <c r="B114" i="6"/>
  <c r="C100" i="6"/>
  <c r="C71" i="6"/>
  <c r="B43" i="6"/>
  <c r="B30" i="6"/>
  <c r="C108" i="6"/>
  <c r="C79" i="6"/>
  <c r="B51" i="6"/>
  <c r="B103" i="6"/>
  <c r="C88" i="6"/>
  <c r="B74" i="6"/>
  <c r="C60" i="6"/>
  <c r="B32" i="6"/>
  <c r="B7" i="6"/>
  <c r="C112" i="6"/>
  <c r="B98" i="6"/>
  <c r="C84" i="6"/>
  <c r="C55" i="6"/>
  <c r="B18" i="6"/>
  <c r="B6" i="6"/>
  <c r="B5" i="6"/>
  <c r="B116" i="6"/>
  <c r="C105" i="6"/>
  <c r="B100" i="6"/>
  <c r="C89" i="6"/>
  <c r="B84" i="6"/>
  <c r="C73" i="6"/>
  <c r="B68" i="6"/>
  <c r="C57" i="6"/>
  <c r="B52" i="6"/>
  <c r="C41" i="6"/>
  <c r="B36" i="6"/>
  <c r="B111" i="6"/>
  <c r="C96" i="6"/>
  <c r="B82" i="6"/>
  <c r="C68" i="6"/>
  <c r="C39" i="6"/>
  <c r="B17" i="6"/>
  <c r="B4" i="6"/>
  <c r="C104" i="6"/>
  <c r="B90" i="6"/>
  <c r="C76" i="6"/>
  <c r="C47" i="6"/>
  <c r="B14" i="6"/>
  <c r="B9" i="6"/>
  <c r="B99" i="6"/>
  <c r="B71" i="6"/>
  <c r="C56" i="6"/>
  <c r="B42" i="6"/>
  <c r="B11" i="6"/>
  <c r="B95" i="6"/>
  <c r="C80" i="6"/>
  <c r="B66" i="6"/>
  <c r="C52" i="6"/>
  <c r="B26" i="6"/>
  <c r="B10" i="6"/>
  <c r="C109" i="6"/>
  <c r="B104" i="6"/>
  <c r="C93" i="6"/>
  <c r="B88" i="6"/>
  <c r="C77" i="6"/>
  <c r="B72" i="6"/>
  <c r="C61" i="6"/>
  <c r="B56" i="6"/>
  <c r="C45" i="6"/>
  <c r="B40" i="6"/>
  <c r="B79" i="6"/>
  <c r="C44" i="6"/>
  <c r="B67" i="6"/>
  <c r="B91" i="6"/>
  <c r="B34" i="6"/>
  <c r="B108" i="6"/>
  <c r="C65" i="6"/>
  <c r="B44" i="6"/>
  <c r="C110" i="6"/>
  <c r="B105" i="6"/>
  <c r="C94" i="6"/>
  <c r="B89" i="6"/>
  <c r="C78" i="6"/>
  <c r="B73" i="6"/>
  <c r="C62" i="6"/>
  <c r="B57" i="6"/>
  <c r="C46" i="6"/>
  <c r="B41" i="6"/>
  <c r="C31" i="6"/>
  <c r="C27" i="6"/>
  <c r="C23" i="6"/>
  <c r="C19" i="6"/>
  <c r="C15" i="6"/>
  <c r="C6" i="6"/>
  <c r="C10" i="6"/>
  <c r="B21" i="6"/>
  <c r="B29" i="6"/>
  <c r="B38" i="6"/>
  <c r="C59" i="6"/>
  <c r="B70" i="6"/>
  <c r="C91" i="6"/>
  <c r="B102" i="6"/>
  <c r="B94" i="6"/>
  <c r="C115" i="6"/>
  <c r="B69" i="6"/>
  <c r="C24" i="6"/>
  <c r="C5" i="6"/>
  <c r="B19" i="6"/>
  <c r="B46" i="6"/>
  <c r="B78" i="6"/>
  <c r="C64" i="6"/>
  <c r="B87" i="6"/>
  <c r="C81" i="6"/>
  <c r="B60" i="6"/>
  <c r="C114" i="6"/>
  <c r="B109" i="6"/>
  <c r="C98" i="6"/>
  <c r="B93" i="6"/>
  <c r="C82" i="6"/>
  <c r="B77" i="6"/>
  <c r="C66" i="6"/>
  <c r="B61" i="6"/>
  <c r="C50" i="6"/>
  <c r="B45" i="6"/>
  <c r="C34" i="6"/>
  <c r="C30" i="6"/>
  <c r="C26" i="6"/>
  <c r="C22" i="6"/>
  <c r="C18" i="6"/>
  <c r="C14" i="6"/>
  <c r="C7" i="6"/>
  <c r="C11" i="6"/>
  <c r="B16" i="6"/>
  <c r="B23" i="6"/>
  <c r="B31" i="6"/>
  <c r="C51" i="6"/>
  <c r="B62" i="6"/>
  <c r="C83" i="6"/>
  <c r="B58" i="6"/>
  <c r="C113" i="6"/>
  <c r="B101" i="6"/>
  <c r="B85" i="6"/>
  <c r="C74" i="6"/>
  <c r="C58" i="6"/>
  <c r="C42" i="6"/>
  <c r="C28" i="6"/>
  <c r="C20" i="6"/>
  <c r="C13" i="6"/>
  <c r="C35" i="6"/>
  <c r="C67" i="6"/>
  <c r="B110" i="6"/>
  <c r="B107" i="6"/>
  <c r="B50" i="6"/>
  <c r="B8" i="6"/>
  <c r="C72" i="6"/>
  <c r="B20" i="6"/>
  <c r="C95" i="6"/>
  <c r="B39" i="6"/>
  <c r="B63" i="6"/>
  <c r="C97" i="6"/>
  <c r="B76" i="6"/>
  <c r="B113" i="6"/>
  <c r="C102" i="6"/>
  <c r="B97" i="6"/>
  <c r="C86" i="6"/>
  <c r="B81" i="6"/>
  <c r="C70" i="6"/>
  <c r="B65" i="6"/>
  <c r="C54" i="6"/>
  <c r="B49" i="6"/>
  <c r="C38" i="6"/>
  <c r="C33" i="6"/>
  <c r="C29" i="6"/>
  <c r="C25" i="6"/>
  <c r="C21" i="6"/>
  <c r="C17" i="6"/>
  <c r="C4" i="6"/>
  <c r="C8" i="6"/>
  <c r="C12" i="6"/>
  <c r="B25" i="6"/>
  <c r="B33" i="6"/>
  <c r="C43" i="6"/>
  <c r="B54" i="6"/>
  <c r="C75" i="6"/>
  <c r="B86" i="6"/>
  <c r="C107" i="6"/>
  <c r="C36" i="6"/>
  <c r="B115" i="6"/>
  <c r="B13" i="6"/>
  <c r="C48" i="6"/>
  <c r="B92" i="6"/>
  <c r="C49" i="6"/>
  <c r="C106" i="6"/>
  <c r="C90" i="6"/>
  <c r="B53" i="6"/>
  <c r="B37" i="6"/>
  <c r="C32" i="6"/>
  <c r="C16" i="6"/>
  <c r="C9" i="6"/>
  <c r="B27" i="6"/>
  <c r="C99" i="6"/>
  <c r="A40" i="3"/>
  <c r="C20" i="3"/>
  <c r="M8" i="2"/>
  <c r="N7" i="2" s="1"/>
  <c r="D12" i="2"/>
  <c r="B12" i="2"/>
  <c r="D7" i="1"/>
  <c r="E7" i="1" s="1"/>
  <c r="D3" i="1"/>
  <c r="E3" i="1" s="1"/>
  <c r="D10" i="1"/>
  <c r="E10" i="1" s="1"/>
  <c r="D6" i="1"/>
  <c r="E6" i="1" s="1"/>
  <c r="D9" i="1"/>
  <c r="E9" i="1" s="1"/>
  <c r="D5" i="1"/>
  <c r="E5" i="1" s="1"/>
  <c r="D8" i="1"/>
  <c r="E8" i="1" s="1"/>
  <c r="D4" i="1"/>
  <c r="E4" i="1" s="1"/>
  <c r="BV13" i="2"/>
  <c r="M42" i="2"/>
  <c r="N42" i="2"/>
  <c r="S38" i="2"/>
  <c r="T38" i="2"/>
  <c r="AF52" i="2"/>
  <c r="AD52" i="2"/>
  <c r="AH52" i="2"/>
  <c r="M52" i="2"/>
  <c r="N52" i="2"/>
  <c r="Q52" i="2"/>
  <c r="W52" i="2"/>
  <c r="J38" i="2"/>
  <c r="P38" i="2"/>
  <c r="N38" i="2"/>
  <c r="L38" i="2"/>
  <c r="O38" i="2"/>
  <c r="K38" i="2"/>
  <c r="AC52" i="2"/>
  <c r="AA52" i="2"/>
  <c r="AI52" i="2"/>
  <c r="K52" i="2"/>
  <c r="AL52" i="2"/>
  <c r="AB52" i="2"/>
  <c r="X52" i="2"/>
  <c r="R38" i="2"/>
  <c r="L34" i="2"/>
  <c r="M34" i="2"/>
  <c r="AJ52" i="2"/>
  <c r="AG52" i="2"/>
  <c r="AM52" i="2"/>
  <c r="AK52" i="2"/>
  <c r="R52" i="2"/>
  <c r="S52" i="2"/>
  <c r="U52" i="2"/>
  <c r="Y52" i="2"/>
  <c r="J34" i="2"/>
  <c r="M38" i="2"/>
  <c r="N34" i="2"/>
  <c r="Q38" i="2"/>
  <c r="AE52" i="2"/>
  <c r="P52" i="2"/>
  <c r="J52" i="2"/>
  <c r="Z52" i="2"/>
  <c r="V52" i="2"/>
  <c r="L52" i="2"/>
  <c r="U38" i="2"/>
  <c r="O34" i="2"/>
  <c r="K34" i="2"/>
  <c r="N46" i="2"/>
  <c r="T52" i="2"/>
  <c r="O52" i="2"/>
  <c r="M46" i="2"/>
  <c r="L46" i="2"/>
  <c r="K46" i="2"/>
  <c r="J46" i="2"/>
  <c r="K42" i="2"/>
  <c r="J42" i="2"/>
  <c r="R26" i="2"/>
  <c r="S26" i="2"/>
  <c r="Q26" i="2"/>
  <c r="P26" i="2"/>
  <c r="S30" i="2"/>
  <c r="R30" i="2"/>
  <c r="P30" i="2"/>
  <c r="O30" i="2"/>
  <c r="Q30" i="2"/>
  <c r="N30" i="2"/>
  <c r="L30" i="2"/>
  <c r="K30" i="2"/>
  <c r="M30" i="2"/>
  <c r="J30" i="2"/>
  <c r="J40" i="2"/>
  <c r="R24" i="2"/>
  <c r="O26" i="2"/>
  <c r="N26" i="2"/>
  <c r="M26" i="2"/>
  <c r="L26" i="2"/>
  <c r="K26" i="2"/>
  <c r="J26" i="2"/>
  <c r="O24" i="2"/>
  <c r="N24" i="2"/>
  <c r="K24" i="2"/>
  <c r="S20" i="2"/>
  <c r="P20" i="2"/>
  <c r="O20" i="2"/>
  <c r="N20" i="2"/>
  <c r="L20" i="2"/>
  <c r="R20" i="2"/>
  <c r="K36" i="2"/>
  <c r="L36" i="2"/>
  <c r="M36" i="2"/>
  <c r="N36" i="2"/>
  <c r="O36" i="2"/>
  <c r="J36" i="2"/>
  <c r="J32" i="2"/>
  <c r="J28" i="2"/>
  <c r="Q24" i="2"/>
  <c r="P24" i="2"/>
  <c r="M24" i="2"/>
  <c r="L24" i="2"/>
  <c r="J24" i="2"/>
  <c r="Q20" i="2"/>
  <c r="M20" i="2"/>
  <c r="K20" i="2"/>
  <c r="J20" i="2"/>
  <c r="A16" i="3" l="1"/>
  <c r="AX19" i="2"/>
  <c r="AZ19" i="2" s="1"/>
  <c r="BA19" i="2" s="1"/>
  <c r="A21" i="2"/>
  <c r="EC31" i="2"/>
  <c r="EB19" i="2"/>
  <c r="EB31" i="2"/>
  <c r="EB27" i="2"/>
  <c r="EI39" i="2"/>
  <c r="EL95" i="2"/>
  <c r="EI95" i="2" s="1"/>
  <c r="EI42" i="2" a="1"/>
  <c r="EI42" i="2" s="1"/>
  <c r="EI44" i="2" a="1"/>
  <c r="EI44" i="2" s="1"/>
  <c r="EL97" i="2"/>
  <c r="EI97" i="2" s="1"/>
  <c r="EB23" i="2"/>
  <c r="EC23" i="2"/>
  <c r="EC19" i="2"/>
  <c r="FP26" i="2"/>
  <c r="AN40" i="2"/>
  <c r="AO40" i="2" s="1"/>
  <c r="S26" i="3" s="1"/>
  <c r="CO19" i="2"/>
  <c r="AN36" i="2"/>
  <c r="AO36" i="2" s="1"/>
  <c r="S24" i="3" s="1"/>
  <c r="FQ26" i="2"/>
  <c r="AN28" i="2"/>
  <c r="AO28" i="2" s="1"/>
  <c r="AN24" i="2"/>
  <c r="AO24" i="2" s="1"/>
  <c r="AN52" i="2"/>
  <c r="BG51" i="2"/>
  <c r="G49" i="2"/>
  <c r="BG47" i="2"/>
  <c r="BG49" i="2"/>
  <c r="EL46" i="2"/>
  <c r="AN46" i="2"/>
  <c r="BG45" i="2"/>
  <c r="AN38" i="2"/>
  <c r="AN42" i="2"/>
  <c r="AO42" i="2" s="1"/>
  <c r="AN34" i="2"/>
  <c r="AO34" i="2" s="1"/>
  <c r="S28" i="3"/>
  <c r="AN22" i="2"/>
  <c r="AN32" i="2"/>
  <c r="CQ17" i="2"/>
  <c r="CQ21" i="2"/>
  <c r="CQ29" i="2"/>
  <c r="CQ37" i="2"/>
  <c r="CQ45" i="2"/>
  <c r="CQ57" i="2"/>
  <c r="CQ65" i="2"/>
  <c r="CQ43" i="2"/>
  <c r="CQ23" i="2"/>
  <c r="CQ31" i="2"/>
  <c r="CQ39" i="2"/>
  <c r="CQ47" i="2"/>
  <c r="CQ59" i="2"/>
  <c r="CQ67" i="2"/>
  <c r="CQ27" i="2"/>
  <c r="CQ55" i="2"/>
  <c r="CQ25" i="2"/>
  <c r="CQ33" i="2"/>
  <c r="CQ41" i="2"/>
  <c r="CQ53" i="2"/>
  <c r="CQ61" i="2"/>
  <c r="CQ19" i="2"/>
  <c r="CQ35" i="2"/>
  <c r="CQ63" i="2"/>
  <c r="CQ51" i="2"/>
  <c r="CQ49" i="2"/>
  <c r="AN30" i="2"/>
  <c r="AO30" i="2" s="1"/>
  <c r="AN26" i="2"/>
  <c r="DW21" i="2"/>
  <c r="DW25" i="2"/>
  <c r="DW29" i="2"/>
  <c r="DW33" i="2"/>
  <c r="DW37" i="2"/>
  <c r="DW41" i="2"/>
  <c r="DW45" i="2"/>
  <c r="DW49" i="2"/>
  <c r="DW53" i="2"/>
  <c r="DW57" i="2"/>
  <c r="DW61" i="2"/>
  <c r="DW65" i="2"/>
  <c r="DW31" i="2"/>
  <c r="DW51" i="2"/>
  <c r="DW63" i="2"/>
  <c r="DW23" i="2"/>
  <c r="DW27" i="2"/>
  <c r="DW35" i="2"/>
  <c r="DW39" i="2"/>
  <c r="DW43" i="2"/>
  <c r="DW47" i="2"/>
  <c r="DW55" i="2"/>
  <c r="DW59" i="2"/>
  <c r="DW67" i="2"/>
  <c r="DW19" i="2"/>
  <c r="DT21" i="2"/>
  <c r="DT29" i="2"/>
  <c r="DT37" i="2"/>
  <c r="DT45" i="2"/>
  <c r="DT53" i="2"/>
  <c r="DT61" i="2"/>
  <c r="DT27" i="2"/>
  <c r="DT51" i="2"/>
  <c r="DT67" i="2"/>
  <c r="DT23" i="2"/>
  <c r="DT31" i="2"/>
  <c r="DT39" i="2"/>
  <c r="DT47" i="2"/>
  <c r="DT55" i="2"/>
  <c r="DT63" i="2"/>
  <c r="DT25" i="2"/>
  <c r="DT33" i="2"/>
  <c r="DT41" i="2"/>
  <c r="DT49" i="2"/>
  <c r="DT57" i="2"/>
  <c r="DT65" i="2"/>
  <c r="DT35" i="2"/>
  <c r="DT43" i="2"/>
  <c r="DT59" i="2"/>
  <c r="DT19" i="2"/>
  <c r="BG43" i="2"/>
  <c r="BG19" i="2"/>
  <c r="BG21" i="2"/>
  <c r="BG29" i="2"/>
  <c r="BG37" i="2"/>
  <c r="BG35" i="2"/>
  <c r="BG23" i="2"/>
  <c r="BG31" i="2"/>
  <c r="BG39" i="2"/>
  <c r="BG27" i="2"/>
  <c r="BG25" i="2"/>
  <c r="BG33" i="2"/>
  <c r="BG41" i="2"/>
  <c r="CR43" i="2"/>
  <c r="F44" i="2" s="1"/>
  <c r="AN20" i="2"/>
  <c r="AO20" i="2" s="1"/>
  <c r="BU4" i="1"/>
  <c r="D4" i="7"/>
  <c r="E4" i="7" s="1"/>
  <c r="C21" i="3"/>
  <c r="BU2" i="1"/>
  <c r="C13" i="2"/>
  <c r="BU8" i="1"/>
  <c r="BU6" i="1"/>
  <c r="BU10" i="1"/>
  <c r="B13" i="2"/>
  <c r="X16" i="3" l="1"/>
  <c r="CO21" i="2"/>
  <c r="AX21" i="2"/>
  <c r="AZ21" i="2" s="1"/>
  <c r="A23" i="2"/>
  <c r="AX23" i="2" s="1"/>
  <c r="AZ23" i="2" s="1"/>
  <c r="A17" i="3"/>
  <c r="EE19" i="2"/>
  <c r="ED23" i="2"/>
  <c r="ED27" i="2"/>
  <c r="ED31" i="2"/>
  <c r="ED20" i="2"/>
  <c r="ED26" i="2"/>
  <c r="ED32" i="2"/>
  <c r="ED38" i="2"/>
  <c r="ED44" i="2"/>
  <c r="ED50" i="2"/>
  <c r="ED56" i="2"/>
  <c r="EE20" i="2"/>
  <c r="EE26" i="2"/>
  <c r="EE32" i="2"/>
  <c r="EE38" i="2"/>
  <c r="EE44" i="2"/>
  <c r="EE50" i="2"/>
  <c r="EE56" i="2"/>
  <c r="ED35" i="2"/>
  <c r="ED53" i="2"/>
  <c r="EE29" i="2"/>
  <c r="EE47" i="2"/>
  <c r="ED24" i="2"/>
  <c r="ED36" i="2"/>
  <c r="ED48" i="2"/>
  <c r="EE24" i="2"/>
  <c r="EE36" i="2"/>
  <c r="EE48" i="2"/>
  <c r="ED25" i="2"/>
  <c r="ED43" i="2"/>
  <c r="EE25" i="2"/>
  <c r="EE37" i="2"/>
  <c r="EE55" i="2"/>
  <c r="EE41" i="2"/>
  <c r="EE49" i="2"/>
  <c r="ED21" i="2"/>
  <c r="ED33" i="2"/>
  <c r="ED39" i="2"/>
  <c r="ED45" i="2"/>
  <c r="ED51" i="2"/>
  <c r="ED57" i="2"/>
  <c r="EE21" i="2"/>
  <c r="EE27" i="2"/>
  <c r="EE33" i="2"/>
  <c r="EE39" i="2"/>
  <c r="EE45" i="2"/>
  <c r="EE57" i="2"/>
  <c r="ED29" i="2"/>
  <c r="ED41" i="2"/>
  <c r="ED47" i="2"/>
  <c r="EE23" i="2"/>
  <c r="EE35" i="2"/>
  <c r="EE53" i="2"/>
  <c r="ED30" i="2"/>
  <c r="ED42" i="2"/>
  <c r="ED54" i="2"/>
  <c r="EE30" i="2"/>
  <c r="EE42" i="2"/>
  <c r="EE54" i="2"/>
  <c r="ED37" i="2"/>
  <c r="ED55" i="2"/>
  <c r="EE43" i="2"/>
  <c r="EE51" i="2"/>
  <c r="ED22" i="2"/>
  <c r="ED28" i="2"/>
  <c r="ED34" i="2"/>
  <c r="ED40" i="2"/>
  <c r="ED46" i="2"/>
  <c r="ED52" i="2"/>
  <c r="ED58" i="2"/>
  <c r="EE22" i="2"/>
  <c r="EE28" i="2"/>
  <c r="EE34" i="2"/>
  <c r="EE40" i="2"/>
  <c r="EE46" i="2"/>
  <c r="EE52" i="2"/>
  <c r="EE58" i="2"/>
  <c r="ED49" i="2"/>
  <c r="EE31" i="2"/>
  <c r="ED19" i="2"/>
  <c r="EI43" i="2"/>
  <c r="EI41" i="2"/>
  <c r="EI46" i="2" a="1"/>
  <c r="EI46" i="2" s="1"/>
  <c r="EL99" i="2"/>
  <c r="EI99" i="2" s="1"/>
  <c r="AO46" i="2"/>
  <c r="S29" i="3" s="1"/>
  <c r="AO38" i="2"/>
  <c r="S25" i="3" s="1"/>
  <c r="AO32" i="2"/>
  <c r="S22" i="3" s="1"/>
  <c r="AO26" i="2"/>
  <c r="S19" i="3" s="1"/>
  <c r="AO22" i="2"/>
  <c r="S17" i="3" s="1"/>
  <c r="S20" i="3"/>
  <c r="S21" i="3"/>
  <c r="EL50" i="2"/>
  <c r="G51" i="2"/>
  <c r="G76" i="2" s="1"/>
  <c r="I76" i="2" s="1"/>
  <c r="HD23" i="2"/>
  <c r="E18" i="3"/>
  <c r="CR23" i="2"/>
  <c r="F24" i="2" s="1"/>
  <c r="S18" i="3"/>
  <c r="DU21" i="2"/>
  <c r="DU53" i="2"/>
  <c r="DU59" i="2"/>
  <c r="DU47" i="2"/>
  <c r="DU25" i="2"/>
  <c r="DU57" i="2"/>
  <c r="DV21" i="2"/>
  <c r="DV37" i="2"/>
  <c r="DV53" i="2"/>
  <c r="DV23" i="2"/>
  <c r="DV39" i="2"/>
  <c r="DV55" i="2"/>
  <c r="DS37" i="2"/>
  <c r="DS33" i="2"/>
  <c r="DS43" i="2"/>
  <c r="DS39" i="2"/>
  <c r="DS25" i="2"/>
  <c r="DS51" i="2"/>
  <c r="DU29" i="2"/>
  <c r="DU61" i="2"/>
  <c r="DU23" i="2"/>
  <c r="DU55" i="2"/>
  <c r="DU33" i="2"/>
  <c r="DU65" i="2"/>
  <c r="DV25" i="2"/>
  <c r="DV41" i="2"/>
  <c r="DV57" i="2"/>
  <c r="DV27" i="2"/>
  <c r="DV43" i="2"/>
  <c r="DV59" i="2"/>
  <c r="DV19" i="2"/>
  <c r="DS45" i="2"/>
  <c r="DS41" i="2"/>
  <c r="DS67" i="2"/>
  <c r="DS47" i="2"/>
  <c r="DS57" i="2"/>
  <c r="DS59" i="2"/>
  <c r="DS19" i="2"/>
  <c r="DU37" i="2"/>
  <c r="DU35" i="2"/>
  <c r="DU31" i="2"/>
  <c r="DU63" i="2"/>
  <c r="DU41" i="2"/>
  <c r="DU27" i="2"/>
  <c r="DV29" i="2"/>
  <c r="DV45" i="2"/>
  <c r="DV61" i="2"/>
  <c r="DV31" i="2"/>
  <c r="DV47" i="2"/>
  <c r="DV63" i="2"/>
  <c r="DS21" i="2"/>
  <c r="DS53" i="2"/>
  <c r="DS49" i="2"/>
  <c r="DS23" i="2"/>
  <c r="DS55" i="2"/>
  <c r="DS27" i="2"/>
  <c r="DU19" i="2"/>
  <c r="DU45" i="2"/>
  <c r="DU43" i="2"/>
  <c r="DU39" i="2"/>
  <c r="DU51" i="2"/>
  <c r="DU49" i="2"/>
  <c r="DU67" i="2"/>
  <c r="DV33" i="2"/>
  <c r="DV49" i="2"/>
  <c r="DV65" i="2"/>
  <c r="DV35" i="2"/>
  <c r="DV51" i="2"/>
  <c r="DV67" i="2"/>
  <c r="DS29" i="2"/>
  <c r="DS61" i="2"/>
  <c r="DS65" i="2"/>
  <c r="DS31" i="2"/>
  <c r="DS63" i="2"/>
  <c r="DS35" i="2"/>
  <c r="CO42" i="2"/>
  <c r="S27" i="3"/>
  <c r="S23" i="3"/>
  <c r="CO34" i="2"/>
  <c r="CO20" i="2"/>
  <c r="CO44" i="2"/>
  <c r="DM13" i="2" a="1"/>
  <c r="DM13" i="2" s="1"/>
  <c r="DM12" i="2" s="1"/>
  <c r="DJ13" i="2" a="1"/>
  <c r="DJ13" i="2" s="1"/>
  <c r="DJ12" i="2" s="1"/>
  <c r="CO30" i="2"/>
  <c r="CO40" i="2"/>
  <c r="CO36" i="2"/>
  <c r="CO28" i="2"/>
  <c r="C22" i="3"/>
  <c r="A18" i="3"/>
  <c r="BA21" i="2" l="1"/>
  <c r="X17" i="3" s="1"/>
  <c r="BA23" i="2"/>
  <c r="X18" i="3" s="1"/>
  <c r="A25" i="2"/>
  <c r="AX25" i="2" s="1"/>
  <c r="AZ25" i="2" s="1"/>
  <c r="CO23" i="2"/>
  <c r="DW13" i="2" a="1"/>
  <c r="DW13" i="2" s="1"/>
  <c r="DW12" i="2" s="1"/>
  <c r="DV13" i="2" a="1"/>
  <c r="DV13" i="2" s="1"/>
  <c r="EI45" i="2"/>
  <c r="EI50" i="2" a="1"/>
  <c r="EI50" i="2" s="1"/>
  <c r="EL103" i="2"/>
  <c r="EI103" i="2" s="1"/>
  <c r="DL13" i="2" a="1"/>
  <c r="DL13" i="2" s="1"/>
  <c r="DL12" i="2" s="1"/>
  <c r="CO26" i="2"/>
  <c r="J81" i="2"/>
  <c r="K81" i="2" s="1"/>
  <c r="G81" i="2"/>
  <c r="H81" i="2" s="1"/>
  <c r="P81" i="2"/>
  <c r="Q81" i="2" s="1"/>
  <c r="M81" i="2"/>
  <c r="N81" i="2" s="1"/>
  <c r="Y81" i="2"/>
  <c r="Z81" i="2" s="1"/>
  <c r="S81" i="2"/>
  <c r="T81" i="2" s="1"/>
  <c r="V81" i="2"/>
  <c r="W81" i="2" s="1"/>
  <c r="AK81" i="2"/>
  <c r="AL81" i="2" s="1"/>
  <c r="AB81" i="2"/>
  <c r="AC81" i="2" s="1"/>
  <c r="AE81" i="2"/>
  <c r="AF81" i="2" s="1"/>
  <c r="AH81" i="2"/>
  <c r="AI81" i="2" s="1"/>
  <c r="CO22" i="2"/>
  <c r="CO32" i="2"/>
  <c r="CO38" i="2"/>
  <c r="FP22" i="2"/>
  <c r="FQ22" i="2"/>
  <c r="O76" i="2"/>
  <c r="Q76" i="2" s="1"/>
  <c r="K76" i="2"/>
  <c r="M76" i="2" s="1"/>
  <c r="AM76" i="2"/>
  <c r="AO76" i="2" s="1"/>
  <c r="S76" i="2"/>
  <c r="U76" i="2" s="1"/>
  <c r="W76" i="2"/>
  <c r="Y76" i="2" s="1"/>
  <c r="AI76" i="2"/>
  <c r="AK76" i="2" s="1"/>
  <c r="AE76" i="2"/>
  <c r="AG76" i="2" s="1"/>
  <c r="AA76" i="2"/>
  <c r="AC76" i="2" s="1"/>
  <c r="GZ23" i="2"/>
  <c r="HA23" i="2"/>
  <c r="GX23" i="2"/>
  <c r="GY23" i="2"/>
  <c r="GW23" i="2"/>
  <c r="HB23" i="2"/>
  <c r="EO24" i="2"/>
  <c r="EO77" i="2" s="1"/>
  <c r="FG77" i="2"/>
  <c r="FN77" i="2"/>
  <c r="FE77" i="2"/>
  <c r="FH77" i="2"/>
  <c r="FL77" i="2"/>
  <c r="FK77" i="2"/>
  <c r="FM77" i="2"/>
  <c r="FI77" i="2"/>
  <c r="FJ77" i="2"/>
  <c r="FF77" i="2"/>
  <c r="EL52" i="2"/>
  <c r="DK13" i="2" a="1"/>
  <c r="DK13" i="2" s="1"/>
  <c r="DK12" i="2" s="1"/>
  <c r="DI13" i="2" a="1"/>
  <c r="DI13" i="2" s="1"/>
  <c r="DI12" i="2" s="1"/>
  <c r="FB77" i="2"/>
  <c r="EX24" i="2"/>
  <c r="EX77" i="2" s="1"/>
  <c r="EU24" i="2"/>
  <c r="EU77" i="2" s="1"/>
  <c r="EN24" i="2"/>
  <c r="EN77" i="2" s="1"/>
  <c r="EZ24" i="2"/>
  <c r="EZ77" i="2" s="1"/>
  <c r="ER24" i="2"/>
  <c r="ER77" i="2" s="1"/>
  <c r="FA77" i="2"/>
  <c r="ET24" i="2"/>
  <c r="ET77" i="2" s="1"/>
  <c r="EQ24" i="2"/>
  <c r="EQ77" i="2" s="1"/>
  <c r="FC77" i="2"/>
  <c r="EY24" i="2"/>
  <c r="EY77" i="2" s="1"/>
  <c r="ES24" i="2"/>
  <c r="ES77" i="2" s="1"/>
  <c r="EM24" i="2"/>
  <c r="EM77" i="2" s="1"/>
  <c r="EV24" i="2"/>
  <c r="EV77" i="2" s="1"/>
  <c r="EW24" i="2"/>
  <c r="EW77" i="2" s="1"/>
  <c r="EP24" i="2"/>
  <c r="EP77" i="2" s="1"/>
  <c r="FD77" i="2"/>
  <c r="EL24" i="2"/>
  <c r="CO24" i="2"/>
  <c r="CO46" i="2"/>
  <c r="CR45" i="2"/>
  <c r="F46" i="2" s="1"/>
  <c r="C23" i="3"/>
  <c r="BA25" i="2" l="1"/>
  <c r="X19" i="3" s="1"/>
  <c r="A19" i="3"/>
  <c r="A27" i="2"/>
  <c r="AX27" i="2" s="1"/>
  <c r="AZ27" i="2" s="1"/>
  <c r="CO25" i="2"/>
  <c r="EI49" i="2"/>
  <c r="EL105" i="2"/>
  <c r="EI105" i="2" s="1"/>
  <c r="EI52" i="2" a="1"/>
  <c r="EI52" i="2" s="1"/>
  <c r="EL77" i="2"/>
  <c r="EI77" i="2" s="1"/>
  <c r="EI24" i="2" a="1"/>
  <c r="EI24" i="2" s="1"/>
  <c r="A22" i="3"/>
  <c r="C24" i="3"/>
  <c r="A21" i="3"/>
  <c r="BA27" i="2" l="1"/>
  <c r="X20" i="3" s="1"/>
  <c r="A20" i="3"/>
  <c r="CO27" i="2"/>
  <c r="A29" i="2"/>
  <c r="EI51" i="2"/>
  <c r="EI23" i="2"/>
  <c r="CR47" i="2"/>
  <c r="F48" i="2" s="1"/>
  <c r="A23" i="3"/>
  <c r="C25" i="3"/>
  <c r="BA17" i="2" l="1"/>
  <c r="CO29" i="2"/>
  <c r="A31" i="2"/>
  <c r="CO48" i="2"/>
  <c r="A24" i="3"/>
  <c r="C26" i="3"/>
  <c r="C27" i="3"/>
  <c r="CO31" i="2" l="1"/>
  <c r="A33" i="2"/>
  <c r="CR49" i="2"/>
  <c r="F50" i="2" s="1"/>
  <c r="A25" i="3"/>
  <c r="C28" i="3"/>
  <c r="CO33" i="2" l="1"/>
  <c r="A35" i="2"/>
  <c r="CO50" i="2"/>
  <c r="A26" i="3"/>
  <c r="C29" i="3"/>
  <c r="CO35" i="2" l="1"/>
  <c r="A37" i="2"/>
  <c r="CR51" i="2"/>
  <c r="A27" i="3"/>
  <c r="C30" i="3"/>
  <c r="CO37" i="2" l="1"/>
  <c r="A39" i="2"/>
  <c r="F52" i="2"/>
  <c r="A28" i="3"/>
  <c r="C31" i="3"/>
  <c r="CO39" i="2" l="1"/>
  <c r="A41" i="2"/>
  <c r="A29" i="3"/>
  <c r="CR53" i="2"/>
  <c r="F54" i="2" s="1"/>
  <c r="C33" i="3"/>
  <c r="C32" i="3"/>
  <c r="A33" i="3"/>
  <c r="CO41" i="2" l="1"/>
  <c r="A43" i="2"/>
  <c r="GF99" i="2"/>
  <c r="GO99" i="2"/>
  <c r="GJ99" i="2"/>
  <c r="GA99" i="2"/>
  <c r="GS99" i="2"/>
  <c r="GB99" i="2"/>
  <c r="GT99" i="2"/>
  <c r="GN99" i="2"/>
  <c r="GI99" i="2"/>
  <c r="FZ99" i="2"/>
  <c r="FW99" i="2"/>
  <c r="GR99" i="2"/>
  <c r="GQ99" i="2"/>
  <c r="GD99" i="2"/>
  <c r="GE99" i="2"/>
  <c r="FY99" i="2"/>
  <c r="GH99" i="2"/>
  <c r="GM99" i="2"/>
  <c r="GK99" i="2"/>
  <c r="GC99" i="2"/>
  <c r="GL99" i="2"/>
  <c r="GU99" i="2"/>
  <c r="FX99" i="2"/>
  <c r="GG99" i="2"/>
  <c r="GP99" i="2"/>
  <c r="FS99" i="2"/>
  <c r="FR99" i="2"/>
  <c r="FT99" i="2"/>
  <c r="FU99" i="2"/>
  <c r="FV99" i="2"/>
  <c r="A30" i="3"/>
  <c r="CS54" i="2"/>
  <c r="CO54" i="2"/>
  <c r="A34" i="3"/>
  <c r="CO43" i="2" l="1"/>
  <c r="A45" i="2"/>
  <c r="GR100" i="2"/>
  <c r="GG100" i="2"/>
  <c r="FX100" i="2"/>
  <c r="GC100" i="2"/>
  <c r="GS100" i="2"/>
  <c r="FZ100" i="2"/>
  <c r="GK100" i="2"/>
  <c r="GB100" i="2"/>
  <c r="GJ100" i="2"/>
  <c r="GI100" i="2"/>
  <c r="GT100" i="2"/>
  <c r="GH100" i="2"/>
  <c r="GA100" i="2"/>
  <c r="GO100" i="2"/>
  <c r="FW100" i="2"/>
  <c r="GU100" i="2"/>
  <c r="GL100" i="2"/>
  <c r="GN100" i="2"/>
  <c r="FV100" i="2"/>
  <c r="GM100" i="2"/>
  <c r="FU100" i="2"/>
  <c r="FT100" i="2"/>
  <c r="FY100" i="2"/>
  <c r="FR100" i="2"/>
  <c r="GE100" i="2"/>
  <c r="FS100" i="2"/>
  <c r="GD100" i="2"/>
  <c r="GP100" i="2"/>
  <c r="GQ100" i="2"/>
  <c r="GF100" i="2"/>
  <c r="A31" i="3"/>
  <c r="CR55" i="2"/>
  <c r="F56" i="2" s="1"/>
  <c r="C34" i="3"/>
  <c r="A35" i="3"/>
  <c r="CO45" i="2" l="1"/>
  <c r="A47" i="2"/>
  <c r="FP100" i="2"/>
  <c r="FQ100" i="2" s="1"/>
  <c r="A32" i="3"/>
  <c r="CS56" i="2"/>
  <c r="CO56" i="2"/>
  <c r="C35" i="3"/>
  <c r="C36" i="3"/>
  <c r="A36" i="3"/>
  <c r="A49" i="2" l="1"/>
  <c r="CO47" i="2"/>
  <c r="FQ30" i="2"/>
  <c r="FP30" i="2"/>
  <c r="CR57" i="2"/>
  <c r="F58" i="2" s="1"/>
  <c r="C37" i="3"/>
  <c r="A37" i="3"/>
  <c r="A51" i="2" l="1"/>
  <c r="CO49" i="2"/>
  <c r="GJ59" i="2"/>
  <c r="FW59" i="2"/>
  <c r="GF59" i="2"/>
  <c r="FX59" i="2"/>
  <c r="GG59" i="2"/>
  <c r="GC59" i="2"/>
  <c r="GI59" i="2"/>
  <c r="FU59" i="2"/>
  <c r="GA59" i="2"/>
  <c r="GD59" i="2"/>
  <c r="GH59" i="2"/>
  <c r="FS59" i="2"/>
  <c r="FV59" i="2"/>
  <c r="GK59" i="2"/>
  <c r="FZ59" i="2"/>
  <c r="FY59" i="2"/>
  <c r="GB59" i="2"/>
  <c r="FT59" i="2"/>
  <c r="GE59" i="2"/>
  <c r="CO58" i="2"/>
  <c r="C38" i="3"/>
  <c r="A38" i="3"/>
  <c r="CO51" i="2" l="1"/>
  <c r="A53" i="2"/>
  <c r="FR59" i="2"/>
  <c r="FR60" i="2" s="1"/>
  <c r="CR59" i="2"/>
  <c r="F60" i="2" s="1"/>
  <c r="C39" i="3"/>
  <c r="AA81" i="2"/>
  <c r="A39" i="3"/>
  <c r="CO53" i="2" l="1"/>
  <c r="A55" i="2"/>
  <c r="GW59" i="2"/>
  <c r="HA59" i="2"/>
  <c r="GZ59" i="2"/>
  <c r="GX59" i="2"/>
  <c r="HB59" i="2"/>
  <c r="GY59" i="2"/>
  <c r="FU61" i="2"/>
  <c r="GF61" i="2"/>
  <c r="GC61" i="2"/>
  <c r="FT61" i="2"/>
  <c r="GD61" i="2"/>
  <c r="GI61" i="2"/>
  <c r="GH61" i="2"/>
  <c r="FW61" i="2"/>
  <c r="GJ61" i="2"/>
  <c r="GK61" i="2"/>
  <c r="GA61" i="2"/>
  <c r="FZ61" i="2"/>
  <c r="FS61" i="2"/>
  <c r="GG61" i="2"/>
  <c r="FX61" i="2"/>
  <c r="GB61" i="2"/>
  <c r="FV61" i="2"/>
  <c r="FY61" i="2"/>
  <c r="GE61" i="2"/>
  <c r="GH60" i="2"/>
  <c r="FS60" i="2"/>
  <c r="CO60" i="2"/>
  <c r="GG60" i="2"/>
  <c r="GI60" i="2"/>
  <c r="FU60" i="2"/>
  <c r="FZ60" i="2"/>
  <c r="FY60" i="2"/>
  <c r="GE60" i="2"/>
  <c r="FV60" i="2"/>
  <c r="FX60" i="2"/>
  <c r="GA60" i="2"/>
  <c r="GC60" i="2"/>
  <c r="GK60" i="2"/>
  <c r="FW60" i="2"/>
  <c r="GJ60" i="2"/>
  <c r="FT60" i="2"/>
  <c r="GD60" i="2"/>
  <c r="GB60" i="2"/>
  <c r="GF60" i="2"/>
  <c r="AD76" i="2"/>
  <c r="Z76" i="2"/>
  <c r="AH76" i="2"/>
  <c r="AL76" i="2"/>
  <c r="L81" i="2"/>
  <c r="R81" i="2"/>
  <c r="X81" i="2"/>
  <c r="U81" i="2"/>
  <c r="AD81" i="2"/>
  <c r="O81" i="2"/>
  <c r="N76" i="2"/>
  <c r="R76" i="2"/>
  <c r="V76" i="2"/>
  <c r="C40" i="3"/>
  <c r="CO55" i="2" l="1"/>
  <c r="A57" i="2"/>
  <c r="FQ60" i="2" a="1"/>
  <c r="FQ60" i="2" s="1"/>
  <c r="FR61" i="2"/>
  <c r="FR62" i="2" s="1"/>
  <c r="CR61" i="2"/>
  <c r="F62" i="2" s="1"/>
  <c r="H76" i="2"/>
  <c r="E76" i="2"/>
  <c r="X76" i="2"/>
  <c r="AF76" i="2"/>
  <c r="AJ76" i="2"/>
  <c r="AN76" i="2"/>
  <c r="AB76" i="2"/>
  <c r="E81" i="2"/>
  <c r="L76" i="2"/>
  <c r="P76" i="2"/>
  <c r="T76" i="2"/>
  <c r="CO57" i="2" l="1"/>
  <c r="A59" i="2"/>
  <c r="FT62" i="2"/>
  <c r="GD62" i="2"/>
  <c r="FS62" i="2"/>
  <c r="GA62" i="2"/>
  <c r="GC62" i="2"/>
  <c r="FV62" i="2"/>
  <c r="FY62" i="2"/>
  <c r="GF62" i="2"/>
  <c r="GJ62" i="2"/>
  <c r="GK62" i="2"/>
  <c r="GE62" i="2"/>
  <c r="GB62" i="2"/>
  <c r="FX62" i="2"/>
  <c r="GG62" i="2"/>
  <c r="GI62" i="2"/>
  <c r="FU62" i="2"/>
  <c r="FZ62" i="2"/>
  <c r="FW62" i="2"/>
  <c r="GH62" i="2"/>
  <c r="GY61" i="2"/>
  <c r="GW61" i="2"/>
  <c r="HB61" i="2"/>
  <c r="GZ61" i="2"/>
  <c r="HA61" i="2"/>
  <c r="GX61" i="2"/>
  <c r="FZ63" i="2"/>
  <c r="GA63" i="2"/>
  <c r="GK63" i="2"/>
  <c r="GG63" i="2"/>
  <c r="FS63" i="2"/>
  <c r="GJ63" i="2"/>
  <c r="FU63" i="2"/>
  <c r="GB63" i="2"/>
  <c r="FX63" i="2"/>
  <c r="FY63" i="2"/>
  <c r="FV63" i="2"/>
  <c r="FW63" i="2"/>
  <c r="GH63" i="2"/>
  <c r="GI63" i="2"/>
  <c r="GD63" i="2"/>
  <c r="FT63" i="2"/>
  <c r="GC63" i="2"/>
  <c r="GF63" i="2"/>
  <c r="GE63" i="2"/>
  <c r="CO62" i="2"/>
  <c r="CR18" i="2"/>
  <c r="CO59" i="2" l="1"/>
  <c r="A61" i="2"/>
  <c r="FQ62" i="2" a="1"/>
  <c r="FQ62" i="2" s="1"/>
  <c r="FR63" i="2"/>
  <c r="FR64" i="2" s="1"/>
  <c r="CR63" i="2"/>
  <c r="F64" i="2" s="1"/>
  <c r="GG64" i="2"/>
  <c r="FT64" i="2"/>
  <c r="FW64" i="2"/>
  <c r="GJ64" i="2"/>
  <c r="GA64" i="2"/>
  <c r="GF64" i="2"/>
  <c r="GD64" i="2"/>
  <c r="GH64" i="2"/>
  <c r="FU64" i="2"/>
  <c r="GK64" i="2"/>
  <c r="FZ64" i="2" l="1"/>
  <c r="GC64" i="2"/>
  <c r="GE64" i="2"/>
  <c r="FS64" i="2"/>
  <c r="FX64" i="2"/>
  <c r="CO61" i="2"/>
  <c r="A63" i="2"/>
  <c r="FV64" i="2"/>
  <c r="GB64" i="2"/>
  <c r="FY64" i="2"/>
  <c r="GI64" i="2"/>
  <c r="GW63" i="2"/>
  <c r="HA63" i="2"/>
  <c r="GY63" i="2"/>
  <c r="GX63" i="2"/>
  <c r="HB63" i="2"/>
  <c r="GZ63" i="2"/>
  <c r="GJ65" i="2"/>
  <c r="GK65" i="2"/>
  <c r="FX65" i="2"/>
  <c r="FY65" i="2"/>
  <c r="GB65" i="2"/>
  <c r="FU65" i="2"/>
  <c r="FV65" i="2"/>
  <c r="FZ65" i="2"/>
  <c r="FW65" i="2"/>
  <c r="GI65" i="2"/>
  <c r="GH65" i="2"/>
  <c r="GD65" i="2"/>
  <c r="GC65" i="2"/>
  <c r="GG65" i="2"/>
  <c r="GA65" i="2"/>
  <c r="FT65" i="2"/>
  <c r="GF65" i="2"/>
  <c r="FS65" i="2"/>
  <c r="GE65" i="2"/>
  <c r="CO64" i="2"/>
  <c r="CO63" i="2" l="1"/>
  <c r="A65" i="2"/>
  <c r="FQ64" i="2" a="1"/>
  <c r="FQ64" i="2" s="1"/>
  <c r="FR65" i="2"/>
  <c r="FR66" i="2" s="1"/>
  <c r="CR65" i="2"/>
  <c r="F66" i="2" s="1"/>
  <c r="J76" i="2"/>
  <c r="S16" i="3"/>
  <c r="I81" i="2"/>
  <c r="CO65" i="2" l="1"/>
  <c r="A67" i="2"/>
  <c r="CO67" i="2" s="1"/>
  <c r="FU66" i="2"/>
  <c r="GH66" i="2"/>
  <c r="GJ66" i="2"/>
  <c r="FV66" i="2"/>
  <c r="GB66" i="2"/>
  <c r="FX66" i="2"/>
  <c r="GG66" i="2"/>
  <c r="FW66" i="2"/>
  <c r="FZ66" i="2"/>
  <c r="FY66" i="2"/>
  <c r="FS66" i="2"/>
  <c r="GC66" i="2"/>
  <c r="FT66" i="2"/>
  <c r="GK66" i="2"/>
  <c r="GI66" i="2"/>
  <c r="GA66" i="2"/>
  <c r="GF66" i="2"/>
  <c r="GD66" i="2"/>
  <c r="GE66" i="2"/>
  <c r="GY65" i="2"/>
  <c r="HA65" i="2"/>
  <c r="GX65" i="2"/>
  <c r="GZ65" i="2"/>
  <c r="GW65" i="2"/>
  <c r="HB65" i="2"/>
  <c r="FV67" i="2"/>
  <c r="FY67" i="2"/>
  <c r="GC67" i="2"/>
  <c r="FX67" i="2"/>
  <c r="GI67" i="2"/>
  <c r="FU67" i="2"/>
  <c r="GF67" i="2"/>
  <c r="GH67" i="2"/>
  <c r="GB67" i="2"/>
  <c r="GG67" i="2"/>
  <c r="FZ67" i="2"/>
  <c r="GA67" i="2"/>
  <c r="GD67" i="2"/>
  <c r="GJ67" i="2"/>
  <c r="FS67" i="2"/>
  <c r="FW67" i="2"/>
  <c r="GE67" i="2"/>
  <c r="FT67" i="2"/>
  <c r="GK67" i="2"/>
  <c r="CO66" i="2"/>
  <c r="EI13" i="2"/>
  <c r="FQ66" i="2" l="1" a="1"/>
  <c r="FQ66" i="2" s="1"/>
  <c r="FR67" i="2"/>
  <c r="FR68" i="2" s="1"/>
  <c r="CR67" i="2"/>
  <c r="F68" i="2" s="1"/>
  <c r="O13" i="2" l="1"/>
  <c r="O14" i="2" s="1"/>
  <c r="M13" i="2"/>
  <c r="M14" i="2" s="1"/>
  <c r="Q13" i="2"/>
  <c r="Q14" i="2" s="1"/>
  <c r="P13" i="2"/>
  <c r="P14" i="2" s="1"/>
  <c r="K13" i="2"/>
  <c r="K14" i="2" s="1"/>
  <c r="N13" i="2"/>
  <c r="N14" i="2" s="1"/>
  <c r="L13" i="2"/>
  <c r="L14" i="2" s="1"/>
  <c r="J13" i="2"/>
  <c r="J14" i="2" s="1"/>
  <c r="H13" i="2"/>
  <c r="H14" i="2" s="1"/>
  <c r="I13" i="2"/>
  <c r="I14" i="2" s="1"/>
  <c r="FR109" i="2"/>
  <c r="FY109" i="2"/>
  <c r="GO109" i="2"/>
  <c r="GN109" i="2"/>
  <c r="GG109" i="2"/>
  <c r="FS109" i="2"/>
  <c r="FT109" i="2"/>
  <c r="FU109" i="2"/>
  <c r="FV109" i="2"/>
  <c r="FW109" i="2"/>
  <c r="FZ109" i="2"/>
  <c r="GA109" i="2"/>
  <c r="GB109" i="2"/>
  <c r="GC109" i="2"/>
  <c r="GD109" i="2"/>
  <c r="GE109" i="2"/>
  <c r="FX109" i="2"/>
  <c r="GI109" i="2"/>
  <c r="GJ109" i="2"/>
  <c r="GK109" i="2"/>
  <c r="GL109" i="2"/>
  <c r="GM109" i="2"/>
  <c r="GP109" i="2"/>
  <c r="GQ109" i="2"/>
  <c r="GR109" i="2"/>
  <c r="GS109" i="2"/>
  <c r="GT109" i="2"/>
  <c r="GU109" i="2"/>
  <c r="GH109" i="2"/>
  <c r="GF109" i="2"/>
  <c r="GG68" i="2"/>
  <c r="FY68" i="2"/>
  <c r="GB68" i="2"/>
  <c r="GF68" i="2"/>
  <c r="FS68" i="2"/>
  <c r="GC68" i="2"/>
  <c r="GH68" i="2"/>
  <c r="GA68" i="2"/>
  <c r="GJ68" i="2"/>
  <c r="GE68" i="2"/>
  <c r="FZ68" i="2"/>
  <c r="FV68" i="2"/>
  <c r="FX68" i="2"/>
  <c r="FT68" i="2"/>
  <c r="FU68" i="2"/>
  <c r="GK68" i="2"/>
  <c r="GI68" i="2"/>
  <c r="GD68" i="2"/>
  <c r="FW68" i="2"/>
  <c r="GW67" i="2"/>
  <c r="GW17" i="2" s="1"/>
  <c r="HA67" i="2"/>
  <c r="HA17" i="2" s="1"/>
  <c r="W13" i="2" s="1"/>
  <c r="GZ67" i="2"/>
  <c r="GZ17" i="2" s="1"/>
  <c r="V13" i="2" s="1"/>
  <c r="GX67" i="2"/>
  <c r="GX17" i="2" s="1"/>
  <c r="T13" i="2" s="1"/>
  <c r="HB67" i="2"/>
  <c r="GY67" i="2"/>
  <c r="G13" i="2"/>
  <c r="CO68" i="2"/>
  <c r="GT110" i="2" l="1"/>
  <c r="GS110" i="2"/>
  <c r="GC110" i="2"/>
  <c r="GR110" i="2"/>
  <c r="GA110" i="2"/>
  <c r="GM110" i="2"/>
  <c r="GK110" i="2"/>
  <c r="GJ110" i="2"/>
  <c r="FT110" i="2"/>
  <c r="FY110" i="2"/>
  <c r="GB110" i="2"/>
  <c r="GQ110" i="2"/>
  <c r="FZ110" i="2"/>
  <c r="FW110" i="2"/>
  <c r="FV110" i="2"/>
  <c r="FU110" i="2"/>
  <c r="GI110" i="2"/>
  <c r="FS110" i="2"/>
  <c r="GH110" i="2"/>
  <c r="FX110" i="2"/>
  <c r="GG110" i="2"/>
  <c r="FR110" i="2"/>
  <c r="GP110" i="2"/>
  <c r="GL110" i="2"/>
  <c r="GF110" i="2"/>
  <c r="GU110" i="2"/>
  <c r="GE110" i="2"/>
  <c r="GN110" i="2"/>
  <c r="GD110" i="2"/>
  <c r="GO110" i="2"/>
  <c r="R14" i="2"/>
  <c r="S13" i="2"/>
  <c r="GY17" i="2"/>
  <c r="U13" i="2" s="1"/>
  <c r="FQ68" i="2" a="1"/>
  <c r="FQ68" i="2" s="1"/>
  <c r="HB17" i="2"/>
  <c r="X13" i="2" s="1"/>
  <c r="EI15" i="2"/>
  <c r="FP110" i="2" l="1"/>
  <c r="FQ110" i="2" s="1"/>
  <c r="GY15" i="2"/>
  <c r="FQ34" i="2" l="1"/>
  <c r="FP34" i="2"/>
  <c r="DD13" i="2" a="1"/>
  <c r="DD13" i="2" s="1"/>
  <c r="DD14" i="2" a="1"/>
  <c r="DD14" i="2" s="1"/>
  <c r="DD12" i="2" a="1"/>
  <c r="DD12" i="2" s="1"/>
  <c r="FQ15" i="2" l="1"/>
  <c r="F41" i="3" s="1" a="1"/>
  <c r="F41" i="3" s="1"/>
  <c r="DE14" i="2"/>
  <c r="DE13" i="2"/>
  <c r="DN15" i="2"/>
  <c r="DE12" i="2"/>
  <c r="DO15" i="2" l="1"/>
  <c r="AM81" i="2" l="1"/>
  <c r="AJ81" i="2"/>
  <c r="CO52" i="2"/>
  <c r="AP76" i="2"/>
  <c r="AG81" i="2"/>
  <c r="AO13" i="2"/>
  <c r="S41" i="3" s="1"/>
  <c r="S32" i="3"/>
  <c r="DV1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Thomas Röhss</author>
  </authors>
  <commentList>
    <comment ref="K11" authorId="0" shapeId="0" xr:uid="{A0001B12-0B2B-4072-9FB8-FD93AB0CF85F}">
      <text>
        <r>
          <rPr>
            <b/>
            <sz val="9"/>
            <color indexed="81"/>
            <rFont val="Tahoma"/>
            <family val="2"/>
          </rPr>
          <t>Thomas Röhss:</t>
        </r>
        <r>
          <rPr>
            <sz val="9"/>
            <color indexed="81"/>
            <rFont val="Tahoma"/>
            <family val="2"/>
          </rPr>
          <t xml:space="preserve">
Hybrid which must contain only one Thrust declaration and two (2) different Connection declarations</t>
        </r>
      </text>
    </comment>
    <comment ref="L11" authorId="0" shapeId="0" xr:uid="{D03B4127-FDFD-4BB0-B854-404D9B828291}">
      <text>
        <r>
          <rPr>
            <b/>
            <sz val="9"/>
            <color indexed="81"/>
            <rFont val="Tahoma"/>
            <family val="2"/>
          </rPr>
          <t>Thomas Röhss:</t>
        </r>
        <r>
          <rPr>
            <sz val="9"/>
            <color indexed="81"/>
            <rFont val="Tahoma"/>
            <family val="2"/>
          </rPr>
          <t xml:space="preserve">
Solo hybrid</t>
        </r>
      </text>
    </comment>
    <comment ref="M11" authorId="0" shapeId="0" xr:uid="{6920775C-BE6C-4F9B-90BE-90070E2A8E14}">
      <text>
        <r>
          <rPr>
            <b/>
            <sz val="9"/>
            <color indexed="81"/>
            <rFont val="Tahoma"/>
            <family val="2"/>
          </rPr>
          <t>Thomas Röhss:</t>
        </r>
        <r>
          <rPr>
            <sz val="9"/>
            <color indexed="81"/>
            <rFont val="Tahoma"/>
            <family val="2"/>
          </rPr>
          <t xml:space="preserve">
Duet hybrid</t>
        </r>
      </text>
    </comment>
    <comment ref="N11" authorId="0" shapeId="0" xr:uid="{12E972C2-B34D-41CD-A699-4CE73AB9E9B0}">
      <text>
        <r>
          <rPr>
            <b/>
            <sz val="9"/>
            <color indexed="81"/>
            <rFont val="Tahoma"/>
            <family val="2"/>
          </rPr>
          <t>Thomas Röhss:</t>
        </r>
        <r>
          <rPr>
            <sz val="9"/>
            <color indexed="81"/>
            <rFont val="Tahoma"/>
            <family val="2"/>
          </rPr>
          <t xml:space="preserve">
Team Hybrid (must be executed with a minimum of 4 athletes)</t>
        </r>
      </text>
    </comment>
    <comment ref="O11" authorId="0" shapeId="0" xr:uid="{B0473296-7610-4C48-BBE8-D1EFAE81C8FB}">
      <text>
        <r>
          <rPr>
            <b/>
            <sz val="9"/>
            <color indexed="81"/>
            <rFont val="Tahoma"/>
            <family val="2"/>
          </rPr>
          <t>Thomas Röhss:</t>
        </r>
        <r>
          <rPr>
            <sz val="9"/>
            <color indexed="81"/>
            <rFont val="Tahoma"/>
            <family val="2"/>
          </rPr>
          <t xml:space="preserve">
Team choreography hybrid (“ChoHY”) with no DD (ie factor of 1.0) must be executed with a minimum of 4 athletes</t>
        </r>
      </text>
    </comment>
    <comment ref="P11" authorId="0" shapeId="0" xr:uid="{4CF41B4E-342B-4D98-BB0C-E95A87BED65F}">
      <text>
        <r>
          <rPr>
            <b/>
            <sz val="9"/>
            <color indexed="81"/>
            <rFont val="Tahoma"/>
            <family val="2"/>
          </rPr>
          <t>Thomas Röhss:</t>
        </r>
        <r>
          <rPr>
            <sz val="9"/>
            <color indexed="81"/>
            <rFont val="Tahoma"/>
            <family val="2"/>
          </rPr>
          <t xml:space="preserve">
Additional hybrid which must include a Cadence action</t>
        </r>
      </text>
    </comment>
    <comment ref="Q11" authorId="0" shapeId="0" xr:uid="{25DDA953-95D9-44E1-B31D-ECD0E57C098A}">
      <text>
        <r>
          <rPr>
            <b/>
            <sz val="9"/>
            <color indexed="81"/>
            <rFont val="Tahoma"/>
            <family val="2"/>
          </rPr>
          <t>Thomas Röhss:</t>
        </r>
        <r>
          <rPr>
            <sz val="9"/>
            <color indexed="81"/>
            <rFont val="Tahoma"/>
            <family val="2"/>
          </rPr>
          <t xml:space="preserve">
Sustained Surface Connections (“SuCon”) with travel (1m or more) or rotation (180o or more)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<sst xmlns="http://schemas.openxmlformats.org/spreadsheetml/2006/main" count="6091" uniqueCount="2456">
  <si>
    <t>COACH CARD</t>
  </si>
  <si>
    <t>Competition:</t>
  </si>
  <si>
    <t>Event:</t>
  </si>
  <si>
    <t>Male Solo Technical</t>
  </si>
  <si>
    <t>Age group:</t>
  </si>
  <si>
    <t>Seniors 15 -&gt;</t>
  </si>
  <si>
    <t>Name of Competitor(s):</t>
  </si>
  <si>
    <t>ELEMENTS IN ORDER OF PERFORMANCE</t>
  </si>
  <si>
    <t>Events</t>
  </si>
  <si>
    <t>Male Solo Free</t>
  </si>
  <si>
    <t>Mixed Duet Technical</t>
  </si>
  <si>
    <t>Mixed Duet Free</t>
  </si>
  <si>
    <t>Acrobatic</t>
  </si>
  <si>
    <t>Age Group</t>
  </si>
  <si>
    <t>12 and under</t>
  </si>
  <si>
    <t>Parts</t>
  </si>
  <si>
    <t>Hybrid</t>
  </si>
  <si>
    <t>Technical Required Element</t>
  </si>
  <si>
    <t>Transition</t>
  </si>
  <si>
    <t>Hybrids</t>
  </si>
  <si>
    <t>TRE</t>
  </si>
  <si>
    <t>Technical</t>
  </si>
  <si>
    <t>Group 1/2</t>
  </si>
  <si>
    <t>Event / Age group</t>
  </si>
  <si>
    <t>Male Solo Free / 12 and under</t>
  </si>
  <si>
    <t>Mixed Duet Free / 12 and under</t>
  </si>
  <si>
    <t>Male Solo Technical / Seniors 15 -&gt;</t>
  </si>
  <si>
    <t>Male Solo Free / Seniors 15 -&gt;</t>
  </si>
  <si>
    <t>Mixed Duet Technical / Seniors 15 -&gt;</t>
  </si>
  <si>
    <t>Mixed Duet Free / Seniors 15 -&gt;</t>
  </si>
  <si>
    <t>Conn.Hybrid</t>
  </si>
  <si>
    <t>Conn.Mov.</t>
  </si>
  <si>
    <t>Thrust Hyb</t>
  </si>
  <si>
    <t>Solo hyb</t>
  </si>
  <si>
    <t>720 hyb</t>
  </si>
  <si>
    <t>Duet hyb</t>
  </si>
  <si>
    <t>Time start</t>
  </si>
  <si>
    <t>Time end</t>
  </si>
  <si>
    <t>Min</t>
  </si>
  <si>
    <t>Sec</t>
  </si>
  <si>
    <t>Part</t>
  </si>
  <si>
    <t>Variant</t>
  </si>
  <si>
    <t>H15</t>
  </si>
  <si>
    <t>H15:I15</t>
  </si>
  <si>
    <t>I15</t>
  </si>
  <si>
    <t>Elements to use</t>
  </si>
  <si>
    <t>Used elements</t>
  </si>
  <si>
    <t>Trans.</t>
  </si>
  <si>
    <t>Conn.M</t>
  </si>
  <si>
    <t>Time</t>
  </si>
  <si>
    <t>Total time:</t>
  </si>
  <si>
    <t>Element
number</t>
  </si>
  <si>
    <t>Total</t>
  </si>
  <si>
    <t>Sum</t>
  </si>
  <si>
    <t>Routine total:</t>
  </si>
  <si>
    <t>DECLARED DIFFICULTY</t>
  </si>
  <si>
    <t>T1</t>
  </si>
  <si>
    <t>T2</t>
  </si>
  <si>
    <t>T7</t>
  </si>
  <si>
    <t>T8</t>
  </si>
  <si>
    <t>R1</t>
  </si>
  <si>
    <t>R2</t>
  </si>
  <si>
    <t>R3</t>
  </si>
  <si>
    <t>R4</t>
  </si>
  <si>
    <t>C3</t>
  </si>
  <si>
    <t>C4</t>
  </si>
  <si>
    <t>C5</t>
  </si>
  <si>
    <t>DD code</t>
  </si>
  <si>
    <t>DD value</t>
  </si>
  <si>
    <t>Bonus code</t>
  </si>
  <si>
    <t>Bonus value</t>
  </si>
  <si>
    <t>TRE code</t>
  </si>
  <si>
    <t>TRE value</t>
  </si>
  <si>
    <t>1a</t>
  </si>
  <si>
    <t>Solo</t>
  </si>
  <si>
    <t>Duet</t>
  </si>
  <si>
    <t>Mixed</t>
  </si>
  <si>
    <t>Team</t>
  </si>
  <si>
    <t>1b</t>
  </si>
  <si>
    <t>2a</t>
  </si>
  <si>
    <t>2b</t>
  </si>
  <si>
    <t>4a</t>
  </si>
  <si>
    <t>4b</t>
  </si>
  <si>
    <t>5a</t>
  </si>
  <si>
    <t>5b</t>
  </si>
  <si>
    <t>3a</t>
  </si>
  <si>
    <t>3b</t>
  </si>
  <si>
    <t>1PC</t>
  </si>
  <si>
    <t>2PC</t>
  </si>
  <si>
    <t>3PC</t>
  </si>
  <si>
    <t>4PC</t>
  </si>
  <si>
    <t>5PC</t>
  </si>
  <si>
    <t>6PC</t>
  </si>
  <si>
    <t>L-value</t>
  </si>
  <si>
    <t>L-code</t>
  </si>
  <si>
    <t>L</t>
  </si>
  <si>
    <t>L!</t>
  </si>
  <si>
    <t>SL&gt;</t>
  </si>
  <si>
    <t>L!f</t>
  </si>
  <si>
    <t>SL!&gt;</t>
  </si>
  <si>
    <t>Lr1</t>
  </si>
  <si>
    <t>J</t>
  </si>
  <si>
    <t>L!r1</t>
  </si>
  <si>
    <t>SL!f&gt;</t>
  </si>
  <si>
    <t>Jf</t>
  </si>
  <si>
    <t>L!fr1</t>
  </si>
  <si>
    <t>W!f</t>
  </si>
  <si>
    <t>Jd</t>
  </si>
  <si>
    <t>W!fr1</t>
  </si>
  <si>
    <t>W!s1F</t>
  </si>
  <si>
    <t>A-code</t>
  </si>
  <si>
    <t>A-value</t>
  </si>
  <si>
    <t>AJ</t>
  </si>
  <si>
    <t>AW</t>
  </si>
  <si>
    <t>Team AJ/AW</t>
  </si>
  <si>
    <t>Surf</t>
  </si>
  <si>
    <t>BS</t>
  </si>
  <si>
    <t>BL</t>
  </si>
  <si>
    <t>Team BS/BL</t>
  </si>
  <si>
    <t>B-code</t>
  </si>
  <si>
    <t>B-value</t>
  </si>
  <si>
    <t>St</t>
  </si>
  <si>
    <t>Team CO/CT/CC</t>
  </si>
  <si>
    <t>C-code</t>
  </si>
  <si>
    <t>C-value</t>
  </si>
  <si>
    <t>CO</t>
  </si>
  <si>
    <t>CT</t>
  </si>
  <si>
    <t>CC</t>
  </si>
  <si>
    <t>Thr~St</t>
  </si>
  <si>
    <t>Team PP/PF</t>
  </si>
  <si>
    <t>P-code</t>
  </si>
  <si>
    <t>P-value</t>
  </si>
  <si>
    <t>PP</t>
  </si>
  <si>
    <t>PF</t>
  </si>
  <si>
    <t>P</t>
  </si>
  <si>
    <t>p</t>
  </si>
  <si>
    <t>Knees</t>
  </si>
  <si>
    <t>B</t>
  </si>
  <si>
    <t>DB</t>
  </si>
  <si>
    <t>a</t>
  </si>
  <si>
    <t>Chariot</t>
  </si>
  <si>
    <t>Box</t>
  </si>
  <si>
    <t>2SupB</t>
  </si>
  <si>
    <t>2SupBB</t>
  </si>
  <si>
    <t>2Sup</t>
  </si>
  <si>
    <t>Triangle</t>
  </si>
  <si>
    <t>Rhombus</t>
  </si>
  <si>
    <t>Star</t>
  </si>
  <si>
    <t>Star6</t>
  </si>
  <si>
    <t>Star7</t>
  </si>
  <si>
    <t>Hand</t>
  </si>
  <si>
    <t>(2)</t>
  </si>
  <si>
    <t>Compass</t>
  </si>
  <si>
    <t>hand</t>
  </si>
  <si>
    <t>Fo</t>
  </si>
  <si>
    <t>Carp</t>
  </si>
  <si>
    <t>Carp4</t>
  </si>
  <si>
    <t>P4l</t>
  </si>
  <si>
    <t>'&gt;StSh&gt;</t>
  </si>
  <si>
    <t>‘&gt;’H&gt;</t>
  </si>
  <si>
    <t>‘~St&gt;</t>
  </si>
  <si>
    <t>‘&gt;Stsh</t>
  </si>
  <si>
    <t>‘~St</t>
  </si>
  <si>
    <t>‘~St*</t>
  </si>
  <si>
    <t>‘&gt;StH&gt;</t>
  </si>
  <si>
    <t>‘&gt;’&gt;</t>
  </si>
  <si>
    <t>Thr&gt;PP&gt;</t>
  </si>
  <si>
    <t>‘&gt;P&gt;</t>
  </si>
  <si>
    <t>Thr&gt;Pb₃&gt;</t>
  </si>
  <si>
    <t>Roll&gt;P&gt;</t>
  </si>
  <si>
    <t>St&gt;Stp</t>
  </si>
  <si>
    <t>Thr&gt;StH</t>
  </si>
  <si>
    <t>‘↷L</t>
  </si>
  <si>
    <t>St&gt;’H&gt;</t>
  </si>
  <si>
    <t>‘&gt;StSt&gt;</t>
  </si>
  <si>
    <t>Thr&gt;P</t>
  </si>
  <si>
    <t>L’</t>
  </si>
  <si>
    <t>St+Thr(2)</t>
  </si>
  <si>
    <t>Sn</t>
  </si>
  <si>
    <t>SnH</t>
  </si>
  <si>
    <t>St&gt;St&gt;</t>
  </si>
  <si>
    <t>St’’</t>
  </si>
  <si>
    <t>‘&gt;Stm</t>
  </si>
  <si>
    <t>Thr~St&gt;</t>
  </si>
  <si>
    <t>&gt;HandSurf&gt;</t>
  </si>
  <si>
    <t>‘&gt;L&gt;</t>
  </si>
  <si>
    <t>Toss&gt;hand&gt;</t>
  </si>
  <si>
    <t>Thr&gt;3head&gt;</t>
  </si>
  <si>
    <t>(2)Thr &gt;hand&gt;</t>
  </si>
  <si>
    <t>Thr&gt;Pb²&gt;</t>
  </si>
  <si>
    <t>‘&gt;Stp</t>
  </si>
  <si>
    <t>L&gt;hand</t>
  </si>
  <si>
    <t>st</t>
  </si>
  <si>
    <t>StH</t>
  </si>
  <si>
    <t>stH</t>
  </si>
  <si>
    <t>StH’</t>
  </si>
  <si>
    <t>StH’’</t>
  </si>
  <si>
    <t>StHt</t>
  </si>
  <si>
    <t>St’</t>
  </si>
  <si>
    <t>St’’Hp</t>
  </si>
  <si>
    <t>St’’Hc</t>
  </si>
  <si>
    <t>2SupH</t>
  </si>
  <si>
    <t>2mSup</t>
  </si>
  <si>
    <t>Ꞁ</t>
  </si>
  <si>
    <t>StH’’’</t>
  </si>
  <si>
    <t>Lh</t>
  </si>
  <si>
    <t>LM</t>
  </si>
  <si>
    <t>Lmu</t>
  </si>
  <si>
    <t>L(2)</t>
  </si>
  <si>
    <t>Lh(2)</t>
  </si>
  <si>
    <t>L’’</t>
  </si>
  <si>
    <t>LMp</t>
  </si>
  <si>
    <t>LSurf</t>
  </si>
  <si>
    <t>L»</t>
  </si>
  <si>
    <t>2Sup»</t>
  </si>
  <si>
    <t>Lh²*</t>
  </si>
  <si>
    <t>St»</t>
  </si>
  <si>
    <t>Trin</t>
  </si>
  <si>
    <t>St’’Hs</t>
  </si>
  <si>
    <t>Forw</t>
  </si>
  <si>
    <t>Back</t>
  </si>
  <si>
    <t>FORW</t>
  </si>
  <si>
    <t>Side</t>
  </si>
  <si>
    <t>Up</t>
  </si>
  <si>
    <t>Rev</t>
  </si>
  <si>
    <t>SiA</t>
  </si>
  <si>
    <t>F2A</t>
  </si>
  <si>
    <t>3pA</t>
  </si>
  <si>
    <t>3pA/</t>
  </si>
  <si>
    <t>FA</t>
  </si>
  <si>
    <t>HA</t>
  </si>
  <si>
    <t>Go</t>
  </si>
  <si>
    <t>H+L</t>
  </si>
  <si>
    <t>AA</t>
  </si>
  <si>
    <t>FP+FK</t>
  </si>
  <si>
    <t>SP+K</t>
  </si>
  <si>
    <t>AK/</t>
  </si>
  <si>
    <t>Br1K</t>
  </si>
  <si>
    <t>3pK/</t>
  </si>
  <si>
    <t>F2Ɔb</t>
  </si>
  <si>
    <t>F2Ɔ+H</t>
  </si>
  <si>
    <t>YY</t>
  </si>
  <si>
    <t>SiF+FB</t>
  </si>
  <si>
    <t>FA+PF</t>
  </si>
  <si>
    <t>SiF+FP</t>
  </si>
  <si>
    <t>SiF/</t>
  </si>
  <si>
    <t>BF+Le</t>
  </si>
  <si>
    <t>SP+L</t>
  </si>
  <si>
    <t>SP+KF</t>
  </si>
  <si>
    <t>F2A+PF</t>
  </si>
  <si>
    <t>4pF/</t>
  </si>
  <si>
    <t>SiFb/</t>
  </si>
  <si>
    <t>PF+FP</t>
  </si>
  <si>
    <t>SF/</t>
  </si>
  <si>
    <t>PL+LP</t>
  </si>
  <si>
    <t>PA3*</t>
  </si>
  <si>
    <t>4pA3*</t>
  </si>
  <si>
    <t>BrH</t>
  </si>
  <si>
    <t>3pH</t>
  </si>
  <si>
    <t>ShH</t>
  </si>
  <si>
    <t>F2H</t>
  </si>
  <si>
    <t>AH</t>
  </si>
  <si>
    <t>3pA2</t>
  </si>
  <si>
    <t>Br1A2</t>
  </si>
  <si>
    <t>FA2+PF</t>
  </si>
  <si>
    <t>F2A2+PF</t>
  </si>
  <si>
    <t>FB2+PF+KF</t>
  </si>
  <si>
    <t>F2B2+PF+PF</t>
  </si>
  <si>
    <t>F2A2</t>
  </si>
  <si>
    <t>4pA2</t>
  </si>
  <si>
    <t>FSh</t>
  </si>
  <si>
    <t>SiSh</t>
  </si>
  <si>
    <t>2LSh</t>
  </si>
  <si>
    <t>F1H</t>
  </si>
  <si>
    <t>ps</t>
  </si>
  <si>
    <t>psl</t>
  </si>
  <si>
    <t>PPx</t>
  </si>
  <si>
    <t>FPx</t>
  </si>
  <si>
    <t>FP</t>
  </si>
  <si>
    <t>FF</t>
  </si>
  <si>
    <t>SiSb</t>
  </si>
  <si>
    <t>Bp</t>
  </si>
  <si>
    <t>ShF</t>
  </si>
  <si>
    <t>E</t>
  </si>
  <si>
    <t>I</t>
  </si>
  <si>
    <t>PH/</t>
  </si>
  <si>
    <t>Li4H</t>
  </si>
  <si>
    <t>W</t>
  </si>
  <si>
    <t>Py</t>
  </si>
  <si>
    <t>AP</t>
  </si>
  <si>
    <t>ShF*</t>
  </si>
  <si>
    <t>Su</t>
  </si>
  <si>
    <t>Ta</t>
  </si>
  <si>
    <t>SiS</t>
  </si>
  <si>
    <t>F1S</t>
  </si>
  <si>
    <t>FS</t>
  </si>
  <si>
    <t>F1S/</t>
  </si>
  <si>
    <t>Le</t>
  </si>
  <si>
    <t>Li</t>
  </si>
  <si>
    <t>Ch</t>
  </si>
  <si>
    <t>Tw</t>
  </si>
  <si>
    <t>Tw*</t>
  </si>
  <si>
    <t>AV</t>
  </si>
  <si>
    <t>AF*</t>
  </si>
  <si>
    <t>SpSp</t>
  </si>
  <si>
    <t>SiF</t>
  </si>
  <si>
    <t>BBb</t>
  </si>
  <si>
    <t>Li*</t>
  </si>
  <si>
    <t>SiV</t>
  </si>
  <si>
    <t>AP/</t>
  </si>
  <si>
    <t>PH*</t>
  </si>
  <si>
    <t>FHP/</t>
  </si>
  <si>
    <t>FF*</t>
  </si>
  <si>
    <t>AL/</t>
  </si>
  <si>
    <t>FP*</t>
  </si>
  <si>
    <t>SiF*</t>
  </si>
  <si>
    <t>AP\</t>
  </si>
  <si>
    <t>ld</t>
  </si>
  <si>
    <t>he</t>
  </si>
  <si>
    <t>2he</t>
  </si>
  <si>
    <t>cr</t>
  </si>
  <si>
    <t>2cr</t>
  </si>
  <si>
    <t>kr</t>
  </si>
  <si>
    <t>vs</t>
  </si>
  <si>
    <t>2kr</t>
  </si>
  <si>
    <t>2vs</t>
  </si>
  <si>
    <t>sw</t>
  </si>
  <si>
    <t>2sw</t>
  </si>
  <si>
    <t>gl</t>
  </si>
  <si>
    <t>2gl</t>
  </si>
  <si>
    <t>ba</t>
  </si>
  <si>
    <t>2ba</t>
  </si>
  <si>
    <t>ea</t>
  </si>
  <si>
    <t>2ea</t>
  </si>
  <si>
    <t>sa</t>
  </si>
  <si>
    <t>2sa</t>
  </si>
  <si>
    <t>ne</t>
  </si>
  <si>
    <t>2ne</t>
  </si>
  <si>
    <t>ey</t>
  </si>
  <si>
    <t>2ey</t>
  </si>
  <si>
    <t>ln</t>
  </si>
  <si>
    <t>2ln</t>
  </si>
  <si>
    <t>do</t>
  </si>
  <si>
    <t>2do</t>
  </si>
  <si>
    <t>si</t>
  </si>
  <si>
    <t>2si</t>
  </si>
  <si>
    <t>mo</t>
  </si>
  <si>
    <t>2mo</t>
  </si>
  <si>
    <t>sh</t>
  </si>
  <si>
    <t>2sh</t>
  </si>
  <si>
    <t>spl</t>
  </si>
  <si>
    <t>pe</t>
  </si>
  <si>
    <t>2pe</t>
  </si>
  <si>
    <t>cd</t>
  </si>
  <si>
    <t>2cd</t>
  </si>
  <si>
    <t>sc</t>
  </si>
  <si>
    <t>2sc</t>
  </si>
  <si>
    <t>pt</t>
  </si>
  <si>
    <t>2pt</t>
  </si>
  <si>
    <t>co</t>
  </si>
  <si>
    <t>2co</t>
  </si>
  <si>
    <t>mr</t>
  </si>
  <si>
    <t>2mr</t>
  </si>
  <si>
    <t>sb</t>
  </si>
  <si>
    <t>2sb</t>
  </si>
  <si>
    <t>bi</t>
  </si>
  <si>
    <t>2bi</t>
  </si>
  <si>
    <t>fl</t>
  </si>
  <si>
    <t>2fl</t>
  </si>
  <si>
    <t>so</t>
  </si>
  <si>
    <t>2so</t>
  </si>
  <si>
    <t>tu</t>
  </si>
  <si>
    <t>2tu</t>
  </si>
  <si>
    <t>se</t>
  </si>
  <si>
    <t>2se</t>
  </si>
  <si>
    <t>ro</t>
  </si>
  <si>
    <t>2ro</t>
  </si>
  <si>
    <t>lp</t>
  </si>
  <si>
    <t>2lp</t>
  </si>
  <si>
    <t>bo</t>
  </si>
  <si>
    <t>2bo</t>
  </si>
  <si>
    <t>bb</t>
  </si>
  <si>
    <t>2bb</t>
  </si>
  <si>
    <t>kn</t>
  </si>
  <si>
    <t>2kn</t>
  </si>
  <si>
    <t>be</t>
  </si>
  <si>
    <t>2be</t>
  </si>
  <si>
    <t>to</t>
  </si>
  <si>
    <t>2to</t>
  </si>
  <si>
    <t>ow</t>
  </si>
  <si>
    <t>2ow</t>
  </si>
  <si>
    <t>br</t>
  </si>
  <si>
    <t>2br</t>
  </si>
  <si>
    <t>dr</t>
  </si>
  <si>
    <t>2dr</t>
  </si>
  <si>
    <t>qu</t>
  </si>
  <si>
    <t>2qu</t>
  </si>
  <si>
    <t>Thr</t>
  </si>
  <si>
    <t>Shou</t>
  </si>
  <si>
    <t>Sho</t>
  </si>
  <si>
    <t>Feet</t>
  </si>
  <si>
    <t>Sq</t>
  </si>
  <si>
    <t>2Form</t>
  </si>
  <si>
    <t>2Sup’</t>
  </si>
  <si>
    <t>Tripl</t>
  </si>
  <si>
    <t>3Pair</t>
  </si>
  <si>
    <t>surf</t>
  </si>
  <si>
    <t>feet</t>
  </si>
  <si>
    <t>ki</t>
  </si>
  <si>
    <t>2ki</t>
  </si>
  <si>
    <t>tk</t>
  </si>
  <si>
    <t>2tk</t>
  </si>
  <si>
    <t>pa</t>
  </si>
  <si>
    <t>2pa</t>
  </si>
  <si>
    <t>nj</t>
  </si>
  <si>
    <t>2nj</t>
  </si>
  <si>
    <t>pk</t>
  </si>
  <si>
    <t>2pk</t>
  </si>
  <si>
    <t>mn</t>
  </si>
  <si>
    <t>2mn</t>
  </si>
  <si>
    <t>sp</t>
  </si>
  <si>
    <t>2sp</t>
  </si>
  <si>
    <t>ar</t>
  </si>
  <si>
    <t>2ar</t>
  </si>
  <si>
    <t>kt</t>
  </si>
  <si>
    <t>2kt</t>
  </si>
  <si>
    <t>ma</t>
  </si>
  <si>
    <t>2ma</t>
  </si>
  <si>
    <t>ja</t>
  </si>
  <si>
    <t>2ja</t>
  </si>
  <si>
    <t>rg</t>
  </si>
  <si>
    <t>2rg</t>
  </si>
  <si>
    <t>T0,5</t>
  </si>
  <si>
    <t>T1,5</t>
  </si>
  <si>
    <t>t0,5</t>
  </si>
  <si>
    <t>t1</t>
  </si>
  <si>
    <t>t1,5</t>
  </si>
  <si>
    <t>t2</t>
  </si>
  <si>
    <t>s0,5</t>
  </si>
  <si>
    <t>S0,5</t>
  </si>
  <si>
    <t>s1</t>
  </si>
  <si>
    <t>s1,5</t>
  </si>
  <si>
    <t>s2</t>
  </si>
  <si>
    <t>s2,5</t>
  </si>
  <si>
    <t>s3</t>
  </si>
  <si>
    <t>h</t>
  </si>
  <si>
    <t>f1</t>
  </si>
  <si>
    <t>f1,5</t>
  </si>
  <si>
    <t>f2</t>
  </si>
  <si>
    <t>c</t>
  </si>
  <si>
    <t>d</t>
  </si>
  <si>
    <t>dt0,5</t>
  </si>
  <si>
    <t>dt1,5</t>
  </si>
  <si>
    <t>S0,5t0,5</t>
  </si>
  <si>
    <t>s1t0,5</t>
  </si>
  <si>
    <t>s1t1</t>
  </si>
  <si>
    <t>s1t1,5</t>
  </si>
  <si>
    <t>s1t2</t>
  </si>
  <si>
    <t>s1t2,5</t>
  </si>
  <si>
    <t>s2t0,5</t>
  </si>
  <si>
    <t>s2t1</t>
  </si>
  <si>
    <t>u1</t>
  </si>
  <si>
    <t>u2</t>
  </si>
  <si>
    <t>u3</t>
  </si>
  <si>
    <t>u4</t>
  </si>
  <si>
    <t>u5</t>
  </si>
  <si>
    <t>u6</t>
  </si>
  <si>
    <t>u7</t>
  </si>
  <si>
    <t>u8</t>
  </si>
  <si>
    <t>u9</t>
  </si>
  <si>
    <t>u10</t>
  </si>
  <si>
    <t>u11</t>
  </si>
  <si>
    <t>u12</t>
  </si>
  <si>
    <t>u13</t>
  </si>
  <si>
    <t>u14</t>
  </si>
  <si>
    <t>u15</t>
  </si>
  <si>
    <t>u16</t>
  </si>
  <si>
    <t>r0,5</t>
  </si>
  <si>
    <t>R0,5</t>
  </si>
  <si>
    <t>r0,5*</t>
  </si>
  <si>
    <t>r0,5!</t>
  </si>
  <si>
    <t>r0,5L</t>
  </si>
  <si>
    <t>r1</t>
  </si>
  <si>
    <t>r1*</t>
  </si>
  <si>
    <t>r1!</t>
  </si>
  <si>
    <t>r1L</t>
  </si>
  <si>
    <t>r1,5</t>
  </si>
  <si>
    <t>R1,5</t>
  </si>
  <si>
    <t>r1,5!</t>
  </si>
  <si>
    <t>r2</t>
  </si>
  <si>
    <t>r2*</t>
  </si>
  <si>
    <t>w1</t>
  </si>
  <si>
    <t>w2</t>
  </si>
  <si>
    <t>w3</t>
  </si>
  <si>
    <t>w4</t>
  </si>
  <si>
    <t>w5</t>
  </si>
  <si>
    <t>w6</t>
  </si>
  <si>
    <t>w7</t>
  </si>
  <si>
    <t>w8</t>
  </si>
  <si>
    <t>w9</t>
  </si>
  <si>
    <t>w10</t>
  </si>
  <si>
    <t>w11</t>
  </si>
  <si>
    <t>w12</t>
  </si>
  <si>
    <t>w13</t>
  </si>
  <si>
    <t>w14</t>
  </si>
  <si>
    <t>w15</t>
  </si>
  <si>
    <t>y1</t>
  </si>
  <si>
    <t>y2</t>
  </si>
  <si>
    <t>y3</t>
  </si>
  <si>
    <t>y4</t>
  </si>
  <si>
    <t>y5</t>
  </si>
  <si>
    <t>y6</t>
  </si>
  <si>
    <t>y7</t>
  </si>
  <si>
    <t>y8</t>
  </si>
  <si>
    <t>y9</t>
  </si>
  <si>
    <t>y10</t>
  </si>
  <si>
    <t>y11</t>
  </si>
  <si>
    <t>y12</t>
  </si>
  <si>
    <t>y13</t>
  </si>
  <si>
    <t>y14</t>
  </si>
  <si>
    <t>y15</t>
  </si>
  <si>
    <t>R/</t>
  </si>
  <si>
    <t>R/*</t>
  </si>
  <si>
    <t>R/l</t>
  </si>
  <si>
    <t>R0,5h</t>
  </si>
  <si>
    <t>R0,5l</t>
  </si>
  <si>
    <t>R1*</t>
  </si>
  <si>
    <t>R1h</t>
  </si>
  <si>
    <t>j1</t>
  </si>
  <si>
    <t>j2</t>
  </si>
  <si>
    <t>j3</t>
  </si>
  <si>
    <t>j4</t>
  </si>
  <si>
    <t>j5</t>
  </si>
  <si>
    <t>j6</t>
  </si>
  <si>
    <t>j7</t>
  </si>
  <si>
    <t>j8</t>
  </si>
  <si>
    <t>j9</t>
  </si>
  <si>
    <t>j10</t>
  </si>
  <si>
    <t>j11</t>
  </si>
  <si>
    <t>j12</t>
  </si>
  <si>
    <t>j13</t>
  </si>
  <si>
    <t>j14</t>
  </si>
  <si>
    <t>j15</t>
  </si>
  <si>
    <t>j16</t>
  </si>
  <si>
    <t>j17</t>
  </si>
  <si>
    <t>j18</t>
  </si>
  <si>
    <t>j19</t>
  </si>
  <si>
    <t>j20</t>
  </si>
  <si>
    <t>j21</t>
  </si>
  <si>
    <t>j22</t>
  </si>
  <si>
    <t>j23</t>
  </si>
  <si>
    <t>j24</t>
  </si>
  <si>
    <t>j25</t>
  </si>
  <si>
    <t>r/L</t>
  </si>
  <si>
    <t>Acrobatic Airborn</t>
  </si>
  <si>
    <t>Acrobatic Combined</t>
  </si>
  <si>
    <t>Acrobatic Platform</t>
  </si>
  <si>
    <t>Hybrid - Duet</t>
  </si>
  <si>
    <t>Hybrid - Solo</t>
  </si>
  <si>
    <t>DD-J</t>
  </si>
  <si>
    <t>DD-K</t>
  </si>
  <si>
    <t>DD-L</t>
  </si>
  <si>
    <t>DD-M</t>
  </si>
  <si>
    <t>DD-N</t>
  </si>
  <si>
    <t>DD-O</t>
  </si>
  <si>
    <t>DD-P</t>
  </si>
  <si>
    <t>DD-Q</t>
  </si>
  <si>
    <t>DD-R</t>
  </si>
  <si>
    <t>Last
(X)</t>
  </si>
  <si>
    <t>pi</t>
  </si>
  <si>
    <t>2pi</t>
  </si>
  <si>
    <t>wi</t>
  </si>
  <si>
    <t>2wi</t>
  </si>
  <si>
    <t>2ld</t>
  </si>
  <si>
    <t>2spl</t>
  </si>
  <si>
    <t>Saftey limit</t>
  </si>
  <si>
    <t>Acrobatic Balance</t>
  </si>
  <si>
    <t>H.Thrust</t>
  </si>
  <si>
    <t>H.Solo</t>
  </si>
  <si>
    <t>H.Duet</t>
  </si>
  <si>
    <t>N</t>
  </si>
  <si>
    <t>Y</t>
  </si>
  <si>
    <t>Technical:</t>
  </si>
  <si>
    <t>Free:</t>
  </si>
  <si>
    <t>Elem.1</t>
  </si>
  <si>
    <t>H/T/A</t>
  </si>
  <si>
    <t>B.M.</t>
  </si>
  <si>
    <t>Value</t>
  </si>
  <si>
    <t>Elem.2</t>
  </si>
  <si>
    <t>Elem.3</t>
  </si>
  <si>
    <t>Elem.4</t>
  </si>
  <si>
    <t>Elem.5</t>
  </si>
  <si>
    <t>Elem.6</t>
  </si>
  <si>
    <t>Elem.7</t>
  </si>
  <si>
    <t>Elem.8</t>
  </si>
  <si>
    <t>Elem.9</t>
  </si>
  <si>
    <t>Elem.10</t>
  </si>
  <si>
    <t>Elem.11</t>
  </si>
  <si>
    <t>ThrSt</t>
  </si>
  <si>
    <t>‘St&gt;</t>
  </si>
  <si>
    <t>‘St</t>
  </si>
  <si>
    <t>Thr↷L</t>
  </si>
  <si>
    <t>Thr&gt;hand&gt;</t>
  </si>
  <si>
    <t>Thr&gt;base&gt;</t>
  </si>
  <si>
    <t>ThrSt&gt;</t>
  </si>
  <si>
    <r>
      <rPr>
        <b/>
        <sz val="8"/>
        <rFont val="Tahoma"/>
        <family val="2"/>
      </rPr>
      <t>Competition:</t>
    </r>
  </si>
  <si>
    <r>
      <rPr>
        <b/>
        <sz val="8"/>
        <rFont val="Tahoma"/>
        <family val="2"/>
      </rPr>
      <t>Event:</t>
    </r>
  </si>
  <si>
    <t xml:space="preserve">  PRELIMS</t>
  </si>
  <si>
    <t xml:space="preserve">  FINALS</t>
  </si>
  <si>
    <r>
      <rPr>
        <b/>
        <sz val="8"/>
        <rFont val="Tahoma"/>
        <family val="2"/>
      </rPr>
      <t>Theme:</t>
    </r>
  </si>
  <si>
    <r>
      <rPr>
        <b/>
        <sz val="8"/>
        <rFont val="Tahoma"/>
        <family val="2"/>
      </rPr>
      <t>Name of competitor(s):</t>
    </r>
  </si>
  <si>
    <r>
      <rPr>
        <b/>
        <sz val="8"/>
        <rFont val="Tahoma"/>
        <family val="2"/>
      </rPr>
      <t>ELEMENTS IN ORDER OF PERFORMANCE</t>
    </r>
  </si>
  <si>
    <r>
      <rPr>
        <b/>
        <sz val="8"/>
        <rFont val="Tahoma"/>
        <family val="2"/>
      </rPr>
      <t>TIME</t>
    </r>
  </si>
  <si>
    <r>
      <rPr>
        <b/>
        <sz val="8"/>
        <rFont val="Tahoma"/>
        <family val="2"/>
      </rPr>
      <t>PART</t>
    </r>
  </si>
  <si>
    <r>
      <rPr>
        <b/>
        <sz val="8"/>
        <rFont val="Tahoma"/>
        <family val="2"/>
      </rPr>
      <t>EL</t>
    </r>
  </si>
  <si>
    <r>
      <rPr>
        <b/>
        <sz val="8"/>
        <rFont val="Tahoma"/>
        <family val="2"/>
      </rPr>
      <t>BASE MARK</t>
    </r>
  </si>
  <si>
    <r>
      <rPr>
        <b/>
        <sz val="8"/>
        <rFont val="Tahoma"/>
        <family val="2"/>
      </rPr>
      <t>DECLARED DIFFICULTY</t>
    </r>
  </si>
  <si>
    <r>
      <rPr>
        <b/>
        <sz val="8"/>
        <rFont val="Tahoma"/>
        <family val="2"/>
      </rPr>
      <t>DD</t>
    </r>
  </si>
  <si>
    <t>Theme:</t>
  </si>
  <si>
    <t>Prelim:</t>
  </si>
  <si>
    <t>Final:</t>
  </si>
  <si>
    <t>Total DD:</t>
  </si>
  <si>
    <t>__________________________________________________</t>
  </si>
  <si>
    <t>__________________________________________________________________________</t>
  </si>
  <si>
    <t>__________________________</t>
  </si>
  <si>
    <t xml:space="preserve">Signature: </t>
  </si>
  <si>
    <t xml:space="preserve">Date: </t>
  </si>
  <si>
    <r>
      <rPr>
        <b/>
        <sz val="48"/>
        <color rgb="FF0182C5"/>
        <rFont val="Calibri"/>
        <family val="2"/>
      </rPr>
      <t>COACH CARD</t>
    </r>
  </si>
  <si>
    <t>F</t>
  </si>
  <si>
    <t>C</t>
  </si>
  <si>
    <t>C3+</t>
  </si>
  <si>
    <t>C4+</t>
  </si>
  <si>
    <t>C5+</t>
  </si>
  <si>
    <t>TC</t>
  </si>
  <si>
    <t>Sweden</t>
  </si>
  <si>
    <t>Afghanistan - AFG</t>
  </si>
  <si>
    <t>Albania - ALB</t>
  </si>
  <si>
    <t>Algeria - ALG</t>
  </si>
  <si>
    <t>American Samoa - ASA</t>
  </si>
  <si>
    <t>Andorra - AND</t>
  </si>
  <si>
    <t>Angola - ANG</t>
  </si>
  <si>
    <t>Anguilla - AGU</t>
  </si>
  <si>
    <t>Antigua and Barbuda - ANT</t>
  </si>
  <si>
    <t>Argentina - ARG</t>
  </si>
  <si>
    <t>Armenia - ARM</t>
  </si>
  <si>
    <t>Aruba - ARU</t>
  </si>
  <si>
    <t>Australia - AUS</t>
  </si>
  <si>
    <t>Austria - AUT</t>
  </si>
  <si>
    <t>Azerbaijan - AZE</t>
  </si>
  <si>
    <t>Bahamas - BAH</t>
  </si>
  <si>
    <t>Bahrain - BRN</t>
  </si>
  <si>
    <t>Bangladesh - BAN</t>
  </si>
  <si>
    <t>Barbados - BAR</t>
  </si>
  <si>
    <t>Belarus - BLR</t>
  </si>
  <si>
    <t>Belgium - BEL</t>
  </si>
  <si>
    <t>Belize - BIZ</t>
  </si>
  <si>
    <t>Benin - BEN</t>
  </si>
  <si>
    <t>Bermuda - BER</t>
  </si>
  <si>
    <t>Bhutan - BHU</t>
  </si>
  <si>
    <t>Bolivia - BOL</t>
  </si>
  <si>
    <t>Bosnia and Herzegovina - BIH</t>
  </si>
  <si>
    <t>Botswana - BOT</t>
  </si>
  <si>
    <t>Brazil - BRA</t>
  </si>
  <si>
    <t>British Virgin Islands - IVB</t>
  </si>
  <si>
    <t>Brunei Darussalam - BRU</t>
  </si>
  <si>
    <t>Bulgaria - BUL</t>
  </si>
  <si>
    <t>Burkina Faso - BUR</t>
  </si>
  <si>
    <t>Burundi - BDI</t>
  </si>
  <si>
    <t>Cambodia - CAM</t>
  </si>
  <si>
    <t>Cameroon - CMR</t>
  </si>
  <si>
    <t>Canada - CAN</t>
  </si>
  <si>
    <t>Cape Verde - CPV</t>
  </si>
  <si>
    <t>Cayman Islands - CAY</t>
  </si>
  <si>
    <t>Central African Republic - CAF</t>
  </si>
  <si>
    <t>Chad - CHA</t>
  </si>
  <si>
    <t>Chile - CHI</t>
  </si>
  <si>
    <t>China - CHN</t>
  </si>
  <si>
    <t>Chinese Taipei - TPE</t>
  </si>
  <si>
    <t>Colombia - COL</t>
  </si>
  <si>
    <t>Comoros - COM</t>
  </si>
  <si>
    <t>Congo - CGO</t>
  </si>
  <si>
    <t>Cook Islands - COK</t>
  </si>
  <si>
    <t>Costa Rica - CRC</t>
  </si>
  <si>
    <t>Côte d'Ivoire - CIV</t>
  </si>
  <si>
    <t>Croatia - CRO</t>
  </si>
  <si>
    <t>Cuba - CUB</t>
  </si>
  <si>
    <t>Curacao - CUR</t>
  </si>
  <si>
    <t>Cyprus - CYP</t>
  </si>
  <si>
    <t>Czech Republic - CZE</t>
  </si>
  <si>
    <t>Democratic People's Republic of Korea - PRK</t>
  </si>
  <si>
    <t>Democratic Republic of the Congo - COD</t>
  </si>
  <si>
    <t>Democratic Republic of Timor-Leste - TLS</t>
  </si>
  <si>
    <t>Denmark - DEN</t>
  </si>
  <si>
    <t>Djibouti - DJI</t>
  </si>
  <si>
    <t>Dominica - DMA</t>
  </si>
  <si>
    <t>Dominican Republic - DOM</t>
  </si>
  <si>
    <t>Ecuador - ECU</t>
  </si>
  <si>
    <t>Egypt - EGY</t>
  </si>
  <si>
    <t>El Salvador - ESA</t>
  </si>
  <si>
    <t>Equatorial Guinea - GEQ</t>
  </si>
  <si>
    <t>Eritrea - ERI</t>
  </si>
  <si>
    <t>Estonia - EST</t>
  </si>
  <si>
    <t>Eswatini - SWZ</t>
  </si>
  <si>
    <t>Ethiopia - ETH</t>
  </si>
  <si>
    <t>Faroe Islands - FAR</t>
  </si>
  <si>
    <t>Federated States of Micronesia - FSM</t>
  </si>
  <si>
    <t>Fiji - FIJ</t>
  </si>
  <si>
    <t>Finland - FIN</t>
  </si>
  <si>
    <t>France - FRA</t>
  </si>
  <si>
    <t>Gabon - GAB</t>
  </si>
  <si>
    <t>Gambia - GAM</t>
  </si>
  <si>
    <t>Georgia - GEO</t>
  </si>
  <si>
    <t>Germany - GER</t>
  </si>
  <si>
    <t>Ghana - GHA</t>
  </si>
  <si>
    <t>Gibraltar - GIB</t>
  </si>
  <si>
    <t>Great Britain - GBR</t>
  </si>
  <si>
    <t>Greece - GRE</t>
  </si>
  <si>
    <t>Grenada - GRN</t>
  </si>
  <si>
    <t>Guam - GUM</t>
  </si>
  <si>
    <t>Guatemala - GUA</t>
  </si>
  <si>
    <t>Guinea - GUI</t>
  </si>
  <si>
    <t>Guinea-Bissau - GBS</t>
  </si>
  <si>
    <t>Guyana - GUY</t>
  </si>
  <si>
    <t>Haiti - HAI</t>
  </si>
  <si>
    <t>Honduras - HON</t>
  </si>
  <si>
    <t>Hong Kong - HKG</t>
  </si>
  <si>
    <t>Hungary - HUN</t>
  </si>
  <si>
    <t>Iceland - ISL</t>
  </si>
  <si>
    <t>India - IND</t>
  </si>
  <si>
    <t>Indonesia - INA</t>
  </si>
  <si>
    <t>Iraq - IRQ</t>
  </si>
  <si>
    <t>Ireland - IRL</t>
  </si>
  <si>
    <t>Islamic Republic of Iran - IRI</t>
  </si>
  <si>
    <t>Israel - ISR</t>
  </si>
  <si>
    <t>Italy - ITA</t>
  </si>
  <si>
    <t>Jamaica - JAM</t>
  </si>
  <si>
    <t>Japan - JPN</t>
  </si>
  <si>
    <t>Jordan - JOR</t>
  </si>
  <si>
    <t>Kazakhstan - KAZ</t>
  </si>
  <si>
    <t>Kenya - KEN</t>
  </si>
  <si>
    <t>Korea - KOR</t>
  </si>
  <si>
    <t>Kosovo - KOS</t>
  </si>
  <si>
    <t>Kuwait - KUW</t>
  </si>
  <si>
    <t>Kyrgyzstan - KGZ</t>
  </si>
  <si>
    <t>Lao People's Democratic Republic - LAO</t>
  </si>
  <si>
    <t>Latvia - LAT</t>
  </si>
  <si>
    <t>Lebanon - LBN</t>
  </si>
  <si>
    <t>Lesotho - LES</t>
  </si>
  <si>
    <t>Liberia - LBR</t>
  </si>
  <si>
    <t>Libya - LBA</t>
  </si>
  <si>
    <t>Liechtenstein - LIE</t>
  </si>
  <si>
    <t>Lithuania - LTU</t>
  </si>
  <si>
    <t>Luxembourg - LUX</t>
  </si>
  <si>
    <t>Macau - MAC</t>
  </si>
  <si>
    <t>Madagascar - MAD</t>
  </si>
  <si>
    <t>Malawi - MAW</t>
  </si>
  <si>
    <t>Malaysia - MAS</t>
  </si>
  <si>
    <t>Maldives - MDV</t>
  </si>
  <si>
    <t>Mali - MLI</t>
  </si>
  <si>
    <t>Malta - MLT</t>
  </si>
  <si>
    <t>Marshall Islands - MHL</t>
  </si>
  <si>
    <t>Mauritania - MTN</t>
  </si>
  <si>
    <t>Mauritius - MRI</t>
  </si>
  <si>
    <t>Mexico - MEX</t>
  </si>
  <si>
    <t>Moldova - MDA</t>
  </si>
  <si>
    <t>Monaco - MON</t>
  </si>
  <si>
    <t>Mongolia - MGL</t>
  </si>
  <si>
    <t>Montenegro - MNE</t>
  </si>
  <si>
    <t>Morocco - MAR</t>
  </si>
  <si>
    <t>Mozambique - MOZ</t>
  </si>
  <si>
    <t>Myanmar - MYA</t>
  </si>
  <si>
    <t>Namibia - NAM</t>
  </si>
  <si>
    <t>Nepal - NEP</t>
  </si>
  <si>
    <t>Netherlands - NED</t>
  </si>
  <si>
    <t>New Zealand - NZL</t>
  </si>
  <si>
    <t>Nicaragua - NCA</t>
  </si>
  <si>
    <t>Niger - NIG</t>
  </si>
  <si>
    <t>Nigeria - NGR</t>
  </si>
  <si>
    <t>North Macedonia - MKD</t>
  </si>
  <si>
    <t>Northern Mariana Islands - NMA</t>
  </si>
  <si>
    <t>Norway - NOR</t>
  </si>
  <si>
    <t>Oman - OMA</t>
  </si>
  <si>
    <t>Pakistan - PAK</t>
  </si>
  <si>
    <t>Palau - PLW</t>
  </si>
  <si>
    <t>Palestine - PLE</t>
  </si>
  <si>
    <t>Panama - PAN</t>
  </si>
  <si>
    <t>Papua New Guinea - PNG</t>
  </si>
  <si>
    <t>Paraguay - PAR</t>
  </si>
  <si>
    <t>Peru - PER</t>
  </si>
  <si>
    <t>Philippines - PHI</t>
  </si>
  <si>
    <t>Poland - POL</t>
  </si>
  <si>
    <t>Portugal - POR</t>
  </si>
  <si>
    <t>Puerto Rico - PUR</t>
  </si>
  <si>
    <t>Qatar - QAT</t>
  </si>
  <si>
    <t>Romania - ROU</t>
  </si>
  <si>
    <t>Russia - RUS</t>
  </si>
  <si>
    <t>Rwanda - RWA</t>
  </si>
  <si>
    <t>Saint Lucia - LCA</t>
  </si>
  <si>
    <t>Samoa - SAM</t>
  </si>
  <si>
    <t>San Marino - SMR</t>
  </si>
  <si>
    <t>Saudi Arabia - KSA</t>
  </si>
  <si>
    <t>Senegal - SEN</t>
  </si>
  <si>
    <t>Serbia - SRB</t>
  </si>
  <si>
    <t>Seychelles - SEY</t>
  </si>
  <si>
    <t>Sierra Leone - SLE</t>
  </si>
  <si>
    <t>Singapore - SGP</t>
  </si>
  <si>
    <t>Sint Maarten - MAA</t>
  </si>
  <si>
    <t>Slovakia - SVK</t>
  </si>
  <si>
    <t>Slovenia - SLO</t>
  </si>
  <si>
    <t>Solomon Islands - SOL</t>
  </si>
  <si>
    <t>Somalia - SOM</t>
  </si>
  <si>
    <t>South Africa - RSA</t>
  </si>
  <si>
    <t>Spain - ESP</t>
  </si>
  <si>
    <t>Sri Lanka - SRI</t>
  </si>
  <si>
    <t>St. Kitts and Nevis - SKN</t>
  </si>
  <si>
    <t>St. Vincent and Grenadines - VIN</t>
  </si>
  <si>
    <t>Sudan - SUD</t>
  </si>
  <si>
    <t>Suriname - SUR</t>
  </si>
  <si>
    <t>Sweden - SWE</t>
  </si>
  <si>
    <t>Switzerland - SUI</t>
  </si>
  <si>
    <t>Syrian Arab Republic - SYR</t>
  </si>
  <si>
    <t>Tajikistan - TJK</t>
  </si>
  <si>
    <t>Tanzania - TAN</t>
  </si>
  <si>
    <t>Thailand - THA</t>
  </si>
  <si>
    <t>Togo - TOG</t>
  </si>
  <si>
    <t>Tonga - TGA</t>
  </si>
  <si>
    <t>Trinidad and Tobago - TTO</t>
  </si>
  <si>
    <t>Tunisia - TUN</t>
  </si>
  <si>
    <t>Turkmenistan - TKM</t>
  </si>
  <si>
    <t>Turks and Caicos Islands - TCN</t>
  </si>
  <si>
    <t>Uganda - UGA</t>
  </si>
  <si>
    <t>Ukraine - UKR</t>
  </si>
  <si>
    <t>United Arab Emirates - UAE</t>
  </si>
  <si>
    <t>United States of America - USA</t>
  </si>
  <si>
    <t>Uruguay - URU</t>
  </si>
  <si>
    <t>Uzbekistan - UZB</t>
  </si>
  <si>
    <t>Vanuatu - VAN</t>
  </si>
  <si>
    <t>Venezuela - VEN</t>
  </si>
  <si>
    <t>Vietnam - VIE</t>
  </si>
  <si>
    <t>Virgin Islands, US - ISV</t>
  </si>
  <si>
    <t>Yemen - YEM</t>
  </si>
  <si>
    <t>Zambia - ZAM</t>
  </si>
  <si>
    <t>Zimbabwe - ZIM</t>
  </si>
  <si>
    <t>Democratic Republic of Timor</t>
  </si>
  <si>
    <t>Guinea</t>
  </si>
  <si>
    <t>GBS</t>
  </si>
  <si>
    <t>AFG</t>
  </si>
  <si>
    <t>ALB</t>
  </si>
  <si>
    <t>ALG</t>
  </si>
  <si>
    <t>ASA</t>
  </si>
  <si>
    <t>AND</t>
  </si>
  <si>
    <t>ANG</t>
  </si>
  <si>
    <t>AGU</t>
  </si>
  <si>
    <t>ANT</t>
  </si>
  <si>
    <t>ARG</t>
  </si>
  <si>
    <t>ARM</t>
  </si>
  <si>
    <t>ARU</t>
  </si>
  <si>
    <t>AUS</t>
  </si>
  <si>
    <t>AUT</t>
  </si>
  <si>
    <t>AZE</t>
  </si>
  <si>
    <t>BAH</t>
  </si>
  <si>
    <t>BRN</t>
  </si>
  <si>
    <t>BAN</t>
  </si>
  <si>
    <t>BAR</t>
  </si>
  <si>
    <t>BLR</t>
  </si>
  <si>
    <t>BEL</t>
  </si>
  <si>
    <t>BIZ</t>
  </si>
  <si>
    <t>BEN</t>
  </si>
  <si>
    <t>BER</t>
  </si>
  <si>
    <t>BHU</t>
  </si>
  <si>
    <t>BOL</t>
  </si>
  <si>
    <t>BIH</t>
  </si>
  <si>
    <t>BOT</t>
  </si>
  <si>
    <t>BRA</t>
  </si>
  <si>
    <t>IVB</t>
  </si>
  <si>
    <t>BRU</t>
  </si>
  <si>
    <t>BUL</t>
  </si>
  <si>
    <t>BUR</t>
  </si>
  <si>
    <t>BDI</t>
  </si>
  <si>
    <t>CAM</t>
  </si>
  <si>
    <t>CMR</t>
  </si>
  <si>
    <t>CAN</t>
  </si>
  <si>
    <t>CPV</t>
  </si>
  <si>
    <t>CAY</t>
  </si>
  <si>
    <t>CAF</t>
  </si>
  <si>
    <t>CHA</t>
  </si>
  <si>
    <t>CHI</t>
  </si>
  <si>
    <t>CHN</t>
  </si>
  <si>
    <t>TPE</t>
  </si>
  <si>
    <t>COL</t>
  </si>
  <si>
    <t>COM</t>
  </si>
  <si>
    <t>CGO</t>
  </si>
  <si>
    <t>COK</t>
  </si>
  <si>
    <t>CRC</t>
  </si>
  <si>
    <t>CIV</t>
  </si>
  <si>
    <t>CRO</t>
  </si>
  <si>
    <t>CUB</t>
  </si>
  <si>
    <t>CUR</t>
  </si>
  <si>
    <t>CYP</t>
  </si>
  <si>
    <t>CZE</t>
  </si>
  <si>
    <t>PRK</t>
  </si>
  <si>
    <t>COD</t>
  </si>
  <si>
    <t>TLS</t>
  </si>
  <si>
    <t>DEN</t>
  </si>
  <si>
    <t>DJI</t>
  </si>
  <si>
    <t>DMA</t>
  </si>
  <si>
    <t>DOM</t>
  </si>
  <si>
    <t>ECU</t>
  </si>
  <si>
    <t>EGY</t>
  </si>
  <si>
    <t>ESA</t>
  </si>
  <si>
    <t>GEQ</t>
  </si>
  <si>
    <t>ERI</t>
  </si>
  <si>
    <t>EST</t>
  </si>
  <si>
    <t>SWZ</t>
  </si>
  <si>
    <t>ETH</t>
  </si>
  <si>
    <t>FAR</t>
  </si>
  <si>
    <t>FSM</t>
  </si>
  <si>
    <t>FIJ</t>
  </si>
  <si>
    <t>FIN</t>
  </si>
  <si>
    <t>FRA</t>
  </si>
  <si>
    <t>GAB</t>
  </si>
  <si>
    <t>GAM</t>
  </si>
  <si>
    <t>GEO</t>
  </si>
  <si>
    <t>GER</t>
  </si>
  <si>
    <t>GHA</t>
  </si>
  <si>
    <t>GIB</t>
  </si>
  <si>
    <t>GBR</t>
  </si>
  <si>
    <t>GRE</t>
  </si>
  <si>
    <t>GRN</t>
  </si>
  <si>
    <t>GUM</t>
  </si>
  <si>
    <t>GUA</t>
  </si>
  <si>
    <t>GUI</t>
  </si>
  <si>
    <t>GUY</t>
  </si>
  <si>
    <t>HAI</t>
  </si>
  <si>
    <t>HON</t>
  </si>
  <si>
    <t>HKG</t>
  </si>
  <si>
    <t>HUN</t>
  </si>
  <si>
    <t>ISL</t>
  </si>
  <si>
    <t>IND</t>
  </si>
  <si>
    <t>INA</t>
  </si>
  <si>
    <t>IRQ</t>
  </si>
  <si>
    <t>IRL</t>
  </si>
  <si>
    <t>IRI</t>
  </si>
  <si>
    <t>ISR</t>
  </si>
  <si>
    <t>ITA</t>
  </si>
  <si>
    <t>JAM</t>
  </si>
  <si>
    <t>JPN</t>
  </si>
  <si>
    <t>JOR</t>
  </si>
  <si>
    <t>KAZ</t>
  </si>
  <si>
    <t>KEN</t>
  </si>
  <si>
    <t>KOR</t>
  </si>
  <si>
    <t>KOS</t>
  </si>
  <si>
    <t>KUW</t>
  </si>
  <si>
    <t>KGZ</t>
  </si>
  <si>
    <t>LAO</t>
  </si>
  <si>
    <t>LAT</t>
  </si>
  <si>
    <t>LBN</t>
  </si>
  <si>
    <t>LES</t>
  </si>
  <si>
    <t>LBR</t>
  </si>
  <si>
    <t>LBA</t>
  </si>
  <si>
    <t>LIE</t>
  </si>
  <si>
    <t>LTU</t>
  </si>
  <si>
    <t>LUX</t>
  </si>
  <si>
    <t>MAC</t>
  </si>
  <si>
    <t>MAD</t>
  </si>
  <si>
    <t>MAW</t>
  </si>
  <si>
    <t>MAS</t>
  </si>
  <si>
    <t>MDV</t>
  </si>
  <si>
    <t>MLI</t>
  </si>
  <si>
    <t>MLT</t>
  </si>
  <si>
    <t>MHL</t>
  </si>
  <si>
    <t>MTN</t>
  </si>
  <si>
    <t>MRI</t>
  </si>
  <si>
    <t>MEX</t>
  </si>
  <si>
    <t>MDA</t>
  </si>
  <si>
    <t>MON</t>
  </si>
  <si>
    <t>MGL</t>
  </si>
  <si>
    <t>MNE</t>
  </si>
  <si>
    <t>MAR</t>
  </si>
  <si>
    <t>MOZ</t>
  </si>
  <si>
    <t>MYA</t>
  </si>
  <si>
    <t>NAM</t>
  </si>
  <si>
    <t>NEP</t>
  </si>
  <si>
    <t>NED</t>
  </si>
  <si>
    <t>NZL</t>
  </si>
  <si>
    <t>NCA</t>
  </si>
  <si>
    <t>NIG</t>
  </si>
  <si>
    <t>NGR</t>
  </si>
  <si>
    <t>MKD</t>
  </si>
  <si>
    <t>NMA</t>
  </si>
  <si>
    <t>NOR</t>
  </si>
  <si>
    <t>OMA</t>
  </si>
  <si>
    <t>PAK</t>
  </si>
  <si>
    <t>PLW</t>
  </si>
  <si>
    <t>PLE</t>
  </si>
  <si>
    <t>PAN</t>
  </si>
  <si>
    <t>PNG</t>
  </si>
  <si>
    <t>PAR</t>
  </si>
  <si>
    <t>PER</t>
  </si>
  <si>
    <t>PHI</t>
  </si>
  <si>
    <t>POL</t>
  </si>
  <si>
    <t>POR</t>
  </si>
  <si>
    <t>PUR</t>
  </si>
  <si>
    <t>QAT</t>
  </si>
  <si>
    <t>ROU</t>
  </si>
  <si>
    <t>RUS</t>
  </si>
  <si>
    <t>RWA</t>
  </si>
  <si>
    <t>LCA</t>
  </si>
  <si>
    <t>SAM</t>
  </si>
  <si>
    <t>SMR</t>
  </si>
  <si>
    <t>KSA</t>
  </si>
  <si>
    <t>SEN</t>
  </si>
  <si>
    <t>SRB</t>
  </si>
  <si>
    <t>SEY</t>
  </si>
  <si>
    <t>SLE</t>
  </si>
  <si>
    <t>SGP</t>
  </si>
  <si>
    <t>MAA</t>
  </si>
  <si>
    <t>SVK</t>
  </si>
  <si>
    <t>SLO</t>
  </si>
  <si>
    <t>SOL</t>
  </si>
  <si>
    <t>SOM</t>
  </si>
  <si>
    <t>RSA</t>
  </si>
  <si>
    <t>ESP</t>
  </si>
  <si>
    <t>SRI</t>
  </si>
  <si>
    <t>SKN</t>
  </si>
  <si>
    <t>VIN</t>
  </si>
  <si>
    <t>SUD</t>
  </si>
  <si>
    <t>SUR</t>
  </si>
  <si>
    <t>SWE</t>
  </si>
  <si>
    <t>SUI</t>
  </si>
  <si>
    <t>SYR</t>
  </si>
  <si>
    <t>TJK</t>
  </si>
  <si>
    <t>TAN</t>
  </si>
  <si>
    <t>THA</t>
  </si>
  <si>
    <t>TOG</t>
  </si>
  <si>
    <t>TGA</t>
  </si>
  <si>
    <t>TTO</t>
  </si>
  <si>
    <t>TUN</t>
  </si>
  <si>
    <t>TUR</t>
  </si>
  <si>
    <t>TKM</t>
  </si>
  <si>
    <t>TCN</t>
  </si>
  <si>
    <t>UGA</t>
  </si>
  <si>
    <t>UKR</t>
  </si>
  <si>
    <t>UAE</t>
  </si>
  <si>
    <t>USA</t>
  </si>
  <si>
    <t>URU</t>
  </si>
  <si>
    <t>UZB</t>
  </si>
  <si>
    <t>VAN</t>
  </si>
  <si>
    <t>VEN</t>
  </si>
  <si>
    <t>VIE</t>
  </si>
  <si>
    <t>ISV</t>
  </si>
  <si>
    <t>YEM</t>
  </si>
  <si>
    <t>ZAM</t>
  </si>
  <si>
    <t>ZIM</t>
  </si>
  <si>
    <t>Afghanistan</t>
  </si>
  <si>
    <t>Albania</t>
  </si>
  <si>
    <t>Algeria</t>
  </si>
  <si>
    <t>Andorra</t>
  </si>
  <si>
    <t>Angola</t>
  </si>
  <si>
    <t>Anguilla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</si>
  <si>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</si>
  <si>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</si>
  <si>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</si>
  <si>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</si>
  <si>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</si>
  <si>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</si>
  <si>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</si>
  <si>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</si>
  <si>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</si>
  <si>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</si>
  <si>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</si>
  <si>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</si>
  <si>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</si>
  <si>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</si>
  <si>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</si>
  <si>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</si>
  <si>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</si>
  <si>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Botswana</t>
  </si>
  <si>
    <t>Brazil</t>
  </si>
  <si>
    <t>Bulgaria</t>
  </si>
  <si>
    <t>Burundi</t>
  </si>
  <si>
    <t>Cambodia</t>
  </si>
  <si>
    <t>Cameroon</t>
  </si>
  <si>
    <t>Canada</t>
  </si>
  <si>
    <t>Chad</t>
  </si>
  <si>
    <t>Chile</t>
  </si>
  <si>
    <t>China</t>
  </si>
  <si>
    <t>Colombia</t>
  </si>
  <si>
    <t>Comoros</t>
  </si>
  <si>
    <t>Congo</t>
  </si>
  <si>
    <t>Croatia</t>
  </si>
  <si>
    <t>Cuba</t>
  </si>
  <si>
    <t>Curacao</t>
  </si>
  <si>
    <t>Cyprus</t>
  </si>
  <si>
    <t>Denmark</t>
  </si>
  <si>
    <t>Djibouti</t>
  </si>
  <si>
    <t>Dominica</t>
  </si>
  <si>
    <t>Ecuador</t>
  </si>
  <si>
    <t>Egypt</t>
  </si>
  <si>
    <t>Eritrea</t>
  </si>
  <si>
    <t>Estonia</t>
  </si>
  <si>
    <t>Eswatini</t>
  </si>
  <si>
    <t>Ethiopia</t>
  </si>
  <si>
    <t>Fiji</t>
  </si>
  <si>
    <t>Finland</t>
  </si>
  <si>
    <t>France</t>
  </si>
  <si>
    <t>Gabon</t>
  </si>
  <si>
    <t>Gambia</t>
  </si>
  <si>
    <t>Georgia</t>
  </si>
  <si>
    <t>Germany</t>
  </si>
  <si>
    <t>Ghana</t>
  </si>
  <si>
    <t>Gibraltar</t>
  </si>
  <si>
    <t>Greece</t>
  </si>
  <si>
    <t>Grenada</t>
  </si>
  <si>
    <t>Guam</t>
  </si>
  <si>
    <t>Guatemala</t>
  </si>
  <si>
    <t>Guyana</t>
  </si>
  <si>
    <t>Haiti</t>
  </si>
  <si>
    <t>Honduras</t>
  </si>
  <si>
    <t>Hungary</t>
  </si>
  <si>
    <t>Iceland</t>
  </si>
  <si>
    <t>India</t>
  </si>
  <si>
    <t>Indonesia</t>
  </si>
  <si>
    <t>Iraq</t>
  </si>
  <si>
    <t>Ireland</t>
  </si>
  <si>
    <t>Israel</t>
  </si>
  <si>
    <t>Italy</t>
  </si>
  <si>
    <t>Jamaica</t>
  </si>
  <si>
    <t>Japan</t>
  </si>
  <si>
    <t>Jordan</t>
  </si>
  <si>
    <t>Kazakhstan</t>
  </si>
  <si>
    <t>Kenya</t>
  </si>
  <si>
    <t>Korea</t>
  </si>
  <si>
    <t>Kosovo</t>
  </si>
  <si>
    <t>Kuwait</t>
  </si>
  <si>
    <t>Kyrgyzstan</t>
  </si>
  <si>
    <t>Latvia</t>
  </si>
  <si>
    <t>Lebanon</t>
  </si>
  <si>
    <t>Lesotho</t>
  </si>
  <si>
    <t>Liberia</t>
  </si>
  <si>
    <t>Libya</t>
  </si>
  <si>
    <t>Liechtenstein</t>
  </si>
  <si>
    <t>Lithuania</t>
  </si>
  <si>
    <t>Luxembourg</t>
  </si>
  <si>
    <t>Macau</t>
  </si>
  <si>
    <t>Madagascar</t>
  </si>
  <si>
    <t>Malawi</t>
  </si>
  <si>
    <t>Malaysia</t>
  </si>
  <si>
    <t>Maldives</t>
  </si>
  <si>
    <t>Mali</t>
  </si>
  <si>
    <t>Malta</t>
  </si>
  <si>
    <t>Mauritania</t>
  </si>
  <si>
    <t>Mauritius</t>
  </si>
  <si>
    <t>Mexico</t>
  </si>
  <si>
    <t>Moldova</t>
  </si>
  <si>
    <t>Monaco</t>
  </si>
  <si>
    <t>Mongolia</t>
  </si>
  <si>
    <t>Montenegro</t>
  </si>
  <si>
    <t>Morocco</t>
  </si>
  <si>
    <t>Mozambique</t>
  </si>
  <si>
    <t>Myanmar</t>
  </si>
  <si>
    <t>Namibia</t>
  </si>
  <si>
    <t>Nepal</t>
  </si>
  <si>
    <t>Netherlands</t>
  </si>
  <si>
    <t>Nicaragua</t>
  </si>
  <si>
    <t>Niger</t>
  </si>
  <si>
    <t>Nigeria</t>
  </si>
  <si>
    <t>Norway</t>
  </si>
  <si>
    <t>Oman</t>
  </si>
  <si>
    <t>Pakistan</t>
  </si>
  <si>
    <t>Palau</t>
  </si>
  <si>
    <t>Palestine</t>
  </si>
  <si>
    <t>Panama</t>
  </si>
  <si>
    <t>Paraguay</t>
  </si>
  <si>
    <t>Peru</t>
  </si>
  <si>
    <t>Philippines</t>
  </si>
  <si>
    <t>Poland</t>
  </si>
  <si>
    <t>Portugal</t>
  </si>
  <si>
    <t>Qatar</t>
  </si>
  <si>
    <t>Romania</t>
  </si>
  <si>
    <t>Russia</t>
  </si>
  <si>
    <t>Rwanda</t>
  </si>
  <si>
    <t>Samoa</t>
  </si>
  <si>
    <t>Senegal</t>
  </si>
  <si>
    <t>Serbia</t>
  </si>
  <si>
    <t>Seychelles</t>
  </si>
  <si>
    <t>Singapore</t>
  </si>
  <si>
    <t>Slovakia</t>
  </si>
  <si>
    <t>Slovenia</t>
  </si>
  <si>
    <t>Somalia</t>
  </si>
  <si>
    <t>Spain</t>
  </si>
  <si>
    <t>Sudan</t>
  </si>
  <si>
    <t>Suriname</t>
  </si>
  <si>
    <t>Switzerland</t>
  </si>
  <si>
    <t>Tajikistan</t>
  </si>
  <si>
    <t>Tanzania</t>
  </si>
  <si>
    <t>Thailand</t>
  </si>
  <si>
    <t>Togo</t>
  </si>
  <si>
    <t>Tonga</t>
  </si>
  <si>
    <t>Tunisia</t>
  </si>
  <si>
    <t>Turkmenistan</t>
  </si>
  <si>
    <t>Uganda</t>
  </si>
  <si>
    <t>Ukraine</t>
  </si>
  <si>
    <t>Uruguay</t>
  </si>
  <si>
    <t>Uzbekistan</t>
  </si>
  <si>
    <t>Vanuatu</t>
  </si>
  <si>
    <t>Venezuela</t>
  </si>
  <si>
    <t>Vietnam</t>
  </si>
  <si>
    <t>Yemen</t>
  </si>
  <si>
    <t>Zambia</t>
  </si>
  <si>
    <t>Zimbabwe</t>
  </si>
  <si>
    <t>American Samoa</t>
  </si>
  <si>
    <t>Antigua and Barbuda</t>
  </si>
  <si>
    <t>Bosnia and Herzegovina</t>
  </si>
  <si>
    <t>British Virgin Islands</t>
  </si>
  <si>
    <t>Burkina Faso</t>
  </si>
  <si>
    <t>Cape Verde</t>
  </si>
  <si>
    <t>Cayman Islands</t>
  </si>
  <si>
    <t>Central African Republic</t>
  </si>
  <si>
    <t>Chinese Taipei</t>
  </si>
  <si>
    <t>Cook Islands</t>
  </si>
  <si>
    <t>Costa Rica</t>
  </si>
  <si>
    <t>Côte d'Ivoire</t>
  </si>
  <si>
    <t>Czech Republic</t>
  </si>
  <si>
    <t>Democratic People's Republic of Korea</t>
  </si>
  <si>
    <t>Democratic Republic of the Congo</t>
  </si>
  <si>
    <t>Dominican Republic</t>
  </si>
  <si>
    <t>El Salvador</t>
  </si>
  <si>
    <t>Equatorial Guinea</t>
  </si>
  <si>
    <t>Federated States of Micronesia</t>
  </si>
  <si>
    <t>Faroe Islands</t>
  </si>
  <si>
    <t>Great Britain</t>
  </si>
  <si>
    <t>Guinea-Bissau</t>
  </si>
  <si>
    <t>Hong Kong</t>
  </si>
  <si>
    <t>Islamic Republic of Iran</t>
  </si>
  <si>
    <t>Lao People's Democratic Republic</t>
  </si>
  <si>
    <t>Marshall Islands</t>
  </si>
  <si>
    <t>North Macedonia</t>
  </si>
  <si>
    <t>Northern Mariana Islands</t>
  </si>
  <si>
    <t>Papua New Guinea</t>
  </si>
  <si>
    <t>San Marino</t>
  </si>
  <si>
    <t>Saudi Arabia</t>
  </si>
  <si>
    <t>Sierra Leone</t>
  </si>
  <si>
    <t>Sint Maarten</t>
  </si>
  <si>
    <t>Solomon Islands</t>
  </si>
  <si>
    <t>South Africa</t>
  </si>
  <si>
    <t>Sri Lanka</t>
  </si>
  <si>
    <t>St. Kitts and Nevis</t>
  </si>
  <si>
    <t>St. Vincent and Grenadines</t>
  </si>
  <si>
    <t>Syrian Arab Republic</t>
  </si>
  <si>
    <t>Trinidad and Tobago</t>
  </si>
  <si>
    <t>Turks and Caicos Islands</t>
  </si>
  <si>
    <t>United Arab Emirates</t>
  </si>
  <si>
    <t>United States of America</t>
  </si>
  <si>
    <t>Brunei Darussalam</t>
  </si>
  <si>
    <t>New Zealand</t>
  </si>
  <si>
    <t>Puerto Rico</t>
  </si>
  <si>
    <t>Saint Lucia</t>
  </si>
  <si>
    <t>Virgin Islands, US</t>
  </si>
  <si>
    <t/>
  </si>
  <si>
    <t>&gt;   Choose if to use "Federation" or "Club"</t>
  </si>
  <si>
    <t>&gt;   Write the name of the competition</t>
  </si>
  <si>
    <t>&gt;   Choose Event for this CC</t>
  </si>
  <si>
    <t>&gt;   Choose Age group for this CC</t>
  </si>
  <si>
    <t>&gt;  Write the name of the participant(s)</t>
  </si>
  <si>
    <t>And also how many elements that has been used.</t>
  </si>
  <si>
    <t>&gt;   Write the end time for the 1st part of the program (Minutes + Secoinds).</t>
  </si>
  <si>
    <t>&gt;   Declare bonus, if any.</t>
  </si>
  <si>
    <t>Time for chosen event will also be visable.</t>
  </si>
  <si>
    <t>&gt;   Continue the same way untill full program is declared.</t>
  </si>
  <si>
    <t>&gt;   Write "X" in the column "Last(X)" on the row for the last part of the program.</t>
  </si>
  <si>
    <t>&gt;   Double check that everything is correct.</t>
  </si>
  <si>
    <t>&gt;   Go to the "Print" sheet</t>
  </si>
  <si>
    <t>&gt;   Go to the "Coach Card" sheet</t>
  </si>
  <si>
    <t>&gt;   Print out the Coach Card</t>
  </si>
  <si>
    <t>&gt;   Paste the copied cells into the difficulty-sheet in the scoring program.</t>
  </si>
  <si>
    <t>Instructions</t>
  </si>
  <si>
    <t>TRE check</t>
  </si>
  <si>
    <t>2ig</t>
  </si>
  <si>
    <t xml:space="preserve">3pA2 </t>
  </si>
  <si>
    <t xml:space="preserve">AA </t>
  </si>
  <si>
    <t xml:space="preserve">SiF/ </t>
  </si>
  <si>
    <t>&gt;   Change the logo as you please. Both in the "Coach Card"- and "Print"-sheet.</t>
  </si>
  <si>
    <t xml:space="preserve">‘&gt;Stsh </t>
  </si>
  <si>
    <t>Js1B</t>
  </si>
  <si>
    <t>Jpd</t>
  </si>
  <si>
    <t>JsF1B</t>
  </si>
  <si>
    <t>W!r1</t>
  </si>
  <si>
    <t>O</t>
  </si>
  <si>
    <t>SF+FB</t>
  </si>
  <si>
    <t>Px1P</t>
  </si>
  <si>
    <t>FK+&gt;FK1</t>
  </si>
  <si>
    <t>SiF1</t>
  </si>
  <si>
    <t>y16</t>
  </si>
  <si>
    <t>PK+KP</t>
  </si>
  <si>
    <t>St&gt;StH</t>
  </si>
  <si>
    <t>StH↷L</t>
  </si>
  <si>
    <t>‘~StH</t>
  </si>
  <si>
    <t>‘&gt;PP&gt;</t>
  </si>
  <si>
    <t>y17</t>
  </si>
  <si>
    <t>hhs1</t>
  </si>
  <si>
    <t>2bbSup</t>
  </si>
  <si>
    <t>j26</t>
  </si>
  <si>
    <t>j27</t>
  </si>
  <si>
    <t>StH~StH</t>
  </si>
  <si>
    <t>Ln</t>
  </si>
  <si>
    <t>2Ln</t>
  </si>
  <si>
    <t>Ln!</t>
  </si>
  <si>
    <t>2Ln!</t>
  </si>
  <si>
    <t>dt1</t>
  </si>
  <si>
    <t>s1,5t0,5</t>
  </si>
  <si>
    <t>s1,5t1</t>
  </si>
  <si>
    <t>2SupH(2)</t>
  </si>
  <si>
    <t>StH’’’’</t>
  </si>
  <si>
    <t>ig</t>
  </si>
  <si>
    <t>r1,5*</t>
  </si>
  <si>
    <t>R0,5*</t>
  </si>
  <si>
    <t>L!»</t>
  </si>
  <si>
    <t>Lf»</t>
  </si>
  <si>
    <t>L!f»</t>
  </si>
  <si>
    <t>L!r1»</t>
  </si>
  <si>
    <t>W!»</t>
  </si>
  <si>
    <t>W!d</t>
  </si>
  <si>
    <t>Women Solo Free / 12 and under</t>
  </si>
  <si>
    <t>Women Duet Free / 12 and under</t>
  </si>
  <si>
    <t>Open Team Free / 12 and under</t>
  </si>
  <si>
    <t>Open Free Combination / 12 and under</t>
  </si>
  <si>
    <t>Women Solo Technical / Seniors 15 -&gt;</t>
  </si>
  <si>
    <t>Women Solo Free / Seniors 15 -&gt;</t>
  </si>
  <si>
    <t>Women Duet Technical / Seniors 15 -&gt;</t>
  </si>
  <si>
    <t>Women Duet Free / Seniors 15 -&gt;</t>
  </si>
  <si>
    <t>Open Team Technical / Seniors 15 -&gt;</t>
  </si>
  <si>
    <t>Open Team Free / Seniors 15 -&gt;</t>
  </si>
  <si>
    <t>Open Team Acrobatic / Seniors 15 -&gt;</t>
  </si>
  <si>
    <t>Women Solo Technical</t>
  </si>
  <si>
    <t>Women Solo Free</t>
  </si>
  <si>
    <t>Women Duet Technical</t>
  </si>
  <si>
    <t>Women Duet Free</t>
  </si>
  <si>
    <t>Open Team Technical</t>
  </si>
  <si>
    <t>Open Team Free</t>
  </si>
  <si>
    <t>Open Free Combination</t>
  </si>
  <si>
    <t>Open Team Acrobatic</t>
  </si>
  <si>
    <t>Youth 13-15 (F) / 13-16 (M)</t>
  </si>
  <si>
    <t>Junior 15-19 (F) / 15-20 (M)</t>
  </si>
  <si>
    <t>Masters 25 -&gt;</t>
  </si>
  <si>
    <t>Women Solo Free / Youth 13-15 (F) / 13-16 (M)</t>
  </si>
  <si>
    <t>Male Solo Free / Youth 13-15 (F) / 13-16 (M)</t>
  </si>
  <si>
    <t>Women Duet Free / Youth 13-15 (F) / 13-16 (M)</t>
  </si>
  <si>
    <t>Mixed Duet Free / Youth 13-15 (F) / 13-16 (M)</t>
  </si>
  <si>
    <t>Open Team Free / Youth 13-15 (F) / 13-16 (M)</t>
  </si>
  <si>
    <t>Open Free Combination / Youth 13-15 (F) / 13-16 (M)</t>
  </si>
  <si>
    <t>Women Solo Technical / Junior 15-19 (F) / 15-20 (M)</t>
  </si>
  <si>
    <t>Women Solo Free / Junior 15-19 (F) / 15-20 (M)</t>
  </si>
  <si>
    <t>Male Solo Technical / Junior 15-19 (F) / 15-20 (M)</t>
  </si>
  <si>
    <t>Male Solo Free / Junior 15-19 (F) / 15-20 (M)</t>
  </si>
  <si>
    <t>Women Duet Technical / Junior 15-19 (F) / 15-20 (M)</t>
  </si>
  <si>
    <t>Women Duet Free / Junior 15-19 (F) / 15-20 (M)</t>
  </si>
  <si>
    <t>Mixed Duet Technical / Junior 15-19 (F) / 15-20 (M)</t>
  </si>
  <si>
    <t>Mixed Duet Free / Junior 15-19 (F) / 15-20 (M)</t>
  </si>
  <si>
    <t>Open Team Technical / Junior 15-19 (F) / 15-20 (M)</t>
  </si>
  <si>
    <t>Open Team Free / Junior 15-19 (F) / 15-20 (M)</t>
  </si>
  <si>
    <t>Open Team Acrobatic / Junior 15-19 (F) / 15-20 (M)</t>
  </si>
  <si>
    <t>Version history:</t>
  </si>
  <si>
    <t>v 3.8</t>
  </si>
  <si>
    <t>Red marking now on difficulty code if manually written code is not in WAQ-list. Adaption to new rules from WAQ: New names on events. Specification on ages (m/f) on age groups. Wrong number of elements on Youth Mixed Duet.</t>
  </si>
  <si>
    <t>Open Free Combination / Junior 15-19 (F) / 15-20 (M)</t>
  </si>
  <si>
    <t>Open Free Combination / Seniors 15 -&gt;</t>
  </si>
  <si>
    <t>v 3.9</t>
  </si>
  <si>
    <t>v 4.0</t>
  </si>
  <si>
    <t>Session boxes did not get marking with X in the Print-sheet.</t>
  </si>
  <si>
    <t>Time start/end did mot work on the last rows in the generator above. Now also flashing red if chosen DD does not give you any value (=wrong DD code)</t>
  </si>
  <si>
    <t>v 4.1</t>
  </si>
  <si>
    <t>The green copy row didn't give 0.1 in BM on AcroPar from v 3.8. This was though corrected in the scoring program, but now also correct in CC.</t>
  </si>
  <si>
    <t>t3</t>
  </si>
  <si>
    <t>Start number:</t>
  </si>
  <si>
    <t>v 5.0</t>
  </si>
  <si>
    <t>Adaptation to new WAQ-rules regarding apnea and multiple R5-9 or T5-9. Also some design changes on the Print-sheet.</t>
  </si>
  <si>
    <t>v 5.1</t>
  </si>
  <si>
    <t>Change of colour to orange with multiple R5-9 or T5-9. Also changing other errors to red background and black text (more visable).</t>
  </si>
  <si>
    <t>v 5.2</t>
  </si>
  <si>
    <t>Bug fix - When expanding the DD input area with 2 columns, I made a mistake on the gree copy field. Now corrected.</t>
  </si>
  <si>
    <t>Coaches instructions</t>
  </si>
  <si>
    <t>v 5.3</t>
  </si>
  <si>
    <t>Possibility to disengage the apnea warning + the R5/T5+ warnings. Bug fix on some warning as well. Some missing acro codes are inserted (+ln)</t>
  </si>
  <si>
    <t>v 5.4</t>
  </si>
  <si>
    <t>Js1B+f</t>
  </si>
  <si>
    <t>Js1B+pf</t>
  </si>
  <si>
    <t>2Sup*</t>
  </si>
  <si>
    <t>ThrH&gt;Lh</t>
  </si>
  <si>
    <t>y18</t>
  </si>
  <si>
    <t>y19</t>
  </si>
  <si>
    <t>y20</t>
  </si>
  <si>
    <t>y21</t>
  </si>
  <si>
    <t>s1,5t1,5</t>
  </si>
  <si>
    <t>St&gt;sq</t>
  </si>
  <si>
    <t>fg</t>
  </si>
  <si>
    <t>j28</t>
  </si>
  <si>
    <t>St+ThrH(2)</t>
  </si>
  <si>
    <t>j29</t>
  </si>
  <si>
    <t>s1t3</t>
  </si>
  <si>
    <t>ThrH↷StH</t>
  </si>
  <si>
    <t>r2!</t>
  </si>
  <si>
    <t>1P1P</t>
  </si>
  <si>
    <t>r0,5!1</t>
  </si>
  <si>
    <t>St&gt;F1</t>
  </si>
  <si>
    <t>St&gt;F1+P1</t>
  </si>
  <si>
    <t>ps+</t>
  </si>
  <si>
    <t>psl+</t>
  </si>
  <si>
    <t>ki+</t>
  </si>
  <si>
    <t>tk+</t>
  </si>
  <si>
    <t>pa+</t>
  </si>
  <si>
    <t>nj+</t>
  </si>
  <si>
    <t>pk+</t>
  </si>
  <si>
    <t>mn+</t>
  </si>
  <si>
    <t>Ln+</t>
  </si>
  <si>
    <t>Ln!+</t>
  </si>
  <si>
    <t>sp+</t>
  </si>
  <si>
    <t>ar+</t>
  </si>
  <si>
    <t>kt+</t>
  </si>
  <si>
    <t>ma+</t>
  </si>
  <si>
    <t>ja+</t>
  </si>
  <si>
    <t>rg+</t>
  </si>
  <si>
    <t>ld+</t>
  </si>
  <si>
    <t>he+</t>
  </si>
  <si>
    <t>cr+</t>
  </si>
  <si>
    <t>kr+</t>
  </si>
  <si>
    <t>vs+</t>
  </si>
  <si>
    <t>sw+</t>
  </si>
  <si>
    <t>gl+</t>
  </si>
  <si>
    <t>ba+</t>
  </si>
  <si>
    <t>ea+</t>
  </si>
  <si>
    <t>sa+</t>
  </si>
  <si>
    <t>ne+</t>
  </si>
  <si>
    <t>ey+</t>
  </si>
  <si>
    <t>ln+</t>
  </si>
  <si>
    <t>do+</t>
  </si>
  <si>
    <t>si+</t>
  </si>
  <si>
    <t>mo+</t>
  </si>
  <si>
    <t>sh+</t>
  </si>
  <si>
    <t>spl+</t>
  </si>
  <si>
    <t>pe+</t>
  </si>
  <si>
    <t>cd+</t>
  </si>
  <si>
    <t>sc+</t>
  </si>
  <si>
    <t>pt+</t>
  </si>
  <si>
    <t>co+</t>
  </si>
  <si>
    <t>mr+</t>
  </si>
  <si>
    <t>sb+</t>
  </si>
  <si>
    <t>bi+</t>
  </si>
  <si>
    <t>fl+</t>
  </si>
  <si>
    <t>so+</t>
  </si>
  <si>
    <t>tu+</t>
  </si>
  <si>
    <t>se+</t>
  </si>
  <si>
    <t>pi+</t>
  </si>
  <si>
    <t>ro+</t>
  </si>
  <si>
    <t>lp+</t>
  </si>
  <si>
    <t>bo+</t>
  </si>
  <si>
    <t>bb+</t>
  </si>
  <si>
    <t>ig+</t>
  </si>
  <si>
    <t>kn+</t>
  </si>
  <si>
    <t>wi+</t>
  </si>
  <si>
    <t>be+</t>
  </si>
  <si>
    <t>to+</t>
  </si>
  <si>
    <t>ow+</t>
  </si>
  <si>
    <t>br+</t>
  </si>
  <si>
    <t>dr+</t>
  </si>
  <si>
    <t>qu+</t>
  </si>
  <si>
    <t>New approved DD values inserted. Now possible to insert + in AcroC when 2 different featured swimmers make 2 positions.</t>
  </si>
  <si>
    <t xml:space="preserve">     &gt;   If "Federation", choose federation name</t>
  </si>
  <si>
    <t>Türkiye - TUR</t>
  </si>
  <si>
    <t>Türkiye</t>
  </si>
  <si>
    <t>&gt;   Choose if this CC is for preliminaries, otherwise finals will be default</t>
  </si>
  <si>
    <r>
      <t xml:space="preserve">&gt;   If you also use my calculation program for scores, scroll down on the "Coach Card" sheet and copy the </t>
    </r>
    <r>
      <rPr>
        <b/>
        <sz val="11"/>
        <color theme="9"/>
        <rFont val="Calibri"/>
        <family val="2"/>
        <scheme val="minor"/>
      </rPr>
      <t>green area</t>
    </r>
    <r>
      <rPr>
        <sz val="11"/>
        <color theme="1"/>
        <rFont val="Calibri"/>
        <family val="2"/>
        <scheme val="minor"/>
      </rPr>
      <t>.</t>
    </r>
  </si>
  <si>
    <t>GROUP A</t>
  </si>
  <si>
    <t>GROUP B</t>
  </si>
  <si>
    <t>GROUP C</t>
  </si>
  <si>
    <t>GROUP P</t>
  </si>
  <si>
    <t>Code</t>
  </si>
  <si>
    <t>DD</t>
  </si>
  <si>
    <t>Thr&gt;St</t>
  </si>
  <si>
    <t>2SupU</t>
  </si>
  <si>
    <t>2SupD</t>
  </si>
  <si>
    <t>2SupM</t>
  </si>
  <si>
    <t>2S</t>
  </si>
  <si>
    <t>2SupD2F</t>
  </si>
  <si>
    <t>Flower</t>
  </si>
  <si>
    <t>L2F+</t>
  </si>
  <si>
    <t>St&gt;</t>
  </si>
  <si>
    <t>Lh2F</t>
  </si>
  <si>
    <t>Thr&gt;head&gt;</t>
  </si>
  <si>
    <t>2Sup+</t>
  </si>
  <si>
    <t>Thr&gt;Sq</t>
  </si>
  <si>
    <t>Thr&gt;St2</t>
  </si>
  <si>
    <t>N/A</t>
  </si>
  <si>
    <t>FAb</t>
  </si>
  <si>
    <t>1FA</t>
  </si>
  <si>
    <t>3pK</t>
  </si>
  <si>
    <t>SiF+Pb</t>
  </si>
  <si>
    <t>ShF+P</t>
  </si>
  <si>
    <t>LiH</t>
  </si>
  <si>
    <t>4p</t>
  </si>
  <si>
    <t>1FH+1FP</t>
  </si>
  <si>
    <t>S+</t>
  </si>
  <si>
    <t>FF/</t>
  </si>
  <si>
    <t>Variation</t>
  </si>
  <si>
    <t>sd</t>
  </si>
  <si>
    <t>hp</t>
  </si>
  <si>
    <t>2sd</t>
  </si>
  <si>
    <t>2hp</t>
  </si>
  <si>
    <t>r0.5</t>
  </si>
  <si>
    <t>Cr0.5</t>
  </si>
  <si>
    <t>Pr</t>
  </si>
  <si>
    <t>Cr1</t>
  </si>
  <si>
    <t>Pr0.5</t>
  </si>
  <si>
    <t>r1.5</t>
  </si>
  <si>
    <t>Cr1.5</t>
  </si>
  <si>
    <t>Pr1</t>
  </si>
  <si>
    <t>r0.5+</t>
  </si>
  <si>
    <t>Cr0.5!</t>
  </si>
  <si>
    <t>r1+</t>
  </si>
  <si>
    <t>Cr1!</t>
  </si>
  <si>
    <t>P0.5h</t>
  </si>
  <si>
    <t>r1.5+</t>
  </si>
  <si>
    <t>Cr1.5!</t>
  </si>
  <si>
    <t>P1h</t>
  </si>
  <si>
    <t>r0.5!</t>
  </si>
  <si>
    <t>CP0.5</t>
  </si>
  <si>
    <t>r1.5!</t>
  </si>
  <si>
    <t>r0.5L</t>
  </si>
  <si>
    <t>r0,5/</t>
  </si>
  <si>
    <t>r1/</t>
  </si>
  <si>
    <t>r1.5/</t>
  </si>
  <si>
    <t>Ct0.5</t>
  </si>
  <si>
    <t>dt0.5</t>
  </si>
  <si>
    <t>Ct1</t>
  </si>
  <si>
    <t>Ct1.5</t>
  </si>
  <si>
    <t>dt1.5</t>
  </si>
  <si>
    <t>Ct2</t>
  </si>
  <si>
    <t>Ct2.5</t>
  </si>
  <si>
    <t>s1f</t>
  </si>
  <si>
    <t>Ct3</t>
  </si>
  <si>
    <t>ss1</t>
  </si>
  <si>
    <t>ss1f</t>
  </si>
  <si>
    <t>Cdt0.5</t>
  </si>
  <si>
    <t>s1.5</t>
  </si>
  <si>
    <t>Cdt1</t>
  </si>
  <si>
    <t>s1.5f</t>
  </si>
  <si>
    <t>Cdt1.5</t>
  </si>
  <si>
    <t>s1.5o</t>
  </si>
  <si>
    <t>Cs1</t>
  </si>
  <si>
    <t>s1.5fo</t>
  </si>
  <si>
    <t>Css1</t>
  </si>
  <si>
    <t>Cs1.5</t>
  </si>
  <si>
    <t>s2o</t>
  </si>
  <si>
    <t>Cs1.5o</t>
  </si>
  <si>
    <t>s2f</t>
  </si>
  <si>
    <t>Cf1</t>
  </si>
  <si>
    <t>s2fo</t>
  </si>
  <si>
    <t>Cf1.5</t>
  </si>
  <si>
    <t>s2.5</t>
  </si>
  <si>
    <t>s2.5f</t>
  </si>
  <si>
    <t>Cc</t>
  </si>
  <si>
    <t>Cct0.5</t>
  </si>
  <si>
    <t>Cct1</t>
  </si>
  <si>
    <t>f1.5</t>
  </si>
  <si>
    <t>Cht0.5</t>
  </si>
  <si>
    <t>Cht1</t>
  </si>
  <si>
    <t>ct0.5</t>
  </si>
  <si>
    <t>ct1</t>
  </si>
  <si>
    <t>ht0.5</t>
  </si>
  <si>
    <t>ht1</t>
  </si>
  <si>
    <t>Cs1t1</t>
  </si>
  <si>
    <t>hs1</t>
  </si>
  <si>
    <t>Cs1t1.5</t>
  </si>
  <si>
    <t>Cs1t2</t>
  </si>
  <si>
    <t>Css1t0.5</t>
  </si>
  <si>
    <t>Css1t1</t>
  </si>
  <si>
    <t>Css1t1.5</t>
  </si>
  <si>
    <t>s1t0.5</t>
  </si>
  <si>
    <t>Css1t2</t>
  </si>
  <si>
    <t>s1t0.5f</t>
  </si>
  <si>
    <t>s1t1.5</t>
  </si>
  <si>
    <t>s1.5t0.5</t>
  </si>
  <si>
    <t>s1.5t0.5o</t>
  </si>
  <si>
    <t>s1.5t1</t>
  </si>
  <si>
    <t>s1.5t1.5</t>
  </si>
  <si>
    <t>s2t0.5</t>
  </si>
  <si>
    <t>s2t0.5o</t>
  </si>
  <si>
    <t>ss1t0.5</t>
  </si>
  <si>
    <t>ss1t1</t>
  </si>
  <si>
    <t>ss1t1.5</t>
  </si>
  <si>
    <t>ss1t2</t>
  </si>
  <si>
    <t>ss1t2.5</t>
  </si>
  <si>
    <t>ss1t3</t>
  </si>
  <si>
    <t>t0.5</t>
  </si>
  <si>
    <t>t1.5</t>
  </si>
  <si>
    <t>t2.5</t>
  </si>
  <si>
    <t>Dbl</t>
  </si>
  <si>
    <t>Jump</t>
  </si>
  <si>
    <t>Grip</t>
  </si>
  <si>
    <t>Jump&gt;</t>
  </si>
  <si>
    <t>UP</t>
  </si>
  <si>
    <t>Catch</t>
  </si>
  <si>
    <t>Hold</t>
  </si>
  <si>
    <t>Slip</t>
  </si>
  <si>
    <t>Split</t>
  </si>
  <si>
    <t>Moon</t>
  </si>
  <si>
    <t>Run</t>
  </si>
  <si>
    <t>Wave</t>
  </si>
  <si>
    <t>Twirl</t>
  </si>
  <si>
    <t>Mov</t>
  </si>
  <si>
    <t>Trav</t>
  </si>
  <si>
    <t>Turn</t>
  </si>
  <si>
    <t>Stand</t>
  </si>
  <si>
    <t>On1Foot</t>
  </si>
  <si>
    <t>Ps1</t>
  </si>
  <si>
    <t>Spider</t>
  </si>
  <si>
    <t>Climb</t>
  </si>
  <si>
    <t>Fall</t>
  </si>
  <si>
    <t>Component and group</t>
  </si>
  <si>
    <t>Applicable</t>
  </si>
  <si>
    <t>Minimal</t>
  </si>
  <si>
    <t>Requirement</t>
  </si>
  <si>
    <t>Pair Acro</t>
  </si>
  <si>
    <t>Hybrid - Free</t>
  </si>
  <si>
    <t>Acrobatic - Pair</t>
  </si>
  <si>
    <t>Transition - Surface Connection</t>
  </si>
  <si>
    <t>Hybrid - min 4 swimmers (no DD)</t>
  </si>
  <si>
    <t>Hybrid - All Team swimmers</t>
  </si>
  <si>
    <t>S/D/M/T</t>
  </si>
  <si>
    <t>Hybrid - Thrust + 2 connections</t>
  </si>
  <si>
    <t>H.Team 4</t>
  </si>
  <si>
    <t>Team hyb All</t>
  </si>
  <si>
    <t>Team hyb 4</t>
  </si>
  <si>
    <t>Base Mark
or
No DD</t>
  </si>
  <si>
    <t>Base mark</t>
  </si>
  <si>
    <t>H</t>
  </si>
  <si>
    <t>PA</t>
  </si>
  <si>
    <t>A</t>
  </si>
  <si>
    <t>TB</t>
  </si>
  <si>
    <t>SB</t>
  </si>
  <si>
    <t>SCB</t>
  </si>
  <si>
    <t>SCDB</t>
  </si>
  <si>
    <t>S1</t>
  </si>
  <si>
    <t>SC1</t>
  </si>
  <si>
    <t>SCD1</t>
  </si>
  <si>
    <t>S2</t>
  </si>
  <si>
    <t>SC2</t>
  </si>
  <si>
    <t>SCD2</t>
  </si>
  <si>
    <t>S3</t>
  </si>
  <si>
    <t>SC3</t>
  </si>
  <si>
    <t>SCD3</t>
  </si>
  <si>
    <t>S4</t>
  </si>
  <si>
    <t>SC4</t>
  </si>
  <si>
    <t>SCD4</t>
  </si>
  <si>
    <t>S5</t>
  </si>
  <si>
    <t>SC5</t>
  </si>
  <si>
    <t>SCD5</t>
  </si>
  <si>
    <t>S6</t>
  </si>
  <si>
    <t>SC6</t>
  </si>
  <si>
    <t>SCD6</t>
  </si>
  <si>
    <t>S7</t>
  </si>
  <si>
    <t>S8</t>
  </si>
  <si>
    <t>S9</t>
  </si>
  <si>
    <t>S10</t>
  </si>
  <si>
    <t>RB</t>
  </si>
  <si>
    <t>1RB</t>
  </si>
  <si>
    <t>2RB</t>
  </si>
  <si>
    <t>1R1</t>
  </si>
  <si>
    <t>2R1</t>
  </si>
  <si>
    <t>RD1</t>
  </si>
  <si>
    <t>RU1</t>
  </si>
  <si>
    <t>RO1</t>
  </si>
  <si>
    <t>RC1</t>
  </si>
  <si>
    <t>1R2</t>
  </si>
  <si>
    <t>2R2</t>
  </si>
  <si>
    <t>RD2</t>
  </si>
  <si>
    <t>RU2</t>
  </si>
  <si>
    <t>1R3</t>
  </si>
  <si>
    <t>2R3</t>
  </si>
  <si>
    <t>RU3</t>
  </si>
  <si>
    <t>1R4</t>
  </si>
  <si>
    <t>2R4</t>
  </si>
  <si>
    <t>RD4</t>
  </si>
  <si>
    <t>RU4</t>
  </si>
  <si>
    <t>1R5</t>
  </si>
  <si>
    <t>2R5</t>
  </si>
  <si>
    <t>RU5</t>
  </si>
  <si>
    <t>1R6</t>
  </si>
  <si>
    <t>2R6</t>
  </si>
  <si>
    <t>RD6</t>
  </si>
  <si>
    <t>RU6</t>
  </si>
  <si>
    <t>2R7</t>
  </si>
  <si>
    <t>RU7</t>
  </si>
  <si>
    <t>2R8</t>
  </si>
  <si>
    <t>RU8</t>
  </si>
  <si>
    <t>2R9</t>
  </si>
  <si>
    <t>RU9</t>
  </si>
  <si>
    <t>2R10</t>
  </si>
  <si>
    <t>RU10</t>
  </si>
  <si>
    <t>AB</t>
  </si>
  <si>
    <t>A5</t>
  </si>
  <si>
    <t>A6</t>
  </si>
  <si>
    <t>A7</t>
  </si>
  <si>
    <t>A8</t>
  </si>
  <si>
    <t>FB</t>
  </si>
  <si>
    <t>F7</t>
  </si>
  <si>
    <t>F9</t>
  </si>
  <si>
    <t>F10</t>
  </si>
  <si>
    <t>CB</t>
  </si>
  <si>
    <t>CB+</t>
  </si>
  <si>
    <t>C7</t>
  </si>
  <si>
    <t>C7+</t>
  </si>
  <si>
    <t>Drop down formulas for each DD-cell</t>
  </si>
  <si>
    <t>Cons_</t>
  </si>
  <si>
    <t>Conx_</t>
  </si>
  <si>
    <t>Dirx_</t>
  </si>
  <si>
    <t>Pos1_</t>
  </si>
  <si>
    <t>Pos2_</t>
  </si>
  <si>
    <t>RotB_</t>
  </si>
  <si>
    <t>RotP_</t>
  </si>
  <si>
    <t>AcroBonus_</t>
  </si>
  <si>
    <t>No</t>
  </si>
  <si>
    <t>Acro check</t>
  </si>
  <si>
    <t>Cons</t>
  </si>
  <si>
    <t>Conx</t>
  </si>
  <si>
    <t>Dirx</t>
  </si>
  <si>
    <t>Pos1</t>
  </si>
  <si>
    <t>Pos2</t>
  </si>
  <si>
    <t>RotB</t>
  </si>
  <si>
    <t>RotP</t>
  </si>
  <si>
    <t>Bon1</t>
  </si>
  <si>
    <t>Bon2</t>
  </si>
  <si>
    <t>Pos1&lt;&gt;Pos2</t>
  </si>
  <si>
    <t>No choise for this Acro type</t>
  </si>
  <si>
    <t>Yes</t>
  </si>
  <si>
    <t>AcroBonus_A_Code</t>
  </si>
  <si>
    <t>AcroBonus_B_Code</t>
  </si>
  <si>
    <t>AcroBonus_C_Code</t>
  </si>
  <si>
    <t>AcroBonus_P_Code</t>
  </si>
  <si>
    <t>Cons_A_Code</t>
  </si>
  <si>
    <t>Cons_B_Code</t>
  </si>
  <si>
    <t>Cons_C_Code</t>
  </si>
  <si>
    <t>Cons_P_Code</t>
  </si>
  <si>
    <t>Dirx_A_Code</t>
  </si>
  <si>
    <t>Dirx_B_Code</t>
  </si>
  <si>
    <t>Dirx_C_Code</t>
  </si>
  <si>
    <t>Dirx_P_Code</t>
  </si>
  <si>
    <t>Pos1_A_Code</t>
  </si>
  <si>
    <t>Pos1_B_Code</t>
  </si>
  <si>
    <t>Pos1_C_Code</t>
  </si>
  <si>
    <t>Pos1_P_Code</t>
  </si>
  <si>
    <t>Pos2_A_Code</t>
  </si>
  <si>
    <t>Pos2_B_Code</t>
  </si>
  <si>
    <t>Pos2_C_Code</t>
  </si>
  <si>
    <t>Pos2_P_Code</t>
  </si>
  <si>
    <t>RotP_A_Code</t>
  </si>
  <si>
    <t>RotP_B_Code</t>
  </si>
  <si>
    <t>RotP_C_Code</t>
  </si>
  <si>
    <t>RotP_P_Code</t>
  </si>
  <si>
    <t>RotB_A_Code</t>
  </si>
  <si>
    <t>RotB_B_Code</t>
  </si>
  <si>
    <t>RotB_C_Code</t>
  </si>
  <si>
    <t>RotB_P_Code</t>
  </si>
  <si>
    <t>Conx_A_Code</t>
  </si>
  <si>
    <t>Conx_B_Code</t>
  </si>
  <si>
    <t>Conx_C_Code</t>
  </si>
  <si>
    <t>Conx_P_Code</t>
  </si>
  <si>
    <t>Conn</t>
  </si>
  <si>
    <t>Minimum Declaration Requirements</t>
  </si>
  <si>
    <t>Bonus?</t>
  </si>
  <si>
    <t>Hybrid check</t>
  </si>
  <si>
    <t>T</t>
  </si>
  <si>
    <t>S</t>
  </si>
  <si>
    <t>R</t>
  </si>
  <si>
    <t>Solo?</t>
  </si>
  <si>
    <t>v 6.0</t>
  </si>
  <si>
    <t>Adjusted according to new rules. Apnea removed.</t>
  </si>
  <si>
    <t>Pair
Acro</t>
  </si>
  <si>
    <t>Check</t>
  </si>
  <si>
    <t>Cadence.hyb</t>
  </si>
  <si>
    <t>Hybrid - Cadence</t>
  </si>
  <si>
    <t>H.Cadence</t>
  </si>
  <si>
    <t>Yo</t>
  </si>
  <si>
    <t>Active</t>
  </si>
  <si>
    <t>T2a</t>
  </si>
  <si>
    <t>T2b</t>
  </si>
  <si>
    <t>T3a</t>
  </si>
  <si>
    <t>T3b</t>
  </si>
  <si>
    <t>T3c</t>
  </si>
  <si>
    <t>T3d</t>
  </si>
  <si>
    <t>T4a</t>
  </si>
  <si>
    <t>T4b</t>
  </si>
  <si>
    <t>T4c</t>
  </si>
  <si>
    <t>T4d</t>
  </si>
  <si>
    <t>T5a</t>
  </si>
  <si>
    <t>T5b</t>
  </si>
  <si>
    <t>T5c</t>
  </si>
  <si>
    <t>T5d</t>
  </si>
  <si>
    <t>T5e</t>
  </si>
  <si>
    <t>T6a</t>
  </si>
  <si>
    <t>T6b</t>
  </si>
  <si>
    <t>T6c</t>
  </si>
  <si>
    <t>T9a</t>
  </si>
  <si>
    <t>T9b</t>
  </si>
  <si>
    <t>ROB</t>
  </si>
  <si>
    <t>RCB</t>
  </si>
  <si>
    <t>A1a</t>
  </si>
  <si>
    <t>A1b</t>
  </si>
  <si>
    <t>A1c</t>
  </si>
  <si>
    <t>A1d</t>
  </si>
  <si>
    <t>A2a</t>
  </si>
  <si>
    <t>A2b</t>
  </si>
  <si>
    <t>A3a</t>
  </si>
  <si>
    <t>A3b</t>
  </si>
  <si>
    <t>A4a</t>
  </si>
  <si>
    <t>A4b</t>
  </si>
  <si>
    <t>F1a</t>
  </si>
  <si>
    <t>F1b</t>
  </si>
  <si>
    <t>F1c</t>
  </si>
  <si>
    <t>F2a</t>
  </si>
  <si>
    <t>F2b</t>
  </si>
  <si>
    <t>F2c</t>
  </si>
  <si>
    <t>F3a</t>
  </si>
  <si>
    <t>F3b</t>
  </si>
  <si>
    <t>F3c</t>
  </si>
  <si>
    <t>F4a</t>
  </si>
  <si>
    <t>F4b</t>
  </si>
  <si>
    <t>F4c</t>
  </si>
  <si>
    <t>F4d</t>
  </si>
  <si>
    <t>F4e</t>
  </si>
  <si>
    <t>F4f</t>
  </si>
  <si>
    <t>F5a</t>
  </si>
  <si>
    <t>F5b</t>
  </si>
  <si>
    <t>F5c</t>
  </si>
  <si>
    <t>F6a</t>
  </si>
  <si>
    <t>F6b</t>
  </si>
  <si>
    <t>F6c</t>
  </si>
  <si>
    <t>F6d</t>
  </si>
  <si>
    <t>F8a</t>
  </si>
  <si>
    <t>F8b</t>
  </si>
  <si>
    <t>C1a</t>
  </si>
  <si>
    <t>C1b</t>
  </si>
  <si>
    <t>C1a+</t>
  </si>
  <si>
    <t>C1b+</t>
  </si>
  <si>
    <t>C2a</t>
  </si>
  <si>
    <t>C2b</t>
  </si>
  <si>
    <t>C2c</t>
  </si>
  <si>
    <t>C2a+</t>
  </si>
  <si>
    <t>C2b+</t>
  </si>
  <si>
    <t>C2c+</t>
  </si>
  <si>
    <t>C6a</t>
  </si>
  <si>
    <t>C6b</t>
  </si>
  <si>
    <t>C6a+</t>
  </si>
  <si>
    <t>C6b+</t>
  </si>
  <si>
    <t>Family</t>
  </si>
  <si>
    <t>&gt;3</t>
  </si>
  <si>
    <t>Hybrid
Teqnique</t>
  </si>
  <si>
    <t>Hybrid
Family</t>
  </si>
  <si>
    <t>Acro?</t>
  </si>
  <si>
    <t>T4e</t>
  </si>
  <si>
    <t>dt2</t>
  </si>
  <si>
    <t>hd</t>
  </si>
  <si>
    <t>s1t1f</t>
  </si>
  <si>
    <t>s1.5t0.5f</t>
  </si>
  <si>
    <t>s1.5t0.5fo</t>
  </si>
  <si>
    <t>s2t0.5f</t>
  </si>
  <si>
    <t>s2t0.5fo</t>
  </si>
  <si>
    <t>s2t1o</t>
  </si>
  <si>
    <t>s2t1fo</t>
  </si>
  <si>
    <t>ss1t0.5f</t>
  </si>
  <si>
    <t>ss1t1f</t>
  </si>
  <si>
    <t>Pos3</t>
  </si>
  <si>
    <t>Hula</t>
  </si>
  <si>
    <t>RetSq</t>
  </si>
  <si>
    <t>RetPa</t>
  </si>
  <si>
    <t>Bonus
check</t>
  </si>
  <si>
    <t>LH</t>
  </si>
  <si>
    <t>Tow</t>
  </si>
  <si>
    <t>1F1P</t>
  </si>
  <si>
    <t>1F1F</t>
  </si>
  <si>
    <t>r2+</t>
  </si>
  <si>
    <t>RotF</t>
  </si>
  <si>
    <t>SdUp</t>
  </si>
  <si>
    <t>L/SiF+P</t>
  </si>
  <si>
    <t>&gt;F1P</t>
  </si>
  <si>
    <t>2b/</t>
  </si>
  <si>
    <t>CH</t>
  </si>
  <si>
    <t>Porp</t>
  </si>
  <si>
    <t>Spich</t>
  </si>
  <si>
    <t>Dive</t>
  </si>
  <si>
    <t>Ps1t0.5</t>
  </si>
  <si>
    <t>Ps1t1</t>
  </si>
  <si>
    <t>FTurn</t>
  </si>
  <si>
    <t>Arch</t>
  </si>
  <si>
    <t>Thr&gt;FF</t>
  </si>
  <si>
    <t>Thr&gt;F</t>
  </si>
  <si>
    <t>Thr^Lh</t>
  </si>
  <si>
    <t>Thr^2F</t>
  </si>
  <si>
    <t>Thr+Thr</t>
  </si>
  <si>
    <t>Bln</t>
  </si>
  <si>
    <t>Cr0.5L</t>
  </si>
  <si>
    <t>2F0.5</t>
  </si>
  <si>
    <t>2F1</t>
  </si>
  <si>
    <t>Cd</t>
  </si>
  <si>
    <t>Cs1t1o</t>
  </si>
  <si>
    <t>Cs1t1.5o</t>
  </si>
  <si>
    <t>Cs1t2o</t>
  </si>
  <si>
    <t>1F&gt;1F</t>
  </si>
  <si>
    <t>Cx</t>
  </si>
  <si>
    <t>C-Roll</t>
  </si>
  <si>
    <t>L!r0.5»</t>
  </si>
  <si>
    <t>L!fr0.5»</t>
  </si>
  <si>
    <t>Lr0.5</t>
  </si>
  <si>
    <t>L!r0.5</t>
  </si>
  <si>
    <t>Lfr0.5</t>
  </si>
  <si>
    <t>L!fr0.5</t>
  </si>
  <si>
    <t>Jr0.5</t>
  </si>
  <si>
    <t>W!r0.5</t>
  </si>
  <si>
    <t>W!s0.5</t>
  </si>
  <si>
    <t>W!fr0.5</t>
  </si>
  <si>
    <t>Js0.5t0.5</t>
  </si>
  <si>
    <t>W!s0.5t0.5</t>
  </si>
  <si>
    <t>JBs1t0.5</t>
  </si>
  <si>
    <t>Amount Hybrid families</t>
  </si>
  <si>
    <t>All families present?</t>
  </si>
  <si>
    <t>To many?</t>
  </si>
  <si>
    <t>Dir</t>
  </si>
  <si>
    <t>Bonus1</t>
  </si>
  <si>
    <t>Bonus2</t>
  </si>
  <si>
    <t>Correct
part?</t>
  </si>
  <si>
    <t>TRE-1</t>
  </si>
  <si>
    <t>TRE-2</t>
  </si>
  <si>
    <t>TRE-3</t>
  </si>
  <si>
    <t>TRE-4</t>
  </si>
  <si>
    <t>TRE-5</t>
  </si>
  <si>
    <t>&gt;5 (&gt;1)</t>
  </si>
  <si>
    <t>Team Acro repeats</t>
  </si>
  <si>
    <t>Group A</t>
  </si>
  <si>
    <t>Group B</t>
  </si>
  <si>
    <t>Group C</t>
  </si>
  <si>
    <t>Group P</t>
  </si>
  <si>
    <t>(Pos2)</t>
  </si>
  <si>
    <t>(Pos1)</t>
  </si>
  <si>
    <t xml:space="preserve"> (Green) = A value has to be inserted</t>
  </si>
  <si>
    <t xml:space="preserve"> (Gray) = No entry in this cell</t>
  </si>
  <si>
    <t>12y/Youth safety limits (Team/Combo)</t>
  </si>
  <si>
    <t>&gt;   Write the name of the Theme for this participant (mandatory for Free Combination!)</t>
  </si>
  <si>
    <t>You will now be able to see how many elements the CC have to have according to WA-rules.</t>
  </si>
  <si>
    <t xml:space="preserve">     &gt; If red - The time limit for the program is incorrect acording to WA-rules.</t>
  </si>
  <si>
    <t xml:space="preserve">     &gt; If red - Conflict with WA-rules</t>
  </si>
  <si>
    <t>&gt;   Choose what kind of performance the swimmer will do at this particulary time period.</t>
  </si>
  <si>
    <t>&gt;   Declare what DD(s) this element includes. Only one code per cell. By writing or drop-list.</t>
  </si>
  <si>
    <t xml:space="preserve">     &gt; If red background - Possible conflict with WA-rules. But this is only a warning. You decide if you want to keep it this way. </t>
  </si>
  <si>
    <t xml:space="preserve">     &gt; Acro bonus will be written together with declared difficulties on the print-out. This is correct according to WA-recommendations</t>
  </si>
  <si>
    <t xml:space="preserve">     &gt; If green background - This cell is mandatory for this element</t>
  </si>
  <si>
    <r>
      <t xml:space="preserve">     &gt; If gray background - This cell is should </t>
    </r>
    <r>
      <rPr>
        <b/>
        <sz val="11"/>
        <color theme="1"/>
        <rFont val="Calibri"/>
        <family val="2"/>
        <scheme val="minor"/>
      </rPr>
      <t>not</t>
    </r>
    <r>
      <rPr>
        <sz val="11"/>
        <color theme="1"/>
        <rFont val="Calibri"/>
        <family val="2"/>
        <scheme val="minor"/>
      </rPr>
      <t xml:space="preserve"> be used for this element</t>
    </r>
  </si>
  <si>
    <t xml:space="preserve">     &gt; If white background - This cell is is possible, but not mandatory, to use for this element</t>
  </si>
  <si>
    <t xml:space="preserve">     &gt; Hybrid bonus is only allowed in Teams (Tech/Free) and Free Combination</t>
  </si>
  <si>
    <t xml:space="preserve">     &gt; If you have calculation progran version 2024-20 or later, you can easly paste the copied cells by a blue button on the difficulty sheet.</t>
  </si>
  <si>
    <t xml:space="preserve">     &gt; If you dont have calculation progran version 2024-20 or later, you have to manually paste (paste as value only!) it yourself (unlock the sheet first).</t>
  </si>
  <si>
    <t>Data Managers instructions</t>
  </si>
  <si>
    <t>Acrobatic
routine</t>
  </si>
  <si>
    <t>Group</t>
  </si>
  <si>
    <t>Acro check in Acrobatics</t>
  </si>
  <si>
    <t>To many</t>
  </si>
  <si>
    <t>v 6.1</t>
  </si>
  <si>
    <t>Acrobatic - Check</t>
  </si>
  <si>
    <t>Check on Acro groups (max 2 of same + minimum 1 of each). Check on "Theme" for Acrobatic. Clearer warning when exceeding time limit.</t>
  </si>
  <si>
    <t>v 6.2</t>
  </si>
  <si>
    <t>Multiple SuConn now possible directly after each other</t>
  </si>
  <si>
    <t>W!fr1.5</t>
  </si>
  <si>
    <t>Jfs1B</t>
  </si>
  <si>
    <t>Js1F</t>
  </si>
  <si>
    <t>v 6.3</t>
  </si>
  <si>
    <t>Updated tables from WA after LEN-clinic</t>
  </si>
  <si>
    <t>v 6.4</t>
  </si>
  <si>
    <t>Updated value on TRE womens duets no 3. Changed minimum team hybrids in Free Combination</t>
  </si>
  <si>
    <t>Mixed Req.Hyb.</t>
  </si>
  <si>
    <t>TB*0,5</t>
  </si>
  <si>
    <t>T1*0,5</t>
  </si>
  <si>
    <t>T2a*0,5</t>
  </si>
  <si>
    <t>T2b*0,5</t>
  </si>
  <si>
    <t>T3a*0,5</t>
  </si>
  <si>
    <t>T3b*0,5</t>
  </si>
  <si>
    <t>T3c*0,5</t>
  </si>
  <si>
    <t>T3d*0,5</t>
  </si>
  <si>
    <t>T4a*0,5</t>
  </si>
  <si>
    <t>T4b*0,5</t>
  </si>
  <si>
    <t>T4c*0,5</t>
  </si>
  <si>
    <t>T4d*0,5</t>
  </si>
  <si>
    <t>T4e*0,5</t>
  </si>
  <si>
    <t>T5a*0,5</t>
  </si>
  <si>
    <t>T5b*0,5</t>
  </si>
  <si>
    <t>T5c*0,5</t>
  </si>
  <si>
    <t>T5d*0,5</t>
  </si>
  <si>
    <t>T5e*0,5</t>
  </si>
  <si>
    <t>T6a*0,5</t>
  </si>
  <si>
    <t>T6b*0,5</t>
  </si>
  <si>
    <t>T6c*0,5</t>
  </si>
  <si>
    <t>T7*0,5</t>
  </si>
  <si>
    <t>T8*0,5</t>
  </si>
  <si>
    <t>T9a*0,5</t>
  </si>
  <si>
    <t>T9b*0,5</t>
  </si>
  <si>
    <t>CB*0,5</t>
  </si>
  <si>
    <t>C1a*0,5</t>
  </si>
  <si>
    <t>C1b*0,5</t>
  </si>
  <si>
    <t>C2a*0,5</t>
  </si>
  <si>
    <t>C2b*0,5</t>
  </si>
  <si>
    <t>C2c*0,5</t>
  </si>
  <si>
    <t>C3*0,5</t>
  </si>
  <si>
    <t>C4*0,5</t>
  </si>
  <si>
    <t>C5*0,5</t>
  </si>
  <si>
    <t>C6a*0,5</t>
  </si>
  <si>
    <t>C6b*0,5</t>
  </si>
  <si>
    <t>C7*0,5</t>
  </si>
  <si>
    <t>Hyb.Req-check</t>
  </si>
  <si>
    <t>v 6.5</t>
  </si>
  <si>
    <t>Hybrid with no DD - fixed problems with filling in after box 1 + take away bonus choices. Combo - No bonus choices now in Hybrid Solo/Duet. Mixed Tech Duet - Now fixed to only 3 boxes with family T+C+C, red if not. Teams - PC up to 15 in bonus.</t>
  </si>
  <si>
    <t>ChoHY</t>
  </si>
  <si>
    <t>RC1*0,3</t>
  </si>
  <si>
    <t>A2b*0,3</t>
  </si>
  <si>
    <t>Extended number of columns to put in element codes to 30. Turned the Print out to landscape view. Inserted what kind of team acrobatic is used on the printout. Fixed hybrid error warnings for factored hybrids. Inserted acro family letter infront of codes on the printout.</t>
  </si>
  <si>
    <t>Clubs to use on coch card drop down</t>
  </si>
  <si>
    <t xml:space="preserve">     &gt;   If "Club", you can write the name of the club manually on the coach card, or create a drop list of clubs here to the right --&gt;&gt;</t>
  </si>
  <si>
    <t>TB*0,3</t>
  </si>
  <si>
    <t>T1*0,3</t>
  </si>
  <si>
    <t>T2a*0,3</t>
  </si>
  <si>
    <t>T2b*0,3</t>
  </si>
  <si>
    <t>T3a*0,3</t>
  </si>
  <si>
    <t>T3b*0,3</t>
  </si>
  <si>
    <t>T3c*0,3</t>
  </si>
  <si>
    <t>T3d*0,3</t>
  </si>
  <si>
    <t>T4a*0,3</t>
  </si>
  <si>
    <t>T4b*0,3</t>
  </si>
  <si>
    <t>T4c*0,3</t>
  </si>
  <si>
    <t>T4d*0,3</t>
  </si>
  <si>
    <t>T4e*0,3</t>
  </si>
  <si>
    <t>T5a*0,3</t>
  </si>
  <si>
    <t>T5b*0,3</t>
  </si>
  <si>
    <t>T5c*0,3</t>
  </si>
  <si>
    <t>T5d*0,3</t>
  </si>
  <si>
    <t>T5e*0,3</t>
  </si>
  <si>
    <t>T6a*0,3</t>
  </si>
  <si>
    <t>T6b*0,3</t>
  </si>
  <si>
    <t>T6c*0,3</t>
  </si>
  <si>
    <t>T7*0,3</t>
  </si>
  <si>
    <t>T8*0,3</t>
  </si>
  <si>
    <t>T9a*0,3</t>
  </si>
  <si>
    <t>T9b*0,3</t>
  </si>
  <si>
    <t>SB*0,3</t>
  </si>
  <si>
    <t>SCB*0,3</t>
  </si>
  <si>
    <t>SCDB*0,3</t>
  </si>
  <si>
    <t>S1*0,3</t>
  </si>
  <si>
    <t>SC1*0,3</t>
  </si>
  <si>
    <t>SCD1*0,3</t>
  </si>
  <si>
    <t>S2*0,3</t>
  </si>
  <si>
    <t>SC2*0,3</t>
  </si>
  <si>
    <t>SCD2*0,3</t>
  </si>
  <si>
    <t>S3*0,3</t>
  </si>
  <si>
    <t>SC3*0,3</t>
  </si>
  <si>
    <t>SCD3*0,3</t>
  </si>
  <si>
    <t>S4*0,3</t>
  </si>
  <si>
    <t>SC4*0,3</t>
  </si>
  <si>
    <t>SCD4*0,3</t>
  </si>
  <si>
    <t>S5*0,3</t>
  </si>
  <si>
    <t>SC5*0,3</t>
  </si>
  <si>
    <t>SCD5*0,3</t>
  </si>
  <si>
    <t>S6*0,3</t>
  </si>
  <si>
    <t>SC6*0,3</t>
  </si>
  <si>
    <t>SCD6*0,3</t>
  </si>
  <si>
    <t>S7*0,3</t>
  </si>
  <si>
    <t>S8*0,3</t>
  </si>
  <si>
    <t>S9*0,3</t>
  </si>
  <si>
    <t>S10*0,3</t>
  </si>
  <si>
    <t>RB*0,3</t>
  </si>
  <si>
    <t>1RB*0,3</t>
  </si>
  <si>
    <t>2RB*0,3</t>
  </si>
  <si>
    <t>ROB*0,3</t>
  </si>
  <si>
    <t>RCB*0,3</t>
  </si>
  <si>
    <t>R1*0,3</t>
  </si>
  <si>
    <t>1R1*0,3</t>
  </si>
  <si>
    <t>2R1*0,3</t>
  </si>
  <si>
    <t>RD1*0,3</t>
  </si>
  <si>
    <t>RU1*0,3</t>
  </si>
  <si>
    <t>RO1*0,3</t>
  </si>
  <si>
    <t>R2*0,3</t>
  </si>
  <si>
    <t>1R2*0,3</t>
  </si>
  <si>
    <t>2R2*0,3</t>
  </si>
  <si>
    <t>RD2*0,3</t>
  </si>
  <si>
    <t>RU2*0,3</t>
  </si>
  <si>
    <t>R3*0,3</t>
  </si>
  <si>
    <t>1R3*0,3</t>
  </si>
  <si>
    <t>2R3*0,3</t>
  </si>
  <si>
    <t>RU3*0,3</t>
  </si>
  <si>
    <t>R4*0,3</t>
  </si>
  <si>
    <t>1R4*0,3</t>
  </si>
  <si>
    <t>2R4*0,3</t>
  </si>
  <si>
    <t>RD4*0,3</t>
  </si>
  <si>
    <t>RU4*0,3</t>
  </si>
  <si>
    <t>1R5*0,3</t>
  </si>
  <si>
    <t>2R5*0,3</t>
  </si>
  <si>
    <t>RU5*0,3</t>
  </si>
  <si>
    <t>1R6*0,3</t>
  </si>
  <si>
    <t>2R6*0,3</t>
  </si>
  <si>
    <t>RD6*0,3</t>
  </si>
  <si>
    <t>RU6*0,3</t>
  </si>
  <si>
    <t>2R7*0,3</t>
  </si>
  <si>
    <t>RU7*0,3</t>
  </si>
  <si>
    <t>2R8*0,3</t>
  </si>
  <si>
    <t>RU8*0,3</t>
  </si>
  <si>
    <t>2R9*0,3</t>
  </si>
  <si>
    <t>RU9*0,3</t>
  </si>
  <si>
    <t>2R10*0,3</t>
  </si>
  <si>
    <t>RU10*0,3</t>
  </si>
  <si>
    <t>AB*0,3</t>
  </si>
  <si>
    <t>A1a*0,3</t>
  </si>
  <si>
    <t>A1b*0,3</t>
  </si>
  <si>
    <t>A1c*0,3</t>
  </si>
  <si>
    <t>A1d*0,3</t>
  </si>
  <si>
    <t>A2a*0,3</t>
  </si>
  <si>
    <t>A3a*0,3</t>
  </si>
  <si>
    <t>A3b*0,3</t>
  </si>
  <si>
    <t>A4a*0,3</t>
  </si>
  <si>
    <t>A4b*0,3</t>
  </si>
  <si>
    <t>A5*0,3</t>
  </si>
  <si>
    <t>A6*0,3</t>
  </si>
  <si>
    <t>A7*0,3</t>
  </si>
  <si>
    <t>A8*0,3</t>
  </si>
  <si>
    <t>FB*0,3</t>
  </si>
  <si>
    <t>F1a*0,3</t>
  </si>
  <si>
    <t>F1b*0,3</t>
  </si>
  <si>
    <t>F1c*0,3</t>
  </si>
  <si>
    <t>F2a*0,3</t>
  </si>
  <si>
    <t>F2b*0,3</t>
  </si>
  <si>
    <t>F2c*0,3</t>
  </si>
  <si>
    <t>F3a*0,3</t>
  </si>
  <si>
    <t>F3b*0,3</t>
  </si>
  <si>
    <t>F3c*0,3</t>
  </si>
  <si>
    <t>F4a*0,3</t>
  </si>
  <si>
    <t>F4b*0,3</t>
  </si>
  <si>
    <t>F4c*0,3</t>
  </si>
  <si>
    <t>F4d*0,3</t>
  </si>
  <si>
    <t>F4e*0,3</t>
  </si>
  <si>
    <t>F4f*0,3</t>
  </si>
  <si>
    <t>F5a*0,3</t>
  </si>
  <si>
    <t>F5b*0,3</t>
  </si>
  <si>
    <t>F5c*0,3</t>
  </si>
  <si>
    <t>F6a*0,3</t>
  </si>
  <si>
    <t>F6b*0,3</t>
  </si>
  <si>
    <t>F6c*0,3</t>
  </si>
  <si>
    <t>F6d*0,3</t>
  </si>
  <si>
    <t>F7*0,3</t>
  </si>
  <si>
    <t>F8a*0,3</t>
  </si>
  <si>
    <t>F8b*0,3</t>
  </si>
  <si>
    <t>F9*0,3</t>
  </si>
  <si>
    <t>F10*0,3</t>
  </si>
  <si>
    <t>SB*0,5</t>
  </si>
  <si>
    <t>SCB*0,5</t>
  </si>
  <si>
    <t>SCDB*0,5</t>
  </si>
  <si>
    <t>S1*0,5</t>
  </si>
  <si>
    <t>SC1*0,5</t>
  </si>
  <si>
    <t>SCD1*0,5</t>
  </si>
  <si>
    <t>S2*0,5</t>
  </si>
  <si>
    <t>SC2*0,5</t>
  </si>
  <si>
    <t>SCD2*0,5</t>
  </si>
  <si>
    <t>S3*0,5</t>
  </si>
  <si>
    <t>SC3*0,5</t>
  </si>
  <si>
    <t>SCD3*0,5</t>
  </si>
  <si>
    <t>S4*0,5</t>
  </si>
  <si>
    <t>SC4*0,5</t>
  </si>
  <si>
    <t>SCD4*0,5</t>
  </si>
  <si>
    <t>S5*0,5</t>
  </si>
  <si>
    <t>SC5*0,5</t>
  </si>
  <si>
    <t>SCD5*0,5</t>
  </si>
  <si>
    <t>S6*0,5</t>
  </si>
  <si>
    <t>SC6*0,5</t>
  </si>
  <si>
    <t>SCD6*0,5</t>
  </si>
  <si>
    <t>S7*0,5</t>
  </si>
  <si>
    <t>S8*0,5</t>
  </si>
  <si>
    <t>S9*0,5</t>
  </si>
  <si>
    <t>S10*0,5</t>
  </si>
  <si>
    <t>RB*0,5</t>
  </si>
  <si>
    <t>1RB*0,5</t>
  </si>
  <si>
    <t>2RB*0,5</t>
  </si>
  <si>
    <t>ROB*0,5</t>
  </si>
  <si>
    <t>RCB*0,5</t>
  </si>
  <si>
    <t>R1*0,5</t>
  </si>
  <si>
    <t>1R1*0,5</t>
  </si>
  <si>
    <t>2R1*0,5</t>
  </si>
  <si>
    <t>RD1*0,5</t>
  </si>
  <si>
    <t>RU1*0,5</t>
  </si>
  <si>
    <t>RO1*0,5</t>
  </si>
  <si>
    <t>RC1*0,5</t>
  </si>
  <si>
    <t>R2*0,5</t>
  </si>
  <si>
    <t>1R2*0,5</t>
  </si>
  <si>
    <t>2R2*0,5</t>
  </si>
  <si>
    <t>RD2*0,5</t>
  </si>
  <si>
    <t>RU2*0,5</t>
  </si>
  <si>
    <t>R3*0,5</t>
  </si>
  <si>
    <t>1R3*0,5</t>
  </si>
  <si>
    <t>2R3*0,5</t>
  </si>
  <si>
    <t>RU3*0,5</t>
  </si>
  <si>
    <t>R4*0,5</t>
  </si>
  <si>
    <t>1R4*0,5</t>
  </si>
  <si>
    <t>2R4*0,5</t>
  </si>
  <si>
    <t>RD4*0,5</t>
  </si>
  <si>
    <t>RU4*0,5</t>
  </si>
  <si>
    <t>1R5*0,5</t>
  </si>
  <si>
    <t>2R5*0,5</t>
  </si>
  <si>
    <t>RU5*0,5</t>
  </si>
  <si>
    <t>1R6*0,5</t>
  </si>
  <si>
    <t>2R6*0,5</t>
  </si>
  <si>
    <t>RD6*0,5</t>
  </si>
  <si>
    <t>RU6*0,5</t>
  </si>
  <si>
    <t>2R7*0,5</t>
  </si>
  <si>
    <t>RU7*0,5</t>
  </si>
  <si>
    <t>2R8*0,5</t>
  </si>
  <si>
    <t>RU8*0,5</t>
  </si>
  <si>
    <t>2R9*0,5</t>
  </si>
  <si>
    <t>RU9*0,5</t>
  </si>
  <si>
    <t>2R10*0,5</t>
  </si>
  <si>
    <t>RU10*0,5</t>
  </si>
  <si>
    <t>AB*0,5</t>
  </si>
  <si>
    <t>A1a*0,5</t>
  </si>
  <si>
    <t>A1b*0,5</t>
  </si>
  <si>
    <t>A1c*0,5</t>
  </si>
  <si>
    <t>A1d*0,5</t>
  </si>
  <si>
    <t>A2a*0,5</t>
  </si>
  <si>
    <t>A2b*0,5</t>
  </si>
  <si>
    <t>A3a*0,5</t>
  </si>
  <si>
    <t>A3b*0,5</t>
  </si>
  <si>
    <t>A4a*0,5</t>
  </si>
  <si>
    <t>A4b*0,5</t>
  </si>
  <si>
    <t>A5*0,5</t>
  </si>
  <si>
    <t>A6*0,5</t>
  </si>
  <si>
    <t>A7*0,5</t>
  </si>
  <si>
    <t>A8*0,5</t>
  </si>
  <si>
    <t>FB*0,5</t>
  </si>
  <si>
    <t>F1a*0,5</t>
  </si>
  <si>
    <t>F1b*0,5</t>
  </si>
  <si>
    <t>F1c*0,5</t>
  </si>
  <si>
    <t>F2a*0,5</t>
  </si>
  <si>
    <t>F2b*0,5</t>
  </si>
  <si>
    <t>F2c*0,5</t>
  </si>
  <si>
    <t>F3a*0,5</t>
  </si>
  <si>
    <t>F3b*0,5</t>
  </si>
  <si>
    <t>F3c*0,5</t>
  </si>
  <si>
    <t>F4a*0,5</t>
  </si>
  <si>
    <t>F4b*0,5</t>
  </si>
  <si>
    <t>F4c*0,5</t>
  </si>
  <si>
    <t>F4d*0,5</t>
  </si>
  <si>
    <t>F4e*0,5</t>
  </si>
  <si>
    <t>F4f*0,5</t>
  </si>
  <si>
    <t>F5a*0,5</t>
  </si>
  <si>
    <t>F5b*0,5</t>
  </si>
  <si>
    <t>F5c*0,5</t>
  </si>
  <si>
    <t>F6a*0,5</t>
  </si>
  <si>
    <t>F6b*0,5</t>
  </si>
  <si>
    <t>F6c*0,5</t>
  </si>
  <si>
    <t>F6d*0,5</t>
  </si>
  <si>
    <t>F7*0,5</t>
  </si>
  <si>
    <t>F8a*0,5</t>
  </si>
  <si>
    <t>F8b*0,5</t>
  </si>
  <si>
    <t>F9*0,5</t>
  </si>
  <si>
    <t>F10*0,5</t>
  </si>
  <si>
    <t>Hyb_Code</t>
  </si>
  <si>
    <t>Hyb_Tech</t>
  </si>
  <si>
    <t>Hyb_Tech_Value</t>
  </si>
  <si>
    <r>
      <t xml:space="preserve"> (</t>
    </r>
    <r>
      <rPr>
        <b/>
        <sz val="10"/>
        <color rgb="FFFF0000"/>
        <rFont val="Arial"/>
        <family val="2"/>
      </rPr>
      <t>Red</t>
    </r>
    <r>
      <rPr>
        <b/>
        <sz val="10"/>
        <color theme="1"/>
        <rFont val="Arial"/>
        <family val="2"/>
      </rPr>
      <t>) = Something is wrong - check rules</t>
    </r>
  </si>
  <si>
    <t>v 6.7</t>
  </si>
  <si>
    <t>v 6.8</t>
  </si>
  <si>
    <t>If Hybrid is ChoHy, then BM=0. Error in row 28, some formulas was deleted by mistake.</t>
  </si>
  <si>
    <t>v 6.9</t>
  </si>
  <si>
    <t>T.R.E.</t>
  </si>
  <si>
    <t>ChoHy</t>
  </si>
  <si>
    <t>Minor adjustments in "Print" and some headings and comments.</t>
  </si>
  <si>
    <t>Cs1t0.5</t>
  </si>
  <si>
    <t>v 7.0</t>
  </si>
  <si>
    <t>One acro code incorrect, now corrected - Cs1t0.5</t>
  </si>
  <si>
    <t>CB+*0,5</t>
  </si>
  <si>
    <t>C1a+*0,5</t>
  </si>
  <si>
    <t>C1b+*0,5</t>
  </si>
  <si>
    <t>C2a+*0,5</t>
  </si>
  <si>
    <t>C2b+*0,5</t>
  </si>
  <si>
    <t>C2c+*0,5</t>
  </si>
  <si>
    <t>C3+*0,5</t>
  </si>
  <si>
    <t>C4+*0,5</t>
  </si>
  <si>
    <t>C5+*0,5</t>
  </si>
  <si>
    <t>C6a+*0,5</t>
  </si>
  <si>
    <t>C6b+*0,5</t>
  </si>
  <si>
    <t>C7+*0,5</t>
  </si>
  <si>
    <t>CB*0,3</t>
  </si>
  <si>
    <t>CB+*0,3</t>
  </si>
  <si>
    <t>C1a*0,3</t>
  </si>
  <si>
    <t>C1a+*0,3</t>
  </si>
  <si>
    <t>C1b*0,3</t>
  </si>
  <si>
    <t>C1b+*0,3</t>
  </si>
  <si>
    <t>C2a*0,3</t>
  </si>
  <si>
    <t>C2a+*0,3</t>
  </si>
  <si>
    <t>C2b*0,3</t>
  </si>
  <si>
    <t>C2b+*0,3</t>
  </si>
  <si>
    <t>C2c*0,3</t>
  </si>
  <si>
    <t>C2c+*0,3</t>
  </si>
  <si>
    <t>C3*0,3</t>
  </si>
  <si>
    <t>C3+*0,3</t>
  </si>
  <si>
    <t>C4*0,3</t>
  </si>
  <si>
    <t>C4+*0,3</t>
  </si>
  <si>
    <t>C5*0,3</t>
  </si>
  <si>
    <t>C5+*0,3</t>
  </si>
  <si>
    <t>C6a*0,3</t>
  </si>
  <si>
    <t>C6a+*0,3</t>
  </si>
  <si>
    <t>C6b*0,3</t>
  </si>
  <si>
    <t>C6b+*0,3</t>
  </si>
  <si>
    <t>C7*0,3</t>
  </si>
  <si>
    <t>C7+*0,3</t>
  </si>
  <si>
    <t>v 7.1</t>
  </si>
  <si>
    <t>Added factored Hybrid - C for Teams/Combo/Acrobatic</t>
  </si>
  <si>
    <t>v 7.2</t>
  </si>
  <si>
    <t>Exporting ChoHyfor Combo to score program to better showing in Detailed Score. Correcting red warning on more than 3 of same technique</t>
  </si>
  <si>
    <t>Color Hybrid families:</t>
  </si>
  <si>
    <r>
      <t xml:space="preserve">&gt;   If you want to color the different hybrid families (to easier identify families) -&gt; </t>
    </r>
    <r>
      <rPr>
        <b/>
        <sz val="11"/>
        <color theme="1"/>
        <rFont val="Calibri"/>
        <family val="2"/>
        <scheme val="minor"/>
      </rPr>
      <t>Turn on the color function in cell AL16</t>
    </r>
  </si>
  <si>
    <t>v 7.3</t>
  </si>
  <si>
    <t>v 7.4</t>
  </si>
  <si>
    <t>Corrected BM in duets hybrids in the green "copy area". This did not affect the coach card or the scoring program, but it looks incorrect.</t>
  </si>
  <si>
    <t>Colors now possible to use for hybrid families to be more visible. If you want to use this, make a mark in cell AL16</t>
  </si>
  <si>
    <t>v 7.5</t>
  </si>
  <si>
    <t xml:space="preserve">Acro    L+spot&gt;  was missing the last   &gt;   . Now corrected </t>
  </si>
  <si>
    <t>v 7.6</t>
  </si>
  <si>
    <t>&gt;   IMPORTANT - Check that all codes are correct. Responsibillity for correct codes lies with the person creating the coach card!</t>
  </si>
  <si>
    <t>If you have 2 Acrobatics directly after each other, the CC flashes red, but this is OK. Fixed now. ChoHY was validated as a Hybrid Connection Family and the check for all families was then wrong, Fixed now.</t>
  </si>
  <si>
    <t>v 7.7</t>
  </si>
  <si>
    <t>Acro OK?</t>
  </si>
  <si>
    <t>SK Neptun</t>
  </si>
  <si>
    <t>Växjö SS</t>
  </si>
  <si>
    <t>Jönköpings SS</t>
  </si>
  <si>
    <t>SK Täby Synchro</t>
  </si>
  <si>
    <t>Örebro SA</t>
  </si>
  <si>
    <t>Göteborg Sim</t>
  </si>
  <si>
    <t>Järfälla SS</t>
  </si>
  <si>
    <t>Atlas SF</t>
  </si>
  <si>
    <t>Hallsberg Artistic</t>
  </si>
  <si>
    <t>Kontsim Amfritrite</t>
  </si>
  <si>
    <t>Kristianstads SLS</t>
  </si>
  <si>
    <t>Warning text on "Print" if violation of "Theme" or to many Acrobatic groups or missing Acrobatic groups or missing TRE or missing required elements.</t>
  </si>
  <si>
    <t>v 7.8</t>
  </si>
  <si>
    <t>Lf</t>
  </si>
  <si>
    <t>S!r0.5&gt;</t>
  </si>
  <si>
    <t>S!fr0.5&gt;</t>
  </si>
  <si>
    <t>Js0.5B</t>
  </si>
  <si>
    <t>Jdf</t>
  </si>
  <si>
    <t>SL!f2+r1&gt;</t>
  </si>
  <si>
    <t>Adapted to rule changes by AW by October-25 (New appendix 6+7)</t>
  </si>
  <si>
    <t>D</t>
  </si>
  <si>
    <t>s1.5t1fo</t>
  </si>
  <si>
    <t>ss1.5</t>
  </si>
  <si>
    <t>1PPx</t>
  </si>
  <si>
    <t>1PH</t>
  </si>
  <si>
    <t>PP2</t>
  </si>
  <si>
    <t>H1F/</t>
  </si>
  <si>
    <t>HT+</t>
  </si>
  <si>
    <t>pp</t>
  </si>
  <si>
    <t>ct</t>
  </si>
  <si>
    <t>2pp</t>
  </si>
  <si>
    <t>2ct</t>
  </si>
  <si>
    <t>ff</t>
  </si>
  <si>
    <t>sn</t>
  </si>
  <si>
    <t>2ff</t>
  </si>
  <si>
    <t>2sn</t>
  </si>
  <si>
    <t>3pS</t>
  </si>
  <si>
    <t>3pbA</t>
  </si>
  <si>
    <t>2pA/</t>
  </si>
  <si>
    <t>BA</t>
  </si>
  <si>
    <t>DBB</t>
  </si>
  <si>
    <t>2pBb</t>
  </si>
  <si>
    <t>&gt;2P2P</t>
  </si>
  <si>
    <t>SF+TP</t>
  </si>
  <si>
    <t>ShiShi+</t>
  </si>
  <si>
    <t>HP+L</t>
  </si>
  <si>
    <t>Pr1.5</t>
  </si>
  <si>
    <t>Ph</t>
  </si>
  <si>
    <t>P1.5h</t>
  </si>
  <si>
    <t>P2</t>
  </si>
  <si>
    <t>P2S</t>
  </si>
  <si>
    <t>P2Sr0.5</t>
  </si>
  <si>
    <t>P2Sr1</t>
  </si>
  <si>
    <t>PDB</t>
  </si>
  <si>
    <t>PDB0.5</t>
  </si>
  <si>
    <t>PDB1</t>
  </si>
  <si>
    <t>Construction "C"</t>
  </si>
  <si>
    <t>Direction "D"</t>
  </si>
  <si>
    <t>Area of support and type of connection "S"</t>
  </si>
  <si>
    <t>Position 1 "P"</t>
  </si>
  <si>
    <t>Position 2 "P"</t>
  </si>
  <si>
    <t>Rotation of construction "R"</t>
  </si>
  <si>
    <t>The plane and degree of rotation "T"</t>
  </si>
  <si>
    <t>Bonus "B"</t>
  </si>
  <si>
    <t>Diva</t>
  </si>
  <si>
    <t>PRoll</t>
  </si>
  <si>
    <t>Kozak</t>
  </si>
  <si>
    <t>Ps1o</t>
  </si>
  <si>
    <t>Ps1t0.5o</t>
  </si>
  <si>
    <t>Pf1</t>
  </si>
  <si>
    <t>Pf1o</t>
  </si>
  <si>
    <t>Mov1</t>
  </si>
  <si>
    <t>Mov1+t</t>
  </si>
  <si>
    <t>L+spot</t>
  </si>
  <si>
    <t>Thr&gt;hand</t>
  </si>
  <si>
    <t>Thr&gt;StH&gt;1F</t>
  </si>
  <si>
    <t>Chs0.5</t>
  </si>
  <si>
    <t>Ju</t>
  </si>
  <si>
    <t>1P&gt;H</t>
  </si>
  <si>
    <t>H&gt;1P</t>
  </si>
  <si>
    <t>1F&gt;1F+</t>
  </si>
  <si>
    <t>2F&gt;2F</t>
  </si>
  <si>
    <t>Group A+P</t>
  </si>
  <si>
    <t>Check bonus repeat</t>
  </si>
  <si>
    <t>Thr&gt;Pair&gt;</t>
  </si>
  <si>
    <t>Construction/Connection check B + P</t>
  </si>
  <si>
    <t>B - Constructions with the type of connections that must be used with</t>
  </si>
  <si>
    <t>P - Constructions with the type of connections that must be used with</t>
  </si>
  <si>
    <t>2pK</t>
  </si>
  <si>
    <t>L/Sif+P</t>
  </si>
  <si>
    <t>1P1F</t>
  </si>
  <si>
    <t>LayF</t>
  </si>
  <si>
    <t>2pH</t>
  </si>
  <si>
    <t>v 7.9</t>
  </si>
  <si>
    <t>Infinity mark removed from codes. This was not a part of the code for coach cards. More a reference for TC and coaches.</t>
  </si>
  <si>
    <t>v 8.0</t>
  </si>
  <si>
    <t>Restriction for duets and mixed duets with only 2x per technique are only restricted for connections. All other hybrids have a 3x per technique restriction. Corrected now. (AS 29.6.1.10 c)</t>
  </si>
  <si>
    <t>v 8.1</t>
  </si>
  <si>
    <t>Corrected error warning about to many of the same hybrid family or hybrid technique.</t>
  </si>
  <si>
    <t>v 8.2</t>
  </si>
  <si>
    <t>check for restriction on duets and mixed duets with only 2x per technique in connections fell away in v 8.1. Fixed now again.</t>
  </si>
  <si>
    <t>v 8.3</t>
  </si>
  <si>
    <t>The hybrid family minimum check did not work after the 17th element part. This did not effect scoring, only the warning.</t>
  </si>
  <si>
    <t>v 8.4</t>
  </si>
  <si>
    <t>Corrected an error with checking for double bonus on Acrobatic Platforms</t>
  </si>
  <si>
    <t>Chk1</t>
  </si>
  <si>
    <t>Chk2</t>
  </si>
  <si>
    <t>v. 8.5</t>
  </si>
  <si>
    <t>APNEA</t>
  </si>
  <si>
    <t>Limit</t>
  </si>
  <si>
    <t>Element</t>
  </si>
  <si>
    <t>Start</t>
  </si>
  <si>
    <t>End</t>
  </si>
  <si>
    <t>EA-violation</t>
  </si>
  <si>
    <t>x</t>
  </si>
  <si>
    <t>Use EA apnea rule</t>
  </si>
  <si>
    <t>v 8.5</t>
  </si>
  <si>
    <t>Included warning if violation of EA apnea rule</t>
  </si>
  <si>
    <t>APNEA-rule !</t>
  </si>
  <si>
    <t>&gt;   European Aquatics rule about max 25 seconds in hybrids is by default active. If no need, change this in "Coach card" cell C10</t>
  </si>
  <si>
    <t>Senior</t>
  </si>
  <si>
    <t>Junior</t>
  </si>
  <si>
    <t>Youth</t>
  </si>
  <si>
    <t>12 and 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</si>
</sst>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0\ &quot;kr&quot;;[Red]\-#,##0\ &quot;kr&quot;"/>
    <numFmt numFmtId="164" formatCode="00"/>
    <numFmt numFmtId="165" formatCode="mm:ss;@"/>
    <numFmt numFmtId="166" formatCode="0.000"/>
    <numFmt numFmtId="167" formatCode="0.0"/>
    <numFmt numFmtId="168" formatCode="0.0%"/>
    <numFmt numFmtId="169" formatCode="0.0000"/>
    <numFmt numFmtId="170" formatCode="0.000#"/>
  </numFmts>
  <fonts count="62" x14ac:knownFonts="1">
    <font>
      <sz val="11"/>
      <color theme="1"/>
      <name val="Calibri"/>
      <family val="2"/>
      <scheme val="minor"/>
    </font>
    <font>
      <sz val="11"/>
      <color theme="1"/>
      <name val="Calibri"/>
      <family val="2"/>
      <charset val="204"/>
      <scheme val="minor"/>
    </font>
    <font>
      <sz val="10"/>
      <color theme="1"/>
      <name val="Arial"/>
      <family val="2"/>
    </font>
    <font>
      <b/>
      <sz val="28"/>
      <color theme="0"/>
      <name val="Arial"/>
      <family val="2"/>
    </font>
    <font>
      <b/>
      <sz val="10"/>
      <color theme="1"/>
      <name val="Arial"/>
      <family val="2"/>
    </font>
    <font>
      <sz val="10"/>
      <color theme="1"/>
      <name val="Calibri"/>
      <family val="2"/>
      <charset val="204"/>
      <scheme val="minor"/>
    </font>
    <font>
      <sz val="10"/>
      <color theme="0"/>
      <name val="Arial"/>
      <family val="2"/>
    </font>
    <font>
      <sz val="10"/>
      <name val="Arial"/>
      <family val="2"/>
    </font>
    <font>
      <sz val="8"/>
      <color theme="1"/>
      <name val="Arial"/>
      <family val="2"/>
    </font>
    <font>
      <b/>
      <sz val="10"/>
      <color theme="1"/>
      <name val="Calibri"/>
      <family val="2"/>
      <scheme val="minor"/>
    </font>
    <font>
      <sz val="8"/>
      <name val="Calibri"/>
      <family val="2"/>
      <scheme val="minor"/>
    </font>
    <font>
      <sz val="11"/>
      <color theme="0"/>
      <name val="Calibri"/>
      <family val="2"/>
      <scheme val="minor"/>
    </font>
    <font>
      <b/>
      <sz val="10"/>
      <color theme="0"/>
      <name val="Arial"/>
      <family val="2"/>
    </font>
    <font>
      <sz val="10"/>
      <color theme="0"/>
      <name val="Calibri"/>
      <family val="2"/>
      <charset val="204"/>
      <scheme val="minor"/>
    </font>
    <font>
      <sz val="10"/>
      <color theme="0" tint="-0.14999847407452621"/>
      <name val="Arial"/>
      <family val="2"/>
    </font>
    <font>
      <sz val="11"/>
      <color theme="1"/>
      <name val="Arial"/>
      <family val="2"/>
    </font>
    <font>
      <sz val="10"/>
      <color rgb="FF000000"/>
      <name val="Times New Roman"/>
      <family val="1"/>
    </font>
    <font>
      <b/>
      <sz val="8"/>
      <name val="Tahoma"/>
      <family val="2"/>
    </font>
    <font>
      <b/>
      <sz val="6"/>
      <name val="Tahoma"/>
      <family val="2"/>
    </font>
    <font>
      <b/>
      <sz val="8"/>
      <name val="Arial Black"/>
      <family val="2"/>
    </font>
    <font>
      <b/>
      <sz val="11"/>
      <name val="Tahoma"/>
      <family val="2"/>
    </font>
    <font>
      <sz val="11"/>
      <color rgb="FF000000"/>
      <name val="Times New Roman"/>
      <family val="1"/>
    </font>
    <font>
      <sz val="12"/>
      <color rgb="FF000000"/>
      <name val="Times New Roman"/>
      <family val="1"/>
    </font>
    <font>
      <sz val="8"/>
      <name val="Tahoma"/>
      <family val="2"/>
    </font>
    <font>
      <b/>
      <sz val="11"/>
      <color rgb="FF000000"/>
      <name val="Times New Roman"/>
      <family val="1"/>
    </font>
    <font>
      <b/>
      <sz val="48"/>
      <name val="Calibri"/>
      <family val="2"/>
    </font>
    <font>
      <b/>
      <sz val="48"/>
      <color rgb="FF0182C5"/>
      <name val="Calibri"/>
      <family val="2"/>
    </font>
    <font>
      <sz val="14"/>
      <color rgb="FF000000"/>
      <name val="Calibri"/>
      <family val="2"/>
      <scheme val="minor"/>
    </font>
    <font>
      <sz val="11"/>
      <color rgb="FFFF0000"/>
      <name val="Calibri"/>
      <family val="2"/>
      <scheme val="minor"/>
    </font>
    <font>
      <b/>
      <sz val="10"/>
      <color rgb="FFFF0000"/>
      <name val="Arial"/>
      <family val="2"/>
    </font>
    <font>
      <sz val="10"/>
      <color rgb="FFFF0000"/>
      <name val="Arial"/>
      <family val="2"/>
    </font>
    <font>
      <sz val="10"/>
      <color rgb="FFFF0000"/>
      <name val="Calibri"/>
      <family val="2"/>
      <charset val="204"/>
      <scheme val="minor"/>
    </font>
    <font>
      <b/>
      <sz val="10"/>
      <color rgb="FFFF0000"/>
      <name val="Calibri"/>
      <family val="2"/>
      <scheme val="minor"/>
    </font>
    <font>
      <sz val="11"/>
      <color rgb="FFFF0000"/>
      <name val="Calibri"/>
      <family val="2"/>
      <charset val="204"/>
      <scheme val="minor"/>
    </font>
    <font>
      <b/>
      <sz val="16"/>
      <color theme="1"/>
      <name val="Calibri"/>
      <family val="2"/>
      <scheme val="minor"/>
    </font>
    <font>
      <b/>
      <sz val="12"/>
      <color rgb="FF000000"/>
      <name val="Times New Roman"/>
      <family val="1"/>
    </font>
    <font>
      <sz val="14"/>
      <color rgb="FF000000"/>
      <name val="Times New Roman"/>
      <family val="1"/>
    </font>
    <font>
      <i/>
      <sz val="11"/>
      <color theme="1"/>
      <name val="Calibri"/>
      <family val="2"/>
      <scheme val="minor"/>
    </font>
    <font>
      <b/>
      <sz val="9"/>
      <color theme="1"/>
      <name val="Arial"/>
      <family val="2"/>
    </font>
    <font>
      <sz val="10"/>
      <color rgb="FFFF0000"/>
      <name val="Times New Roman"/>
      <family val="1"/>
    </font>
    <font>
      <sz val="11"/>
      <color rgb="FFFF0000"/>
      <name val="Times New Roman"/>
      <family val="1"/>
    </font>
    <font>
      <b/>
      <sz val="11"/>
      <color rgb="FFFF0000"/>
      <name val="Times New Roman"/>
      <family val="1"/>
    </font>
    <font>
      <b/>
      <sz val="11"/>
      <color theme="1"/>
      <name val="Calibri"/>
      <family val="2"/>
      <scheme val="minor"/>
    </font>
    <font>
      <b/>
      <sz val="18"/>
      <color theme="1"/>
      <name val="Calibri"/>
      <family val="2"/>
      <scheme val="minor"/>
    </font>
    <font>
      <b/>
      <sz val="48"/>
      <color rgb="FF000000"/>
      <name val="Arial"/>
      <family val="2"/>
    </font>
    <font>
      <b/>
      <sz val="11"/>
      <color theme="9"/>
      <name val="Calibri"/>
      <family val="2"/>
      <scheme val="minor"/>
    </font>
    <font>
      <b/>
      <sz val="12"/>
      <color theme="1"/>
      <name val="Calibri"/>
      <family val="2"/>
      <scheme val="minor"/>
    </font>
    <font>
      <sz val="12"/>
      <color theme="1"/>
      <name val="Arial"/>
      <family val="2"/>
    </font>
    <font>
      <b/>
      <sz val="8"/>
      <color theme="1"/>
      <name val="Arial"/>
      <family val="2"/>
    </font>
    <font>
      <sz val="18"/>
      <color rgb="FF000000"/>
      <name val="Times New Roman"/>
      <family val="1"/>
    </font>
    <font>
      <b/>
      <sz val="16"/>
      <color rgb="FF000000"/>
      <name val="Times New Roman"/>
      <family val="1"/>
    </font>
    <font>
      <sz val="10"/>
      <color theme="0"/>
      <name val="Times New Roman"/>
      <family val="1"/>
    </font>
    <font>
      <sz val="11"/>
      <color theme="0"/>
      <name val="Times New Roman"/>
      <family val="1"/>
    </font>
    <font>
      <b/>
      <sz val="11"/>
      <color theme="0"/>
      <name val="Times New Roman"/>
      <family val="1"/>
    </font>
    <font>
      <sz val="9"/>
      <color indexed="81"/>
      <name val="Tahoma"/>
      <family val="2"/>
    </font>
    <font>
      <b/>
      <sz val="9"/>
      <color indexed="81"/>
      <name val="Tahoma"/>
      <family val="2"/>
    </font>
    <font>
      <sz val="11"/>
      <color theme="0"/>
      <name val="Calibri"/>
      <family val="2"/>
      <charset val="204"/>
      <scheme val="minor"/>
    </font>
    <font>
      <sz val="8"/>
      <color theme="1"/>
      <name val="Aptos Narrow"/>
      <family val="2"/>
    </font>
    <font>
      <b/>
      <sz val="11"/>
      <color theme="1"/>
      <name val="Arial"/>
      <family val="2"/>
    </font>
    <font>
      <b/>
      <sz val="10"/>
      <name val="Arial"/>
      <family val="2"/>
    </font>
    <font>
      <b/>
      <sz val="16"/>
      <name val="Arial"/>
      <family val="2"/>
    </font>
    <font>
      <b/>
      <sz val="12"/>
      <color theme="0"/>
      <name val="Times New Roman"/>
      <family val="1"/>
    </font>
  </fonts>
  <fills count="18">
    <fill>
      <patternFill patternType="none"/>
    </fill>
    <fill>
      <patternFill patternType="gray125"/>
    </fill>
    <fill>
      <patternFill patternType="solid">
        <fgColor theme="4" tint="0.39997558519241921"/>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rgb="FFFFFF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1F1F1"/>
      </patternFill>
    </fill>
    <fill>
      <patternFill patternType="solid">
        <fgColor theme="0" tint="-4.9989318521683403E-2"/>
        <bgColor indexed="64"/>
      </patternFill>
    </fill>
    <fill>
      <patternFill patternType="solid">
        <fgColor rgb="FFFF0000"/>
        <bgColor indexed="64"/>
      </patternFill>
    </fill>
    <fill>
      <patternFill patternType="solid">
        <fgColor theme="0"/>
        <bgColor indexed="64"/>
      </patternFill>
    </fill>
    <fill>
      <patternFill patternType="solid">
        <fgColor theme="6" tint="0.59999389629810485"/>
        <bgColor indexed="64"/>
      </patternFill>
    </fill>
    <fill>
      <patternFill patternType="solid">
        <fgColor rgb="FFFFA3A3"/>
        <bgColor indexed="64"/>
      </patternFill>
    </fill>
    <fill>
      <patternFill patternType="solid">
        <fgColor theme="9" tint="0.59999389629810485"/>
        <bgColor indexed="64"/>
      </patternFill>
    </fill>
    <fill>
      <patternFill patternType="solid">
        <fgColor theme="0" tint="-0.249977111117893"/>
        <bgColor indexed="64"/>
      </patternFill>
    </fill>
  </fills>
  <borders count="57">
    <border>
      <left/>
      <right/>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top style="thin">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auto="1"/>
      </bottom>
      <diagonal/>
    </border>
    <border>
      <left style="medium">
        <color indexed="64"/>
      </left>
      <right/>
      <top/>
      <bottom style="medium">
        <color auto="1"/>
      </bottom>
      <diagonal/>
    </border>
    <border>
      <left style="thin">
        <color indexed="64"/>
      </left>
      <right/>
      <top style="thin">
        <color indexed="64"/>
      </top>
      <bottom/>
      <diagonal/>
    </border>
    <border>
      <left style="thin">
        <color indexed="64"/>
      </left>
      <right/>
      <top/>
      <bottom/>
      <diagonal/>
    </border>
    <border>
      <left style="thin">
        <color auto="1"/>
      </left>
      <right style="thin">
        <color auto="1"/>
      </right>
      <top style="thin">
        <color auto="1"/>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medium">
        <color indexed="64"/>
      </right>
      <top style="medium">
        <color indexed="64"/>
      </top>
      <bottom style="thin">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style="thin">
        <color auto="1"/>
      </left>
      <right style="thin">
        <color auto="1"/>
      </right>
      <top/>
      <bottom/>
      <diagonal/>
    </border>
    <border>
      <left/>
      <right style="thin">
        <color auto="1"/>
      </right>
      <top style="thin">
        <color rgb="FF000000"/>
      </top>
      <bottom style="thin">
        <color rgb="FF000000"/>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right style="medium">
        <color indexed="64"/>
      </right>
      <top style="thin">
        <color indexed="64"/>
      </top>
      <bottom style="medium">
        <color indexed="64"/>
      </bottom>
      <diagonal/>
    </border>
    <border>
      <left style="thin">
        <color auto="1"/>
      </left>
      <right/>
      <top style="medium">
        <color auto="1"/>
      </top>
      <bottom style="thin">
        <color indexed="64"/>
      </bottom>
      <diagonal/>
    </border>
  </borders>
  <cellStyleXfs count="3">
    <xf numFmtId="0" fontId="0" fillId="0" borderId="0"/>
    <xf numFmtId="0" fontId="1" fillId="0" borderId="0"/>
    <xf numFmtId="0" fontId="16" fillId="0" borderId="0"/>
  </cellStyleXfs>
  <cellXfs count="403">
    <xf numFmtId="0" fontId="0" fillId="0" borderId="0" xfId="0"/>
    <xf numFmtId="0" fontId="0" fillId="0" borderId="0" xfId="0" applyAlignment="1">
      <alignment horizontal="center"/>
    </xf>
    <xf numFmtId="165" fontId="0" fillId="0" borderId="0" xfId="0" applyNumberFormat="1" applyAlignment="1">
      <alignment horizontal="center"/>
    </xf>
    <xf numFmtId="0" fontId="0" fillId="0" borderId="0" xfId="0" applyAlignment="1">
      <alignment horizontal="left"/>
    </xf>
    <xf numFmtId="167" fontId="0" fillId="0" borderId="0" xfId="0" applyNumberFormat="1" applyAlignment="1">
      <alignment horizontal="center"/>
    </xf>
    <xf numFmtId="0" fontId="0" fillId="3" borderId="0" xfId="0" applyFill="1"/>
    <xf numFmtId="0" fontId="0" fillId="3" borderId="0" xfId="0" applyFill="1" applyAlignment="1">
      <alignment horizontal="center"/>
    </xf>
    <xf numFmtId="167" fontId="0" fillId="0" borderId="0" xfId="0" applyNumberFormat="1"/>
    <xf numFmtId="1" fontId="0" fillId="0" borderId="0" xfId="0" applyNumberFormat="1" applyAlignment="1">
      <alignment horizontal="center"/>
    </xf>
    <xf numFmtId="164" fontId="7" fillId="0" borderId="0" xfId="1" applyNumberFormat="1" applyFont="1" applyAlignment="1" applyProtection="1">
      <alignment horizontal="center" vertical="center"/>
      <protection locked="0"/>
    </xf>
    <xf numFmtId="0" fontId="2" fillId="2" borderId="0" xfId="1" applyFont="1" applyFill="1" applyAlignment="1" applyProtection="1">
      <alignment horizontal="center" vertical="center"/>
      <protection hidden="1"/>
    </xf>
    <xf numFmtId="0" fontId="2" fillId="2" borderId="0" xfId="1" applyFont="1" applyFill="1" applyAlignment="1" applyProtection="1">
      <alignment vertical="center"/>
      <protection hidden="1"/>
    </xf>
    <xf numFmtId="0" fontId="2" fillId="0" borderId="0" xfId="1" applyFont="1" applyAlignment="1" applyProtection="1">
      <alignment vertical="center"/>
      <protection hidden="1"/>
    </xf>
    <xf numFmtId="0" fontId="5" fillId="0" borderId="3" xfId="1" applyFont="1" applyBorder="1" applyAlignment="1" applyProtection="1">
      <alignment vertical="center"/>
      <protection hidden="1"/>
    </xf>
    <xf numFmtId="0" fontId="4" fillId="0" borderId="5" xfId="1" applyFont="1" applyBorder="1" applyAlignment="1" applyProtection="1">
      <alignment horizontal="left" vertical="center"/>
      <protection hidden="1"/>
    </xf>
    <xf numFmtId="0" fontId="5" fillId="0" borderId="5" xfId="1" applyFont="1" applyBorder="1" applyAlignment="1" applyProtection="1">
      <alignment vertical="center"/>
      <protection hidden="1"/>
    </xf>
    <xf numFmtId="0" fontId="2" fillId="0" borderId="0" xfId="1" applyFont="1" applyAlignment="1" applyProtection="1">
      <alignment horizontal="center" vertical="center"/>
      <protection hidden="1"/>
    </xf>
    <xf numFmtId="0" fontId="2" fillId="3" borderId="0" xfId="1" applyFont="1" applyFill="1" applyAlignment="1" applyProtection="1">
      <alignment vertical="center"/>
      <protection hidden="1"/>
    </xf>
    <xf numFmtId="0" fontId="4" fillId="0" borderId="0" xfId="1" applyFont="1" applyAlignment="1" applyProtection="1">
      <alignment horizontal="left" vertical="center"/>
      <protection hidden="1"/>
    </xf>
    <xf numFmtId="0" fontId="5" fillId="0" borderId="0" xfId="1" applyFont="1" applyAlignment="1" applyProtection="1">
      <alignment vertical="center"/>
      <protection hidden="1"/>
    </xf>
    <xf numFmtId="0" fontId="6" fillId="0" borderId="0" xfId="1" applyFont="1" applyAlignment="1" applyProtection="1">
      <alignment horizontal="center" vertical="center"/>
      <protection hidden="1"/>
    </xf>
    <xf numFmtId="0" fontId="6" fillId="0" borderId="0" xfId="1" applyFont="1" applyAlignment="1" applyProtection="1">
      <alignment vertical="center"/>
      <protection hidden="1"/>
    </xf>
    <xf numFmtId="0" fontId="5" fillId="0" borderId="0" xfId="1" applyFont="1" applyAlignment="1" applyProtection="1">
      <alignment horizontal="center" vertical="center"/>
      <protection hidden="1"/>
    </xf>
    <xf numFmtId="0" fontId="9" fillId="0" borderId="0" xfId="1" applyFont="1" applyAlignment="1" applyProtection="1">
      <alignment horizontal="right" vertical="center"/>
      <protection hidden="1"/>
    </xf>
    <xf numFmtId="0" fontId="4" fillId="0" borderId="0" xfId="1" applyFont="1" applyAlignment="1" applyProtection="1">
      <alignment horizontal="right" vertical="center"/>
      <protection hidden="1"/>
    </xf>
    <xf numFmtId="164" fontId="4" fillId="0" borderId="0" xfId="1" applyNumberFormat="1" applyFont="1" applyAlignment="1" applyProtection="1">
      <alignment horizontal="center" vertical="center"/>
      <protection hidden="1"/>
    </xf>
    <xf numFmtId="0" fontId="2" fillId="0" borderId="12" xfId="1" applyFont="1" applyBorder="1" applyAlignment="1" applyProtection="1">
      <alignment horizontal="center" vertical="center"/>
      <protection hidden="1"/>
    </xf>
    <xf numFmtId="0" fontId="2" fillId="0" borderId="18" xfId="1" applyFont="1" applyBorder="1" applyAlignment="1" applyProtection="1">
      <alignment vertical="center"/>
      <protection hidden="1"/>
    </xf>
    <xf numFmtId="0" fontId="4" fillId="0" borderId="20" xfId="1" applyFont="1" applyBorder="1" applyAlignment="1" applyProtection="1">
      <alignment horizontal="center" vertical="center"/>
      <protection hidden="1"/>
    </xf>
    <xf numFmtId="0" fontId="2" fillId="4" borderId="1" xfId="1" applyFont="1" applyFill="1" applyBorder="1" applyAlignment="1" applyProtection="1">
      <alignment horizontal="center" vertical="center"/>
      <protection hidden="1"/>
    </xf>
    <xf numFmtId="0" fontId="2" fillId="4" borderId="1" xfId="1" applyFont="1" applyFill="1" applyBorder="1" applyAlignment="1" applyProtection="1">
      <alignment horizontal="center" vertical="center" wrapText="1"/>
      <protection hidden="1"/>
    </xf>
    <xf numFmtId="0" fontId="8" fillId="0" borderId="22" xfId="1" applyFont="1" applyBorder="1" applyAlignment="1" applyProtection="1">
      <alignment horizontal="center" vertical="center" wrapText="1"/>
      <protection hidden="1"/>
    </xf>
    <xf numFmtId="0" fontId="4" fillId="0" borderId="15" xfId="1" applyFont="1" applyBorder="1" applyAlignment="1" applyProtection="1">
      <alignment horizontal="center" vertical="center"/>
      <protection hidden="1"/>
    </xf>
    <xf numFmtId="0" fontId="2" fillId="3" borderId="0" xfId="1" applyFont="1" applyFill="1" applyAlignment="1" applyProtection="1">
      <alignment horizontal="center" vertical="center"/>
      <protection hidden="1"/>
    </xf>
    <xf numFmtId="0" fontId="2" fillId="3" borderId="21" xfId="1" applyFont="1" applyFill="1" applyBorder="1" applyAlignment="1" applyProtection="1">
      <alignment horizontal="center" vertical="center"/>
      <protection hidden="1"/>
    </xf>
    <xf numFmtId="0" fontId="2" fillId="3" borderId="12" xfId="1" applyFont="1" applyFill="1" applyBorder="1" applyAlignment="1" applyProtection="1">
      <alignment horizontal="center" vertical="center"/>
      <protection hidden="1"/>
    </xf>
    <xf numFmtId="0" fontId="2" fillId="3" borderId="17" xfId="1" applyFont="1" applyFill="1" applyBorder="1" applyAlignment="1" applyProtection="1">
      <alignment horizontal="center" vertical="center"/>
      <protection hidden="1"/>
    </xf>
    <xf numFmtId="0" fontId="2" fillId="3" borderId="17" xfId="1" applyFont="1" applyFill="1" applyBorder="1" applyAlignment="1" applyProtection="1">
      <alignment vertical="center"/>
      <protection hidden="1"/>
    </xf>
    <xf numFmtId="166" fontId="2" fillId="3" borderId="17" xfId="1" applyNumberFormat="1" applyFont="1" applyFill="1" applyBorder="1" applyAlignment="1" applyProtection="1">
      <alignment vertical="center"/>
      <protection hidden="1"/>
    </xf>
    <xf numFmtId="164" fontId="2" fillId="0" borderId="12" xfId="1" applyNumberFormat="1" applyFont="1" applyBorder="1" applyAlignment="1" applyProtection="1">
      <alignment horizontal="center" vertical="center"/>
      <protection hidden="1"/>
    </xf>
    <xf numFmtId="164" fontId="2" fillId="0" borderId="0" xfId="1" applyNumberFormat="1" applyFont="1" applyAlignment="1" applyProtection="1">
      <alignment horizontal="center" vertical="center"/>
      <protection hidden="1"/>
    </xf>
    <xf numFmtId="164" fontId="7" fillId="0" borderId="0" xfId="1" applyNumberFormat="1" applyFont="1" applyAlignment="1" applyProtection="1">
      <alignment horizontal="center" vertical="center"/>
      <protection hidden="1"/>
    </xf>
    <xf numFmtId="0" fontId="2" fillId="0" borderId="21" xfId="1" applyFont="1" applyBorder="1" applyAlignment="1" applyProtection="1">
      <alignment horizontal="center" vertical="center"/>
      <protection hidden="1"/>
    </xf>
    <xf numFmtId="166" fontId="2" fillId="0" borderId="17" xfId="1" applyNumberFormat="1" applyFont="1" applyBorder="1" applyAlignment="1" applyProtection="1">
      <alignment vertical="center"/>
      <protection hidden="1"/>
    </xf>
    <xf numFmtId="164" fontId="2" fillId="0" borderId="23" xfId="1" applyNumberFormat="1" applyFont="1" applyBorder="1" applyAlignment="1" applyProtection="1">
      <alignment horizontal="center" vertical="center"/>
      <protection hidden="1"/>
    </xf>
    <xf numFmtId="164" fontId="2" fillId="0" borderId="1" xfId="1" applyNumberFormat="1" applyFont="1" applyBorder="1" applyAlignment="1" applyProtection="1">
      <alignment horizontal="center" vertical="center"/>
      <protection hidden="1"/>
    </xf>
    <xf numFmtId="164" fontId="2" fillId="5" borderId="0" xfId="1" applyNumberFormat="1" applyFont="1" applyFill="1" applyAlignment="1" applyProtection="1">
      <alignment horizontal="center" vertical="center"/>
      <protection hidden="1"/>
    </xf>
    <xf numFmtId="0" fontId="2" fillId="5" borderId="0" xfId="1" applyFont="1" applyFill="1" applyAlignment="1" applyProtection="1">
      <alignment horizontal="center" vertical="center"/>
      <protection hidden="1"/>
    </xf>
    <xf numFmtId="0" fontId="2" fillId="5" borderId="0" xfId="1" applyFont="1" applyFill="1" applyAlignment="1" applyProtection="1">
      <alignment vertical="center"/>
      <protection hidden="1"/>
    </xf>
    <xf numFmtId="0" fontId="2" fillId="0" borderId="4" xfId="1" applyFont="1" applyBorder="1" applyAlignment="1" applyProtection="1">
      <alignment vertical="center"/>
      <protection locked="0"/>
    </xf>
    <xf numFmtId="164" fontId="2" fillId="0" borderId="0" xfId="1" applyNumberFormat="1" applyFont="1" applyAlignment="1" applyProtection="1">
      <alignment horizontal="center" vertical="center"/>
      <protection locked="0"/>
    </xf>
    <xf numFmtId="0" fontId="2" fillId="0" borderId="0" xfId="1" applyFont="1" applyAlignment="1" applyProtection="1">
      <alignment horizontal="center" vertical="center"/>
      <protection locked="0"/>
    </xf>
    <xf numFmtId="0" fontId="12" fillId="0" borderId="0" xfId="1" applyFont="1" applyAlignment="1" applyProtection="1">
      <alignment horizontal="left" vertical="center"/>
      <protection hidden="1"/>
    </xf>
    <xf numFmtId="165" fontId="6" fillId="0" borderId="0" xfId="1" applyNumberFormat="1" applyFont="1" applyAlignment="1" applyProtection="1">
      <alignment vertical="center"/>
      <protection hidden="1"/>
    </xf>
    <xf numFmtId="165" fontId="11" fillId="0" borderId="0" xfId="0" applyNumberFormat="1" applyFont="1" applyAlignment="1" applyProtection="1">
      <alignment horizontal="center"/>
      <protection hidden="1"/>
    </xf>
    <xf numFmtId="0" fontId="13" fillId="0" borderId="0" xfId="1" applyFont="1" applyAlignment="1" applyProtection="1">
      <alignment vertical="center"/>
      <protection hidden="1"/>
    </xf>
    <xf numFmtId="0" fontId="4" fillId="0" borderId="0" xfId="1" applyFont="1" applyAlignment="1" applyProtection="1">
      <alignment horizontal="centerContinuous" vertical="center"/>
      <protection hidden="1"/>
    </xf>
    <xf numFmtId="0" fontId="4" fillId="0" borderId="17" xfId="1" applyFont="1" applyBorder="1" applyAlignment="1" applyProtection="1">
      <alignment horizontal="centerContinuous" vertical="center"/>
      <protection hidden="1"/>
    </xf>
    <xf numFmtId="0" fontId="0" fillId="6" borderId="0" xfId="0" applyFill="1"/>
    <xf numFmtId="0" fontId="0" fillId="7" borderId="0" xfId="0" applyFill="1"/>
    <xf numFmtId="6" fontId="0" fillId="7" borderId="0" xfId="0" quotePrefix="1" applyNumberFormat="1" applyFill="1"/>
    <xf numFmtId="0" fontId="0" fillId="8" borderId="0" xfId="0" applyFill="1"/>
    <xf numFmtId="0" fontId="0" fillId="8" borderId="0" xfId="0" quotePrefix="1" applyFill="1"/>
    <xf numFmtId="0" fontId="0" fillId="9" borderId="0" xfId="0" applyFill="1"/>
    <xf numFmtId="0" fontId="0" fillId="9" borderId="0" xfId="0" quotePrefix="1" applyFill="1"/>
    <xf numFmtId="6" fontId="0" fillId="9" borderId="0" xfId="0" quotePrefix="1" applyNumberFormat="1" applyFill="1"/>
    <xf numFmtId="0" fontId="2" fillId="3" borderId="24" xfId="1" applyFont="1" applyFill="1" applyBorder="1" applyAlignment="1" applyProtection="1">
      <alignment vertical="center"/>
      <protection hidden="1"/>
    </xf>
    <xf numFmtId="0" fontId="2" fillId="3" borderId="14" xfId="1" applyFont="1" applyFill="1" applyBorder="1" applyAlignment="1" applyProtection="1">
      <alignment vertical="center"/>
      <protection hidden="1"/>
    </xf>
    <xf numFmtId="0" fontId="14" fillId="3" borderId="14" xfId="1" applyFont="1" applyFill="1" applyBorder="1" applyAlignment="1" applyProtection="1">
      <alignment horizontal="right" vertical="center"/>
      <protection hidden="1"/>
    </xf>
    <xf numFmtId="0" fontId="2" fillId="3" borderId="25" xfId="1" applyFont="1" applyFill="1" applyBorder="1" applyAlignment="1" applyProtection="1">
      <alignment vertical="center"/>
      <protection hidden="1"/>
    </xf>
    <xf numFmtId="0" fontId="14" fillId="3" borderId="0" xfId="1" applyFont="1" applyFill="1" applyAlignment="1" applyProtection="1">
      <alignment horizontal="right" vertical="center"/>
      <protection hidden="1"/>
    </xf>
    <xf numFmtId="0" fontId="14" fillId="3" borderId="0" xfId="1" applyFont="1" applyFill="1" applyAlignment="1" applyProtection="1">
      <alignment horizontal="center" vertical="center"/>
      <protection hidden="1"/>
    </xf>
    <xf numFmtId="0" fontId="2" fillId="0" borderId="26" xfId="1" applyFont="1" applyBorder="1" applyAlignment="1" applyProtection="1">
      <alignment horizontal="center" vertical="center"/>
      <protection locked="0"/>
    </xf>
    <xf numFmtId="0" fontId="2" fillId="0" borderId="0" xfId="1" applyFont="1" applyAlignment="1" applyProtection="1">
      <alignment horizontal="right" vertical="center"/>
      <protection hidden="1"/>
    </xf>
    <xf numFmtId="166" fontId="2" fillId="0" borderId="0" xfId="1" applyNumberFormat="1" applyFont="1" applyAlignment="1" applyProtection="1">
      <alignment vertical="center"/>
      <protection hidden="1"/>
    </xf>
    <xf numFmtId="166" fontId="4" fillId="0" borderId="0" xfId="1" applyNumberFormat="1" applyFont="1" applyAlignment="1" applyProtection="1">
      <alignment vertical="center"/>
      <protection hidden="1"/>
    </xf>
    <xf numFmtId="0" fontId="15" fillId="0" borderId="0" xfId="0" applyFont="1"/>
    <xf numFmtId="0" fontId="2" fillId="0" borderId="0" xfId="1" applyFont="1" applyAlignment="1" applyProtection="1">
      <alignment horizontal="center" vertical="center"/>
      <protection locked="0" hidden="1"/>
    </xf>
    <xf numFmtId="0" fontId="2" fillId="0" borderId="0" xfId="1" applyFont="1" applyAlignment="1" applyProtection="1">
      <alignment vertical="center"/>
      <protection locked="0" hidden="1"/>
    </xf>
    <xf numFmtId="0" fontId="17" fillId="0" borderId="0" xfId="2" applyFont="1" applyAlignment="1" applyProtection="1">
      <alignment horizontal="left" vertical="top"/>
      <protection hidden="1"/>
    </xf>
    <xf numFmtId="0" fontId="16" fillId="0" borderId="0" xfId="2" applyAlignment="1" applyProtection="1">
      <alignment horizontal="left" vertical="top"/>
      <protection hidden="1"/>
    </xf>
    <xf numFmtId="0" fontId="18" fillId="0" borderId="0" xfId="2" applyFont="1" applyAlignment="1" applyProtection="1">
      <alignment horizontal="left" vertical="top"/>
      <protection hidden="1"/>
    </xf>
    <xf numFmtId="0" fontId="16" fillId="0" borderId="27" xfId="2" applyBorder="1" applyAlignment="1" applyProtection="1">
      <alignment horizontal="left" vertical="top"/>
      <protection hidden="1"/>
    </xf>
    <xf numFmtId="0" fontId="19" fillId="0" borderId="27" xfId="2" applyFont="1" applyBorder="1" applyAlignment="1" applyProtection="1">
      <alignment horizontal="left" vertical="center" wrapText="1"/>
      <protection hidden="1"/>
    </xf>
    <xf numFmtId="0" fontId="17" fillId="0" borderId="33" xfId="2" applyFont="1" applyBorder="1" applyAlignment="1" applyProtection="1">
      <alignment vertical="center" wrapText="1"/>
      <protection hidden="1"/>
    </xf>
    <xf numFmtId="0" fontId="19" fillId="0" borderId="28" xfId="2" applyFont="1" applyBorder="1" applyAlignment="1" applyProtection="1">
      <alignment horizontal="left" vertical="center" wrapText="1"/>
      <protection hidden="1"/>
    </xf>
    <xf numFmtId="0" fontId="17" fillId="0" borderId="34" xfId="2" applyFont="1" applyBorder="1" applyAlignment="1" applyProtection="1">
      <alignment wrapText="1"/>
      <protection hidden="1"/>
    </xf>
    <xf numFmtId="0" fontId="17" fillId="0" borderId="0" xfId="2" applyFont="1" applyAlignment="1" applyProtection="1">
      <alignment vertical="top" wrapText="1"/>
      <protection hidden="1"/>
    </xf>
    <xf numFmtId="0" fontId="17" fillId="0" borderId="35" xfId="2" applyFont="1" applyBorder="1" applyAlignment="1" applyProtection="1">
      <alignment vertical="top" wrapText="1"/>
      <protection hidden="1"/>
    </xf>
    <xf numFmtId="0" fontId="16" fillId="0" borderId="0" xfId="2" applyAlignment="1" applyProtection="1">
      <alignment horizontal="left" vertical="top" wrapText="1"/>
      <protection hidden="1"/>
    </xf>
    <xf numFmtId="0" fontId="20" fillId="0" borderId="0" xfId="2" applyFont="1" applyAlignment="1" applyProtection="1">
      <alignment horizontal="left" vertical="top"/>
      <protection hidden="1"/>
    </xf>
    <xf numFmtId="0" fontId="21" fillId="0" borderId="0" xfId="2" applyFont="1" applyAlignment="1" applyProtection="1">
      <alignment horizontal="left" vertical="top"/>
      <protection hidden="1"/>
    </xf>
    <xf numFmtId="0" fontId="21" fillId="0" borderId="0" xfId="2" applyFont="1" applyAlignment="1" applyProtection="1">
      <alignment horizontal="left"/>
      <protection hidden="1"/>
    </xf>
    <xf numFmtId="0" fontId="24" fillId="0" borderId="0" xfId="2" applyFont="1" applyAlignment="1" applyProtection="1">
      <alignment horizontal="left"/>
      <protection hidden="1"/>
    </xf>
    <xf numFmtId="0" fontId="20" fillId="0" borderId="0" xfId="2" applyFont="1" applyAlignment="1" applyProtection="1">
      <alignment horizontal="left"/>
      <protection hidden="1"/>
    </xf>
    <xf numFmtId="0" fontId="16" fillId="0" borderId="0" xfId="2" applyAlignment="1" applyProtection="1">
      <alignment horizontal="left" wrapText="1"/>
      <protection hidden="1"/>
    </xf>
    <xf numFmtId="0" fontId="24" fillId="0" borderId="0" xfId="2" applyFont="1" applyAlignment="1" applyProtection="1">
      <alignment horizontal="left" vertical="top"/>
      <protection hidden="1"/>
    </xf>
    <xf numFmtId="0" fontId="25" fillId="0" borderId="0" xfId="2" applyFont="1" applyAlignment="1" applyProtection="1">
      <alignment horizontal="left" vertical="center"/>
      <protection hidden="1"/>
    </xf>
    <xf numFmtId="0" fontId="20" fillId="0" borderId="0" xfId="2" applyFont="1" applyAlignment="1" applyProtection="1">
      <alignment horizontal="right"/>
      <protection hidden="1"/>
    </xf>
    <xf numFmtId="0" fontId="2" fillId="3" borderId="3" xfId="1" applyFont="1" applyFill="1" applyBorder="1" applyAlignment="1" applyProtection="1">
      <alignment vertical="center"/>
      <protection hidden="1"/>
    </xf>
    <xf numFmtId="0" fontId="4" fillId="3" borderId="3" xfId="1" applyFont="1" applyFill="1" applyBorder="1" applyAlignment="1" applyProtection="1">
      <alignment horizontal="right" vertical="center"/>
      <protection hidden="1"/>
    </xf>
    <xf numFmtId="0" fontId="2" fillId="0" borderId="41" xfId="1" applyFont="1" applyBorder="1" applyAlignment="1" applyProtection="1">
      <alignment horizontal="center" vertical="center"/>
      <protection hidden="1"/>
    </xf>
    <xf numFmtId="0" fontId="30" fillId="0" borderId="0" xfId="1" applyFont="1" applyAlignment="1" applyProtection="1">
      <alignment horizontal="center" vertical="center"/>
      <protection hidden="1"/>
    </xf>
    <xf numFmtId="0" fontId="2" fillId="0" borderId="0" xfId="1" quotePrefix="1" applyFont="1" applyAlignment="1" applyProtection="1">
      <alignment vertical="center"/>
      <protection hidden="1"/>
    </xf>
    <xf numFmtId="166" fontId="30" fillId="0" borderId="0" xfId="1" applyNumberFormat="1" applyFont="1" applyAlignment="1" applyProtection="1">
      <alignment vertical="center"/>
      <protection hidden="1"/>
    </xf>
    <xf numFmtId="0" fontId="30" fillId="0" borderId="0" xfId="1" applyFont="1" applyAlignment="1" applyProtection="1">
      <alignment vertical="center"/>
      <protection hidden="1"/>
    </xf>
    <xf numFmtId="0" fontId="31" fillId="0" borderId="0" xfId="1" applyFont="1" applyAlignment="1" applyProtection="1">
      <alignment vertical="center"/>
      <protection hidden="1"/>
    </xf>
    <xf numFmtId="45" fontId="30" fillId="0" borderId="0" xfId="1" applyNumberFormat="1" applyFont="1" applyAlignment="1" applyProtection="1">
      <alignment vertical="center"/>
      <protection hidden="1"/>
    </xf>
    <xf numFmtId="165" fontId="30" fillId="0" borderId="0" xfId="1" applyNumberFormat="1" applyFont="1" applyAlignment="1" applyProtection="1">
      <alignment vertical="center"/>
      <protection hidden="1"/>
    </xf>
    <xf numFmtId="1" fontId="30" fillId="0" borderId="0" xfId="1" applyNumberFormat="1" applyFont="1" applyAlignment="1" applyProtection="1">
      <alignment vertical="center"/>
      <protection hidden="1"/>
    </xf>
    <xf numFmtId="166" fontId="32" fillId="0" borderId="0" xfId="1" applyNumberFormat="1" applyFont="1" applyAlignment="1" applyProtection="1">
      <alignment horizontal="center" vertical="center"/>
      <protection hidden="1"/>
    </xf>
    <xf numFmtId="165" fontId="28" fillId="0" borderId="0" xfId="0" applyNumberFormat="1" applyFont="1" applyAlignment="1" applyProtection="1">
      <alignment horizontal="center"/>
      <protection hidden="1"/>
    </xf>
    <xf numFmtId="0" fontId="33" fillId="0" borderId="0" xfId="1" applyFont="1" applyAlignment="1" applyProtection="1">
      <alignment horizontal="center" vertical="center"/>
      <protection hidden="1"/>
    </xf>
    <xf numFmtId="0" fontId="29" fillId="0" borderId="0" xfId="1" applyFont="1" applyAlignment="1" applyProtection="1">
      <alignment horizontal="center" vertical="center"/>
      <protection hidden="1"/>
    </xf>
    <xf numFmtId="165" fontId="30" fillId="0" borderId="0" xfId="1" applyNumberFormat="1" applyFont="1" applyAlignment="1" applyProtection="1">
      <alignment horizontal="center" vertical="center"/>
      <protection hidden="1"/>
    </xf>
    <xf numFmtId="166" fontId="29" fillId="0" borderId="0" xfId="1" applyNumberFormat="1" applyFont="1" applyAlignment="1" applyProtection="1">
      <alignment vertical="center"/>
      <protection hidden="1"/>
    </xf>
    <xf numFmtId="45" fontId="30" fillId="0" borderId="0" xfId="1" applyNumberFormat="1" applyFont="1" applyAlignment="1" applyProtection="1">
      <alignment horizontal="center" vertical="center"/>
      <protection hidden="1"/>
    </xf>
    <xf numFmtId="0" fontId="30" fillId="5" borderId="0" xfId="1" applyFont="1" applyFill="1" applyAlignment="1" applyProtection="1">
      <alignment vertical="center"/>
      <protection hidden="1"/>
    </xf>
    <xf numFmtId="0" fontId="34" fillId="0" borderId="0" xfId="0" applyFont="1"/>
    <xf numFmtId="0" fontId="7" fillId="0" borderId="0" xfId="1" applyFont="1" applyAlignment="1" applyProtection="1">
      <alignment horizontal="center" vertical="center"/>
      <protection hidden="1"/>
    </xf>
    <xf numFmtId="0" fontId="7" fillId="0" borderId="0" xfId="1" applyFont="1" applyAlignment="1" applyProtection="1">
      <alignment vertical="center"/>
      <protection hidden="1"/>
    </xf>
    <xf numFmtId="0" fontId="7" fillId="0" borderId="0" xfId="1" applyFont="1" applyAlignment="1" applyProtection="1">
      <alignment horizontal="center" vertical="center"/>
      <protection locked="0" hidden="1"/>
    </xf>
    <xf numFmtId="0" fontId="0" fillId="7" borderId="0" xfId="0" applyFill="1" applyAlignment="1">
      <alignment horizontal="left"/>
    </xf>
    <xf numFmtId="0" fontId="22" fillId="0" borderId="39" xfId="2" applyFont="1" applyBorder="1" applyAlignment="1" applyProtection="1">
      <alignment horizontal="center" vertical="center" wrapText="1"/>
      <protection hidden="1"/>
    </xf>
    <xf numFmtId="0" fontId="4" fillId="0" borderId="0" xfId="1" applyFont="1" applyAlignment="1" applyProtection="1">
      <alignment horizontal="center" vertical="center" shrinkToFit="1"/>
      <protection locked="0"/>
    </xf>
    <xf numFmtId="0" fontId="2" fillId="3" borderId="0" xfId="1" applyFont="1" applyFill="1" applyAlignment="1" applyProtection="1">
      <alignment vertical="center" shrinkToFit="1"/>
      <protection hidden="1"/>
    </xf>
    <xf numFmtId="0" fontId="37" fillId="0" borderId="0" xfId="0" applyFont="1"/>
    <xf numFmtId="0" fontId="30" fillId="0" borderId="0" xfId="1" applyFont="1" applyAlignment="1" applyProtection="1">
      <alignment horizontal="left" vertical="center"/>
      <protection hidden="1"/>
    </xf>
    <xf numFmtId="6" fontId="4" fillId="0" borderId="0" xfId="1" applyNumberFormat="1" applyFont="1" applyAlignment="1" applyProtection="1">
      <alignment horizontal="center" vertical="center" shrinkToFit="1"/>
      <protection locked="0"/>
    </xf>
    <xf numFmtId="0" fontId="4" fillId="0" borderId="0" xfId="1" quotePrefix="1" applyFont="1" applyAlignment="1" applyProtection="1">
      <alignment horizontal="center" vertical="center" shrinkToFit="1"/>
      <protection locked="0"/>
    </xf>
    <xf numFmtId="0" fontId="31" fillId="0" borderId="0" xfId="1" applyFont="1" applyAlignment="1" applyProtection="1">
      <alignment horizontal="left" vertical="center"/>
      <protection hidden="1"/>
    </xf>
    <xf numFmtId="166" fontId="2" fillId="2" borderId="0" xfId="1" applyNumberFormat="1" applyFont="1" applyFill="1" applyAlignment="1" applyProtection="1">
      <alignment vertical="center"/>
      <protection hidden="1"/>
    </xf>
    <xf numFmtId="14" fontId="2" fillId="0" borderId="0" xfId="1" applyNumberFormat="1" applyFont="1" applyAlignment="1" applyProtection="1">
      <alignment horizontal="centerContinuous" vertical="center"/>
      <protection hidden="1"/>
    </xf>
    <xf numFmtId="0" fontId="2" fillId="0" borderId="0" xfId="1" applyFont="1" applyAlignment="1" applyProtection="1">
      <alignment horizontal="centerContinuous" vertical="center"/>
      <protection hidden="1"/>
    </xf>
    <xf numFmtId="0" fontId="6" fillId="2" borderId="0" xfId="1" applyFont="1" applyFill="1" applyAlignment="1" applyProtection="1">
      <alignment vertical="center"/>
      <protection locked="0"/>
    </xf>
    <xf numFmtId="0" fontId="2" fillId="0" borderId="0" xfId="1" applyFont="1" applyAlignment="1" applyProtection="1">
      <alignment horizontal="left" vertical="center"/>
      <protection hidden="1"/>
    </xf>
    <xf numFmtId="166" fontId="30" fillId="12" borderId="0" xfId="1" applyNumberFormat="1" applyFont="1" applyFill="1" applyAlignment="1" applyProtection="1">
      <alignment vertical="center"/>
      <protection hidden="1"/>
    </xf>
    <xf numFmtId="0" fontId="31" fillId="12" borderId="0" xfId="1" applyFont="1" applyFill="1" applyAlignment="1" applyProtection="1">
      <alignment horizontal="left" vertical="center"/>
      <protection hidden="1"/>
    </xf>
    <xf numFmtId="0" fontId="30" fillId="12" borderId="0" xfId="1" applyFont="1" applyFill="1" applyAlignment="1" applyProtection="1">
      <alignment vertical="center"/>
      <protection hidden="1"/>
    </xf>
    <xf numFmtId="0" fontId="30" fillId="12" borderId="0" xfId="1" applyFont="1" applyFill="1" applyAlignment="1" applyProtection="1">
      <alignment horizontal="center" vertical="center"/>
      <protection hidden="1"/>
    </xf>
    <xf numFmtId="0" fontId="2" fillId="12" borderId="0" xfId="1" applyFont="1" applyFill="1" applyAlignment="1" applyProtection="1">
      <alignment vertical="center"/>
      <protection hidden="1"/>
    </xf>
    <xf numFmtId="0" fontId="39" fillId="0" borderId="0" xfId="2" applyFont="1" applyAlignment="1" applyProtection="1">
      <alignment horizontal="left" vertical="top"/>
      <protection hidden="1"/>
    </xf>
    <xf numFmtId="0" fontId="40" fillId="0" borderId="0" xfId="2" applyFont="1" applyAlignment="1" applyProtection="1">
      <alignment horizontal="left" vertical="top"/>
      <protection hidden="1"/>
    </xf>
    <xf numFmtId="0" fontId="40" fillId="0" borderId="0" xfId="2" applyFont="1" applyAlignment="1" applyProtection="1">
      <alignment horizontal="left"/>
      <protection hidden="1"/>
    </xf>
    <xf numFmtId="0" fontId="41" fillId="0" borderId="0" xfId="2" applyFont="1" applyAlignment="1" applyProtection="1">
      <alignment horizontal="left" vertical="top"/>
      <protection hidden="1"/>
    </xf>
    <xf numFmtId="0" fontId="22" fillId="0" borderId="47" xfId="2" applyFont="1" applyBorder="1" applyAlignment="1" applyProtection="1">
      <alignment horizontal="center" vertical="center" wrapText="1"/>
      <protection hidden="1"/>
    </xf>
    <xf numFmtId="0" fontId="22" fillId="0" borderId="31" xfId="2" applyFont="1" applyBorder="1" applyAlignment="1" applyProtection="1">
      <alignment horizontal="center" vertical="center" shrinkToFit="1"/>
      <protection hidden="1"/>
    </xf>
    <xf numFmtId="0" fontId="28" fillId="0" borderId="0" xfId="0" applyFont="1"/>
    <xf numFmtId="2" fontId="0" fillId="0" borderId="0" xfId="0" applyNumberFormat="1"/>
    <xf numFmtId="0" fontId="46" fillId="0" borderId="0" xfId="0" applyFont="1"/>
    <xf numFmtId="0" fontId="15" fillId="13" borderId="0" xfId="0" applyFont="1" applyFill="1"/>
    <xf numFmtId="0" fontId="4" fillId="14" borderId="41" xfId="0" applyFont="1" applyFill="1" applyBorder="1" applyAlignment="1">
      <alignment horizontal="center"/>
    </xf>
    <xf numFmtId="0" fontId="15" fillId="13" borderId="41" xfId="0" applyFont="1" applyFill="1" applyBorder="1"/>
    <xf numFmtId="166" fontId="8" fillId="13" borderId="41" xfId="0" applyNumberFormat="1" applyFont="1" applyFill="1" applyBorder="1"/>
    <xf numFmtId="166" fontId="15" fillId="13" borderId="41" xfId="0" applyNumberFormat="1" applyFont="1" applyFill="1" applyBorder="1"/>
    <xf numFmtId="0" fontId="8" fillId="13" borderId="41" xfId="0" applyFont="1" applyFill="1" applyBorder="1" applyAlignment="1">
      <alignment horizontal="center"/>
    </xf>
    <xf numFmtId="166" fontId="48" fillId="13" borderId="41" xfId="0" applyNumberFormat="1" applyFont="1" applyFill="1" applyBorder="1" applyAlignment="1">
      <alignment horizontal="center"/>
    </xf>
    <xf numFmtId="0" fontId="4" fillId="14" borderId="41" xfId="0" applyFont="1" applyFill="1" applyBorder="1" applyAlignment="1">
      <alignment horizontal="center" wrapText="1"/>
    </xf>
    <xf numFmtId="0" fontId="0" fillId="0" borderId="41" xfId="0" applyBorder="1"/>
    <xf numFmtId="2" fontId="0" fillId="0" borderId="41" xfId="0" applyNumberFormat="1" applyBorder="1"/>
    <xf numFmtId="0" fontId="48" fillId="13" borderId="41" xfId="0" applyFont="1" applyFill="1" applyBorder="1" applyAlignment="1">
      <alignment horizontal="left"/>
    </xf>
    <xf numFmtId="0" fontId="15" fillId="13" borderId="41" xfId="0" applyFont="1" applyFill="1" applyBorder="1" applyAlignment="1">
      <alignment horizontal="left"/>
    </xf>
    <xf numFmtId="0" fontId="8" fillId="13" borderId="41" xfId="0" applyFont="1" applyFill="1" applyBorder="1" applyAlignment="1">
      <alignment horizontal="left"/>
    </xf>
    <xf numFmtId="0" fontId="4" fillId="14" borderId="41" xfId="0" applyFont="1" applyFill="1" applyBorder="1" applyAlignment="1">
      <alignment horizontal="left" wrapText="1"/>
    </xf>
    <xf numFmtId="166" fontId="8" fillId="13" borderId="41" xfId="0" applyNumberFormat="1" applyFont="1" applyFill="1" applyBorder="1" applyAlignment="1">
      <alignment horizontal="left"/>
    </xf>
    <xf numFmtId="166" fontId="48" fillId="13" borderId="41" xfId="0" applyNumberFormat="1" applyFont="1" applyFill="1" applyBorder="1" applyAlignment="1">
      <alignment horizontal="left"/>
    </xf>
    <xf numFmtId="0" fontId="15" fillId="13" borderId="0" xfId="0" applyFont="1" applyFill="1" applyAlignment="1">
      <alignment horizontal="center"/>
    </xf>
    <xf numFmtId="2" fontId="0" fillId="0" borderId="0" xfId="0" applyNumberFormat="1" applyAlignment="1">
      <alignment horizontal="center"/>
    </xf>
    <xf numFmtId="0" fontId="5" fillId="0" borderId="0" xfId="1" applyFont="1" applyAlignment="1" applyProtection="1">
      <alignment horizontal="center" vertical="center" shrinkToFit="1"/>
      <protection hidden="1"/>
    </xf>
    <xf numFmtId="0" fontId="2" fillId="4" borderId="0" xfId="1" applyFont="1" applyFill="1" applyAlignment="1" applyProtection="1">
      <alignment horizontal="center" vertical="center"/>
      <protection hidden="1"/>
    </xf>
    <xf numFmtId="0" fontId="30" fillId="0" borderId="41" xfId="1" applyFont="1" applyBorder="1" applyAlignment="1" applyProtection="1">
      <alignment horizontal="center" vertical="center"/>
      <protection hidden="1"/>
    </xf>
    <xf numFmtId="1" fontId="30" fillId="0" borderId="41" xfId="1" applyNumberFormat="1" applyFont="1" applyBorder="1" applyAlignment="1" applyProtection="1">
      <alignment horizontal="left" vertical="center"/>
      <protection hidden="1"/>
    </xf>
    <xf numFmtId="0" fontId="30" fillId="5" borderId="0" xfId="1" applyFont="1" applyFill="1" applyAlignment="1" applyProtection="1">
      <alignment horizontal="center" vertical="center"/>
      <protection hidden="1"/>
    </xf>
    <xf numFmtId="0" fontId="4" fillId="0" borderId="9" xfId="1" applyFont="1" applyBorder="1" applyAlignment="1" applyProtection="1">
      <alignment vertical="center"/>
      <protection hidden="1"/>
    </xf>
    <xf numFmtId="0" fontId="4" fillId="0" borderId="10" xfId="1" applyFont="1" applyBorder="1" applyAlignment="1" applyProtection="1">
      <alignment vertical="center"/>
      <protection hidden="1"/>
    </xf>
    <xf numFmtId="0" fontId="1" fillId="0" borderId="10" xfId="1" applyBorder="1" applyAlignment="1" applyProtection="1">
      <alignment vertical="center"/>
      <protection hidden="1"/>
    </xf>
    <xf numFmtId="0" fontId="1" fillId="0" borderId="11" xfId="1" applyBorder="1" applyAlignment="1" applyProtection="1">
      <alignment vertical="center"/>
      <protection hidden="1"/>
    </xf>
    <xf numFmtId="0" fontId="3" fillId="2" borderId="0" xfId="1" applyFont="1" applyFill="1" applyAlignment="1" applyProtection="1">
      <alignment horizontal="center" vertical="center"/>
      <protection hidden="1"/>
    </xf>
    <xf numFmtId="0" fontId="2" fillId="3" borderId="18" xfId="1" applyFont="1" applyFill="1" applyBorder="1" applyAlignment="1" applyProtection="1">
      <alignment vertical="center" shrinkToFit="1"/>
      <protection hidden="1"/>
    </xf>
    <xf numFmtId="0" fontId="4" fillId="0" borderId="21" xfId="1" quotePrefix="1" applyFont="1" applyBorder="1" applyAlignment="1" applyProtection="1">
      <alignment horizontal="center" vertical="center" shrinkToFit="1"/>
      <protection locked="0"/>
    </xf>
    <xf numFmtId="0" fontId="30" fillId="0" borderId="41" xfId="1" applyFont="1" applyBorder="1" applyAlignment="1" applyProtection="1">
      <alignment vertical="center"/>
      <protection hidden="1"/>
    </xf>
    <xf numFmtId="168" fontId="4" fillId="0" borderId="0" xfId="1" applyNumberFormat="1" applyFont="1" applyAlignment="1" applyProtection="1">
      <alignment horizontal="center" vertical="center"/>
      <protection hidden="1"/>
    </xf>
    <xf numFmtId="0" fontId="30" fillId="0" borderId="41" xfId="1" applyFont="1" applyBorder="1" applyAlignment="1" applyProtection="1">
      <alignment horizontal="center" vertical="center" wrapText="1"/>
      <protection hidden="1"/>
    </xf>
    <xf numFmtId="167" fontId="30" fillId="0" borderId="41" xfId="1" applyNumberFormat="1" applyFont="1" applyBorder="1" applyAlignment="1" applyProtection="1">
      <alignment horizontal="center" vertical="center"/>
      <protection hidden="1"/>
    </xf>
    <xf numFmtId="0" fontId="5" fillId="0" borderId="41" xfId="1" applyFont="1" applyBorder="1" applyAlignment="1" applyProtection="1">
      <alignment horizontal="center" vertical="center"/>
      <protection hidden="1"/>
    </xf>
    <xf numFmtId="0" fontId="7" fillId="0" borderId="42" xfId="1" applyFont="1" applyBorder="1" applyAlignment="1" applyProtection="1">
      <alignment vertical="center"/>
      <protection hidden="1"/>
    </xf>
    <xf numFmtId="0" fontId="5" fillId="0" borderId="1" xfId="1" applyFont="1" applyBorder="1" applyAlignment="1" applyProtection="1">
      <alignment horizontal="right" vertical="center"/>
      <protection hidden="1"/>
    </xf>
    <xf numFmtId="0" fontId="43" fillId="0" borderId="1" xfId="1" applyFont="1" applyBorder="1" applyAlignment="1" applyProtection="1">
      <alignment horizontal="center"/>
      <protection locked="0"/>
    </xf>
    <xf numFmtId="0" fontId="30" fillId="0" borderId="0" xfId="1" applyFont="1" applyAlignment="1" applyProtection="1">
      <alignment horizontal="center" vertical="center" wrapText="1"/>
      <protection hidden="1"/>
    </xf>
    <xf numFmtId="0" fontId="7" fillId="0" borderId="48" xfId="1" applyFont="1" applyBorder="1" applyAlignment="1" applyProtection="1">
      <alignment vertical="center"/>
      <protection hidden="1"/>
    </xf>
    <xf numFmtId="0" fontId="7" fillId="0" borderId="5" xfId="1" applyFont="1" applyBorder="1" applyAlignment="1" applyProtection="1">
      <alignment vertical="center"/>
      <protection hidden="1"/>
    </xf>
    <xf numFmtId="0" fontId="12" fillId="0" borderId="41" xfId="1" applyFont="1" applyBorder="1" applyAlignment="1" applyProtection="1">
      <alignment horizontal="center" vertical="center"/>
      <protection hidden="1"/>
    </xf>
    <xf numFmtId="0" fontId="2" fillId="0" borderId="49" xfId="1" applyFont="1" applyBorder="1" applyAlignment="1" applyProtection="1">
      <alignment vertical="center"/>
      <protection locked="0"/>
    </xf>
    <xf numFmtId="0" fontId="2" fillId="0" borderId="50" xfId="1" applyFont="1" applyBorder="1" applyAlignment="1" applyProtection="1">
      <alignment horizontal="center" vertical="center"/>
      <protection locked="0"/>
    </xf>
    <xf numFmtId="169" fontId="8" fillId="13" borderId="41" xfId="0" applyNumberFormat="1" applyFont="1" applyFill="1" applyBorder="1" applyAlignment="1">
      <alignment horizontal="left"/>
    </xf>
    <xf numFmtId="170" fontId="4" fillId="0" borderId="17" xfId="1" applyNumberFormat="1" applyFont="1" applyBorder="1" applyAlignment="1" applyProtection="1">
      <alignment vertical="center"/>
      <protection hidden="1"/>
    </xf>
    <xf numFmtId="170" fontId="2" fillId="0" borderId="0" xfId="1" applyNumberFormat="1" applyFont="1" applyAlignment="1" applyProtection="1">
      <alignment horizontal="center" vertical="center"/>
      <protection hidden="1"/>
    </xf>
    <xf numFmtId="170" fontId="2" fillId="0" borderId="21" xfId="1" applyNumberFormat="1" applyFont="1" applyBorder="1" applyAlignment="1" applyProtection="1">
      <alignment horizontal="center" vertical="center"/>
      <protection hidden="1"/>
    </xf>
    <xf numFmtId="0" fontId="36" fillId="0" borderId="41" xfId="2" applyFont="1" applyBorder="1" applyAlignment="1" applyProtection="1">
      <alignment vertical="center" shrinkToFit="1"/>
      <protection hidden="1"/>
    </xf>
    <xf numFmtId="170" fontId="22" fillId="0" borderId="29" xfId="2" applyNumberFormat="1" applyFont="1" applyBorder="1" applyAlignment="1" applyProtection="1">
      <alignment horizontal="right" vertical="center" wrapText="1"/>
      <protection hidden="1"/>
    </xf>
    <xf numFmtId="170" fontId="22" fillId="0" borderId="39" xfId="2" applyNumberFormat="1" applyFont="1" applyBorder="1" applyAlignment="1" applyProtection="1">
      <alignment horizontal="right" vertical="center" wrapText="1"/>
      <protection hidden="1"/>
    </xf>
    <xf numFmtId="0" fontId="12" fillId="0" borderId="17" xfId="1" applyFont="1" applyBorder="1" applyAlignment="1" applyProtection="1">
      <alignment horizontal="centerContinuous" vertical="center"/>
      <protection hidden="1"/>
    </xf>
    <xf numFmtId="0" fontId="6" fillId="0" borderId="1" xfId="1" applyFont="1" applyBorder="1" applyAlignment="1" applyProtection="1">
      <alignment horizontal="center" vertical="center"/>
      <protection hidden="1"/>
    </xf>
    <xf numFmtId="0" fontId="2" fillId="0" borderId="22" xfId="1" applyFont="1" applyBorder="1" applyAlignment="1" applyProtection="1">
      <alignment horizontal="center" vertical="center"/>
      <protection hidden="1"/>
    </xf>
    <xf numFmtId="0" fontId="12" fillId="0" borderId="15" xfId="1" applyFont="1" applyBorder="1" applyAlignment="1" applyProtection="1">
      <alignment horizontal="centerContinuous" vertical="center"/>
      <protection hidden="1"/>
    </xf>
    <xf numFmtId="170" fontId="2" fillId="0" borderId="1" xfId="1" applyNumberFormat="1" applyFont="1" applyBorder="1" applyAlignment="1" applyProtection="1">
      <alignment horizontal="center" vertical="center"/>
      <protection hidden="1"/>
    </xf>
    <xf numFmtId="170" fontId="2" fillId="0" borderId="22" xfId="1" applyNumberFormat="1" applyFont="1" applyBorder="1" applyAlignment="1" applyProtection="1">
      <alignment horizontal="center" vertical="center"/>
      <protection hidden="1"/>
    </xf>
    <xf numFmtId="0" fontId="12" fillId="0" borderId="0" xfId="1" applyFont="1" applyAlignment="1" applyProtection="1">
      <alignment horizontal="centerContinuous" vertical="center" shrinkToFit="1"/>
      <protection hidden="1"/>
    </xf>
    <xf numFmtId="0" fontId="12" fillId="0" borderId="23" xfId="1" applyFont="1" applyBorder="1" applyAlignment="1" applyProtection="1">
      <alignment horizontal="centerContinuous" vertical="center" shrinkToFit="1"/>
      <protection hidden="1"/>
    </xf>
    <xf numFmtId="168" fontId="12" fillId="0" borderId="0" xfId="1" applyNumberFormat="1" applyFont="1" applyAlignment="1" applyProtection="1">
      <alignment horizontal="center" vertical="center"/>
      <protection hidden="1"/>
    </xf>
    <xf numFmtId="170" fontId="2" fillId="0" borderId="0" xfId="1" applyNumberFormat="1" applyFont="1" applyAlignment="1" applyProtection="1">
      <alignment vertical="center"/>
      <protection locked="0" hidden="1"/>
    </xf>
    <xf numFmtId="170" fontId="7" fillId="0" borderId="0" xfId="1" applyNumberFormat="1" applyFont="1" applyAlignment="1" applyProtection="1">
      <alignment vertical="center"/>
      <protection locked="0" hidden="1"/>
    </xf>
    <xf numFmtId="0" fontId="30" fillId="0" borderId="48" xfId="1" applyFont="1" applyBorder="1" applyAlignment="1" applyProtection="1">
      <alignment horizontal="center" vertical="center"/>
      <protection hidden="1"/>
    </xf>
    <xf numFmtId="0" fontId="30" fillId="0" borderId="42" xfId="1" applyFont="1" applyBorder="1" applyAlignment="1" applyProtection="1">
      <alignment horizontal="center" vertical="center"/>
      <protection hidden="1"/>
    </xf>
    <xf numFmtId="166" fontId="30" fillId="0" borderId="41" xfId="1" applyNumberFormat="1" applyFont="1" applyBorder="1" applyAlignment="1" applyProtection="1">
      <alignment vertical="center" wrapText="1"/>
      <protection hidden="1"/>
    </xf>
    <xf numFmtId="0" fontId="30" fillId="0" borderId="0" xfId="1" applyFont="1" applyAlignment="1" applyProtection="1">
      <alignment horizontal="centerContinuous" vertical="center"/>
      <protection hidden="1"/>
    </xf>
    <xf numFmtId="170" fontId="2" fillId="0" borderId="23" xfId="1" applyNumberFormat="1" applyFont="1" applyBorder="1" applyAlignment="1" applyProtection="1">
      <alignment horizontal="center" vertical="center"/>
      <protection hidden="1"/>
    </xf>
    <xf numFmtId="0" fontId="4" fillId="4" borderId="13" xfId="1" applyFont="1" applyFill="1" applyBorder="1" applyAlignment="1" applyProtection="1">
      <alignment vertical="center"/>
      <protection hidden="1"/>
    </xf>
    <xf numFmtId="0" fontId="4" fillId="4" borderId="20" xfId="1" applyFont="1" applyFill="1" applyBorder="1" applyAlignment="1" applyProtection="1">
      <alignment vertical="center"/>
      <protection hidden="1"/>
    </xf>
    <xf numFmtId="0" fontId="1" fillId="0" borderId="13" xfId="1" applyBorder="1" applyAlignment="1" applyProtection="1">
      <alignment vertical="center"/>
      <protection hidden="1"/>
    </xf>
    <xf numFmtId="0" fontId="4" fillId="16" borderId="52" xfId="1" applyFont="1" applyFill="1" applyBorder="1" applyAlignment="1" applyProtection="1">
      <alignment vertical="center"/>
      <protection hidden="1"/>
    </xf>
    <xf numFmtId="0" fontId="4" fillId="17" borderId="52" xfId="1" applyFont="1" applyFill="1" applyBorder="1" applyAlignment="1" applyProtection="1">
      <alignment vertical="center"/>
      <protection hidden="1"/>
    </xf>
    <xf numFmtId="0" fontId="16" fillId="10" borderId="39" xfId="2" applyFill="1" applyBorder="1" applyAlignment="1" applyProtection="1">
      <alignment horizontal="left" vertical="top" wrapText="1"/>
      <protection locked="0"/>
    </xf>
    <xf numFmtId="0" fontId="0" fillId="15" borderId="0" xfId="0" applyFill="1"/>
    <xf numFmtId="0" fontId="6" fillId="0" borderId="15" xfId="1" applyFont="1" applyBorder="1" applyAlignment="1" applyProtection="1">
      <alignment horizontal="center" vertical="center"/>
      <protection hidden="1"/>
    </xf>
    <xf numFmtId="170" fontId="42" fillId="0" borderId="16" xfId="1" applyNumberFormat="1" applyFont="1" applyBorder="1" applyAlignment="1" applyProtection="1">
      <alignment horizontal="center" vertical="center" shrinkToFit="1"/>
      <protection hidden="1"/>
    </xf>
    <xf numFmtId="0" fontId="0" fillId="16" borderId="0" xfId="0" applyFill="1"/>
    <xf numFmtId="0" fontId="0" fillId="17" borderId="0" xfId="0" applyFill="1"/>
    <xf numFmtId="0" fontId="30" fillId="0" borderId="53" xfId="1" applyFont="1" applyBorder="1" applyAlignment="1" applyProtection="1">
      <alignment horizontal="center" vertical="center"/>
      <protection hidden="1"/>
    </xf>
    <xf numFmtId="0" fontId="30" fillId="0" borderId="5" xfId="1" applyFont="1" applyBorder="1" applyAlignment="1" applyProtection="1">
      <alignment horizontal="center" vertical="center"/>
      <protection hidden="1"/>
    </xf>
    <xf numFmtId="170" fontId="4" fillId="0" borderId="22" xfId="1" applyNumberFormat="1" applyFont="1" applyBorder="1" applyAlignment="1" applyProtection="1">
      <alignment vertical="center"/>
      <protection hidden="1"/>
    </xf>
    <xf numFmtId="0" fontId="30" fillId="0" borderId="26" xfId="1" applyFont="1" applyBorder="1" applyAlignment="1" applyProtection="1">
      <alignment horizontal="center" vertical="center"/>
      <protection hidden="1"/>
    </xf>
    <xf numFmtId="0" fontId="30" fillId="0" borderId="25" xfId="1" applyFont="1" applyBorder="1" applyAlignment="1" applyProtection="1">
      <alignment horizontal="center" vertical="center"/>
      <protection hidden="1"/>
    </xf>
    <xf numFmtId="166" fontId="0" fillId="0" borderId="0" xfId="0" applyNumberFormat="1"/>
    <xf numFmtId="0" fontId="17" fillId="0" borderId="29" xfId="2" applyFont="1" applyBorder="1" applyAlignment="1" applyProtection="1">
      <alignment horizontal="center" vertical="center" wrapText="1"/>
      <protection hidden="1"/>
    </xf>
    <xf numFmtId="0" fontId="17" fillId="0" borderId="27" xfId="2" applyFont="1" applyBorder="1" applyAlignment="1" applyProtection="1">
      <alignment horizontal="left" vertical="center" wrapText="1"/>
      <protection hidden="1"/>
    </xf>
    <xf numFmtId="0" fontId="4" fillId="4" borderId="23" xfId="1" applyFont="1" applyFill="1" applyBorder="1" applyAlignment="1" applyProtection="1">
      <alignment vertical="center"/>
      <protection hidden="1"/>
    </xf>
    <xf numFmtId="0" fontId="4" fillId="4" borderId="1" xfId="1" applyFont="1" applyFill="1" applyBorder="1" applyAlignment="1" applyProtection="1">
      <alignment vertical="center"/>
      <protection hidden="1"/>
    </xf>
    <xf numFmtId="0" fontId="4" fillId="4" borderId="15" xfId="1" applyFont="1" applyFill="1" applyBorder="1" applyAlignment="1" applyProtection="1">
      <alignment vertical="center"/>
      <protection hidden="1"/>
    </xf>
    <xf numFmtId="0" fontId="9" fillId="0" borderId="20" xfId="1" applyFont="1" applyBorder="1" applyAlignment="1" applyProtection="1">
      <alignment horizontal="center" vertical="center"/>
      <protection hidden="1"/>
    </xf>
    <xf numFmtId="0" fontId="2" fillId="3" borderId="48" xfId="1" applyFont="1" applyFill="1" applyBorder="1" applyAlignment="1" applyProtection="1">
      <alignment horizontal="center" vertical="center"/>
      <protection locked="0"/>
    </xf>
    <xf numFmtId="0" fontId="2" fillId="3" borderId="5" xfId="1" applyFont="1" applyFill="1" applyBorder="1" applyAlignment="1" applyProtection="1">
      <alignment vertical="center"/>
      <protection locked="0"/>
    </xf>
    <xf numFmtId="0" fontId="2" fillId="3" borderId="5" xfId="1" applyFont="1" applyFill="1" applyBorder="1" applyAlignment="1" applyProtection="1">
      <alignment horizontal="center" vertical="center"/>
      <protection locked="0"/>
    </xf>
    <xf numFmtId="0" fontId="2" fillId="3" borderId="6" xfId="1" applyFont="1" applyFill="1" applyBorder="1" applyAlignment="1" applyProtection="1">
      <alignment vertical="center"/>
      <protection locked="0"/>
    </xf>
    <xf numFmtId="0" fontId="16" fillId="0" borderId="28" xfId="2" applyBorder="1" applyAlignment="1" applyProtection="1">
      <alignment vertical="top" wrapText="1"/>
      <protection hidden="1"/>
    </xf>
    <xf numFmtId="0" fontId="16" fillId="0" borderId="37" xfId="2" applyBorder="1" applyAlignment="1" applyProtection="1">
      <alignment vertical="top" wrapText="1"/>
      <protection hidden="1"/>
    </xf>
    <xf numFmtId="0" fontId="16" fillId="0" borderId="38" xfId="2" applyBorder="1" applyAlignment="1" applyProtection="1">
      <alignment vertical="top" wrapText="1"/>
      <protection hidden="1"/>
    </xf>
    <xf numFmtId="0" fontId="36" fillId="0" borderId="27" xfId="2" applyFont="1" applyBorder="1" applyAlignment="1" applyProtection="1">
      <alignment vertical="center" shrinkToFit="1"/>
      <protection hidden="1"/>
    </xf>
    <xf numFmtId="0" fontId="36" fillId="0" borderId="28" xfId="2" applyFont="1" applyBorder="1" applyAlignment="1" applyProtection="1">
      <alignment vertical="center" shrinkToFit="1"/>
      <protection hidden="1"/>
    </xf>
    <xf numFmtId="0" fontId="36" fillId="0" borderId="51" xfId="2" applyFont="1" applyBorder="1" applyAlignment="1" applyProtection="1">
      <alignment vertical="center" shrinkToFit="1"/>
      <protection hidden="1"/>
    </xf>
    <xf numFmtId="0" fontId="17" fillId="0" borderId="39" xfId="2" applyFont="1" applyBorder="1" applyAlignment="1" applyProtection="1">
      <alignment horizontal="center" vertical="center" wrapText="1"/>
      <protection hidden="1"/>
    </xf>
    <xf numFmtId="0" fontId="17" fillId="0" borderId="41" xfId="2" applyFont="1" applyBorder="1" applyAlignment="1" applyProtection="1">
      <alignment horizontal="center" vertical="center" wrapText="1"/>
      <protection hidden="1"/>
    </xf>
    <xf numFmtId="0" fontId="17" fillId="11" borderId="39" xfId="2" applyFont="1" applyFill="1" applyBorder="1" applyAlignment="1" applyProtection="1">
      <alignment horizontal="center" vertical="center" wrapText="1"/>
      <protection hidden="1"/>
    </xf>
    <xf numFmtId="0" fontId="12" fillId="0" borderId="1" xfId="1" applyFont="1" applyBorder="1" applyAlignment="1" applyProtection="1">
      <alignment horizontal="centerContinuous" vertical="center" shrinkToFit="1"/>
      <protection hidden="1"/>
    </xf>
    <xf numFmtId="170" fontId="2" fillId="0" borderId="15" xfId="1" applyNumberFormat="1" applyFont="1" applyBorder="1" applyAlignment="1" applyProtection="1">
      <alignment horizontal="center" vertical="center"/>
      <protection hidden="1"/>
    </xf>
    <xf numFmtId="0" fontId="5" fillId="0" borderId="55" xfId="1" applyFont="1" applyBorder="1" applyAlignment="1" applyProtection="1">
      <alignment vertical="center"/>
      <protection hidden="1"/>
    </xf>
    <xf numFmtId="0" fontId="0" fillId="0" borderId="41" xfId="0" applyBorder="1" applyAlignment="1" applyProtection="1">
      <alignment horizontal="left"/>
      <protection locked="0"/>
    </xf>
    <xf numFmtId="0" fontId="51" fillId="0" borderId="0" xfId="2" applyFont="1" applyAlignment="1" applyProtection="1">
      <alignment horizontal="left" vertical="top"/>
      <protection hidden="1"/>
    </xf>
    <xf numFmtId="0" fontId="52" fillId="0" borderId="0" xfId="2" applyFont="1" applyAlignment="1" applyProtection="1">
      <alignment horizontal="left" vertical="top"/>
      <protection hidden="1"/>
    </xf>
    <xf numFmtId="0" fontId="52" fillId="0" borderId="0" xfId="2" applyFont="1" applyAlignment="1" applyProtection="1">
      <alignment horizontal="left"/>
      <protection hidden="1"/>
    </xf>
    <xf numFmtId="0" fontId="53" fillId="0" borderId="0" xfId="2" applyFont="1" applyAlignment="1" applyProtection="1">
      <alignment horizontal="left" vertical="top"/>
      <protection hidden="1"/>
    </xf>
    <xf numFmtId="0" fontId="4" fillId="4" borderId="13" xfId="1" applyFont="1" applyFill="1" applyBorder="1" applyAlignment="1" applyProtection="1">
      <alignment horizontal="right" vertical="center"/>
      <protection hidden="1"/>
    </xf>
    <xf numFmtId="0" fontId="4" fillId="13" borderId="52" xfId="1" applyFont="1" applyFill="1" applyBorder="1" applyAlignment="1" applyProtection="1">
      <alignment horizontal="center" vertical="center"/>
      <protection locked="0"/>
    </xf>
    <xf numFmtId="0" fontId="4" fillId="12" borderId="52" xfId="1" applyFont="1" applyFill="1" applyBorder="1" applyAlignment="1" applyProtection="1">
      <alignment vertical="center"/>
      <protection hidden="1"/>
    </xf>
    <xf numFmtId="0" fontId="38" fillId="0" borderId="23" xfId="1" applyFont="1" applyBorder="1" applyAlignment="1" applyProtection="1">
      <alignment horizontal="center" vertical="center"/>
      <protection hidden="1"/>
    </xf>
    <xf numFmtId="0" fontId="2" fillId="0" borderId="52" xfId="1" applyFont="1" applyBorder="1" applyAlignment="1" applyProtection="1">
      <alignment horizontal="center" vertical="center"/>
      <protection hidden="1"/>
    </xf>
    <xf numFmtId="0" fontId="38" fillId="0" borderId="10" xfId="1" applyFont="1" applyBorder="1" applyAlignment="1" applyProtection="1">
      <alignment horizontal="center" vertical="center"/>
      <protection hidden="1"/>
    </xf>
    <xf numFmtId="0" fontId="9" fillId="0" borderId="13" xfId="1" applyFont="1" applyBorder="1" applyAlignment="1" applyProtection="1">
      <alignment horizontal="center" vertical="center"/>
      <protection locked="0"/>
    </xf>
    <xf numFmtId="0" fontId="38" fillId="0" borderId="56" xfId="1" applyFont="1" applyBorder="1" applyAlignment="1" applyProtection="1">
      <alignment horizontal="right" vertical="center"/>
      <protection hidden="1"/>
    </xf>
    <xf numFmtId="0" fontId="56" fillId="0" borderId="13" xfId="1" applyFont="1" applyBorder="1" applyAlignment="1" applyProtection="1">
      <alignment vertical="center"/>
      <protection hidden="1"/>
    </xf>
    <xf numFmtId="0" fontId="12" fillId="0" borderId="0" xfId="1" applyFont="1" applyAlignment="1" applyProtection="1">
      <alignment horizontal="center" vertical="center"/>
      <protection hidden="1"/>
    </xf>
    <xf numFmtId="0" fontId="0" fillId="5" borderId="0" xfId="0" applyFill="1"/>
    <xf numFmtId="169" fontId="8" fillId="13" borderId="41" xfId="0" applyNumberFormat="1" applyFont="1" applyFill="1" applyBorder="1"/>
    <xf numFmtId="166" fontId="57" fillId="13" borderId="41" xfId="0" applyNumberFormat="1" applyFont="1" applyFill="1" applyBorder="1"/>
    <xf numFmtId="0" fontId="58" fillId="13" borderId="0" xfId="0" applyFont="1" applyFill="1"/>
    <xf numFmtId="0" fontId="30" fillId="0" borderId="0" xfId="1" applyFont="1" applyAlignment="1" applyProtection="1">
      <alignment vertical="center"/>
      <protection locked="0" hidden="1"/>
    </xf>
    <xf numFmtId="166" fontId="30" fillId="0" borderId="0" xfId="1" applyNumberFormat="1" applyFont="1" applyAlignment="1" applyProtection="1">
      <alignment horizontal="center" vertical="center"/>
      <protection hidden="1"/>
    </xf>
    <xf numFmtId="166" fontId="30" fillId="0" borderId="41" xfId="1" applyNumberFormat="1" applyFont="1" applyBorder="1" applyAlignment="1" applyProtection="1">
      <alignment vertical="center"/>
      <protection hidden="1"/>
    </xf>
    <xf numFmtId="166" fontId="30" fillId="0" borderId="26" xfId="1" applyNumberFormat="1" applyFont="1" applyBorder="1" applyAlignment="1" applyProtection="1">
      <alignment vertical="center"/>
      <protection hidden="1"/>
    </xf>
    <xf numFmtId="165" fontId="30" fillId="0" borderId="26" xfId="1" applyNumberFormat="1" applyFont="1" applyBorder="1" applyAlignment="1" applyProtection="1">
      <alignment vertical="center"/>
      <protection hidden="1"/>
    </xf>
    <xf numFmtId="1" fontId="30" fillId="0" borderId="41" xfId="1" applyNumberFormat="1" applyFont="1" applyBorder="1" applyAlignment="1" applyProtection="1">
      <alignment horizontal="center" vertical="center"/>
      <protection hidden="1"/>
    </xf>
    <xf numFmtId="0" fontId="61" fillId="13" borderId="14" xfId="2" applyFont="1" applyFill="1" applyBorder="1" applyAlignment="1" applyProtection="1">
      <alignment horizontal="center" vertical="center" wrapText="1"/>
      <protection hidden="1"/>
    </xf>
    <xf numFmtId="0" fontId="30" fillId="17" borderId="0" xfId="1" applyFont="1" applyFill="1" applyAlignment="1" applyProtection="1">
      <alignment horizontal="center" vertical="center"/>
      <protection hidden="1"/>
    </xf>
    <xf numFmtId="0" fontId="30" fillId="0" borderId="41" xfId="1" applyFont="1" applyBorder="1" applyAlignment="1" applyProtection="1">
      <alignment horizontal="center" vertical="center"/>
      <protection hidden="1"/>
    </xf>
    <xf numFmtId="0" fontId="30" fillId="0" borderId="53" xfId="1" applyFont="1" applyBorder="1" applyAlignment="1" applyProtection="1">
      <alignment horizontal="center" vertical="center"/>
      <protection hidden="1"/>
    </xf>
    <xf numFmtId="0" fontId="30" fillId="0" borderId="45" xfId="1" applyFont="1" applyBorder="1" applyAlignment="1" applyProtection="1">
      <alignment horizontal="center" vertical="center"/>
      <protection hidden="1"/>
    </xf>
    <xf numFmtId="0" fontId="30" fillId="0" borderId="54" xfId="1" applyFont="1" applyBorder="1" applyAlignment="1" applyProtection="1">
      <alignment horizontal="center" vertical="center"/>
      <protection hidden="1"/>
    </xf>
    <xf numFmtId="0" fontId="30" fillId="0" borderId="46" xfId="1" applyFont="1" applyBorder="1" applyAlignment="1" applyProtection="1">
      <alignment horizontal="center" vertical="center"/>
      <protection hidden="1"/>
    </xf>
    <xf numFmtId="0" fontId="30" fillId="0" borderId="48" xfId="1" applyFont="1" applyBorder="1" applyAlignment="1" applyProtection="1">
      <alignment horizontal="center" vertical="center"/>
      <protection hidden="1"/>
    </xf>
    <xf numFmtId="0" fontId="30" fillId="0" borderId="42" xfId="1" applyFont="1" applyBorder="1" applyAlignment="1" applyProtection="1">
      <alignment horizontal="center" vertical="center"/>
      <protection hidden="1"/>
    </xf>
    <xf numFmtId="0" fontId="30" fillId="0" borderId="0" xfId="1" applyFont="1" applyAlignment="1" applyProtection="1">
      <alignment horizontal="left" vertical="center"/>
      <protection hidden="1"/>
    </xf>
    <xf numFmtId="0" fontId="4" fillId="4" borderId="18" xfId="1" applyFont="1" applyFill="1" applyBorder="1" applyAlignment="1" applyProtection="1">
      <alignment horizontal="center" vertical="center" wrapText="1"/>
      <protection hidden="1"/>
    </xf>
    <xf numFmtId="0" fontId="4" fillId="4" borderId="22" xfId="1" applyFont="1" applyFill="1" applyBorder="1" applyAlignment="1" applyProtection="1">
      <alignment horizontal="center" vertical="center" wrapText="1"/>
      <protection hidden="1"/>
    </xf>
    <xf numFmtId="0" fontId="4" fillId="0" borderId="19" xfId="1" applyFont="1" applyBorder="1" applyAlignment="1" applyProtection="1">
      <alignment horizontal="center" vertical="center" wrapText="1"/>
      <protection hidden="1"/>
    </xf>
    <xf numFmtId="0" fontId="4" fillId="0" borderId="13" xfId="1" applyFont="1" applyBorder="1" applyAlignment="1" applyProtection="1">
      <alignment horizontal="center" vertical="center"/>
      <protection hidden="1"/>
    </xf>
    <xf numFmtId="0" fontId="4" fillId="0" borderId="23" xfId="1" applyFont="1" applyBorder="1" applyAlignment="1" applyProtection="1">
      <alignment horizontal="center" vertical="center"/>
      <protection hidden="1"/>
    </xf>
    <xf numFmtId="0" fontId="4" fillId="0" borderId="15" xfId="1" applyFont="1" applyBorder="1" applyAlignment="1" applyProtection="1">
      <alignment horizontal="center" vertical="center"/>
      <protection hidden="1"/>
    </xf>
    <xf numFmtId="0" fontId="30" fillId="0" borderId="5" xfId="1" applyFont="1" applyBorder="1" applyAlignment="1" applyProtection="1">
      <alignment horizontal="center" vertical="center"/>
      <protection hidden="1"/>
    </xf>
    <xf numFmtId="0" fontId="30" fillId="0" borderId="48" xfId="1" applyFont="1" applyBorder="1" applyAlignment="1" applyProtection="1">
      <alignment horizontal="center" vertical="center" wrapText="1"/>
      <protection hidden="1"/>
    </xf>
    <xf numFmtId="0" fontId="30" fillId="0" borderId="5" xfId="1" applyFont="1" applyBorder="1" applyAlignment="1" applyProtection="1">
      <alignment horizontal="center" vertical="center" wrapText="1"/>
      <protection hidden="1"/>
    </xf>
    <xf numFmtId="0" fontId="30" fillId="0" borderId="42" xfId="1" applyFont="1" applyBorder="1" applyAlignment="1" applyProtection="1">
      <alignment horizontal="center" vertical="center" wrapText="1"/>
      <protection hidden="1"/>
    </xf>
    <xf numFmtId="0" fontId="30" fillId="0" borderId="48" xfId="1" applyFont="1" applyBorder="1" applyAlignment="1" applyProtection="1">
      <alignment horizontal="left" vertical="center"/>
      <protection hidden="1"/>
    </xf>
    <xf numFmtId="0" fontId="30" fillId="0" borderId="5" xfId="1" applyFont="1" applyBorder="1" applyAlignment="1" applyProtection="1">
      <alignment horizontal="left" vertical="center"/>
      <protection hidden="1"/>
    </xf>
    <xf numFmtId="0" fontId="30" fillId="0" borderId="42" xfId="1" applyFont="1" applyBorder="1" applyAlignment="1" applyProtection="1">
      <alignment horizontal="left" vertical="center"/>
      <protection hidden="1"/>
    </xf>
    <xf numFmtId="0" fontId="30" fillId="0" borderId="41" xfId="1" applyFont="1" applyBorder="1" applyAlignment="1" applyProtection="1">
      <alignment horizontal="center" vertical="center" wrapText="1"/>
      <protection hidden="1"/>
    </xf>
    <xf numFmtId="0" fontId="5" fillId="0" borderId="48" xfId="1" applyFont="1" applyBorder="1" applyAlignment="1" applyProtection="1">
      <alignment horizontal="center" vertical="center"/>
      <protection hidden="1"/>
    </xf>
    <xf numFmtId="0" fontId="5" fillId="0" borderId="5" xfId="1" applyFont="1" applyBorder="1" applyAlignment="1" applyProtection="1">
      <alignment horizontal="center" vertical="center"/>
      <protection hidden="1"/>
    </xf>
    <xf numFmtId="0" fontId="5" fillId="0" borderId="42" xfId="1" applyFont="1" applyBorder="1" applyAlignment="1" applyProtection="1">
      <alignment horizontal="center" vertical="center"/>
      <protection hidden="1"/>
    </xf>
    <xf numFmtId="0" fontId="2" fillId="0" borderId="7" xfId="1" applyFont="1" applyBorder="1" applyAlignment="1" applyProtection="1">
      <alignment horizontal="left" vertical="center"/>
      <protection locked="0"/>
    </xf>
    <xf numFmtId="0" fontId="2" fillId="0" borderId="8" xfId="1" applyFont="1" applyBorder="1" applyAlignment="1" applyProtection="1">
      <alignment horizontal="left" vertical="center"/>
      <protection locked="0"/>
    </xf>
    <xf numFmtId="0" fontId="2" fillId="0" borderId="55" xfId="1" applyFont="1" applyBorder="1" applyAlignment="1" applyProtection="1">
      <alignment horizontal="left" vertical="center"/>
      <protection locked="0"/>
    </xf>
    <xf numFmtId="166" fontId="30" fillId="0" borderId="45" xfId="1" applyNumberFormat="1" applyFont="1" applyBorder="1" applyAlignment="1" applyProtection="1">
      <alignment horizontal="center" vertical="center"/>
      <protection hidden="1"/>
    </xf>
    <xf numFmtId="166" fontId="30" fillId="0" borderId="54" xfId="1" applyNumberFormat="1" applyFont="1" applyBorder="1" applyAlignment="1" applyProtection="1">
      <alignment horizontal="center" vertical="center"/>
      <protection hidden="1"/>
    </xf>
    <xf numFmtId="166" fontId="30" fillId="0" borderId="48" xfId="1" applyNumberFormat="1" applyFont="1" applyBorder="1" applyAlignment="1" applyProtection="1">
      <alignment horizontal="center" vertical="center"/>
      <protection hidden="1"/>
    </xf>
    <xf numFmtId="166" fontId="30" fillId="0" borderId="5" xfId="1" applyNumberFormat="1" applyFont="1" applyBorder="1" applyAlignment="1" applyProtection="1">
      <alignment horizontal="center" vertical="center"/>
      <protection hidden="1"/>
    </xf>
    <xf numFmtId="166" fontId="30" fillId="0" borderId="42" xfId="1" applyNumberFormat="1" applyFont="1" applyBorder="1" applyAlignment="1" applyProtection="1">
      <alignment horizontal="center" vertical="center"/>
      <protection hidden="1"/>
    </xf>
    <xf numFmtId="0" fontId="3" fillId="2" borderId="0" xfId="1" applyFont="1" applyFill="1" applyAlignment="1" applyProtection="1">
      <alignment horizontal="center" vertical="center"/>
      <protection hidden="1"/>
    </xf>
    <xf numFmtId="0" fontId="5" fillId="3" borderId="19" xfId="1" applyFont="1" applyFill="1" applyBorder="1" applyAlignment="1" applyProtection="1">
      <alignment horizontal="center" vertical="center"/>
      <protection hidden="1"/>
    </xf>
    <xf numFmtId="0" fontId="5" fillId="3" borderId="13" xfId="1" applyFont="1" applyFill="1" applyBorder="1" applyAlignment="1" applyProtection="1">
      <alignment horizontal="center" vertical="center"/>
      <protection hidden="1"/>
    </xf>
    <xf numFmtId="0" fontId="5" fillId="3" borderId="3" xfId="1" applyFont="1" applyFill="1" applyBorder="1" applyAlignment="1" applyProtection="1">
      <alignment horizontal="center" vertical="center"/>
      <protection hidden="1"/>
    </xf>
    <xf numFmtId="0" fontId="5" fillId="3" borderId="40" xfId="1" applyFont="1" applyFill="1" applyBorder="1" applyAlignment="1" applyProtection="1">
      <alignment horizontal="center" vertical="center"/>
      <protection hidden="1"/>
    </xf>
    <xf numFmtId="0" fontId="2" fillId="0" borderId="23" xfId="1" applyFont="1" applyBorder="1" applyAlignment="1" applyProtection="1">
      <alignment horizontal="center" vertical="center"/>
      <protection hidden="1"/>
    </xf>
    <xf numFmtId="0" fontId="2" fillId="0" borderId="1" xfId="1" applyFont="1" applyBorder="1" applyAlignment="1" applyProtection="1">
      <alignment horizontal="center" vertical="center"/>
      <protection hidden="1"/>
    </xf>
    <xf numFmtId="0" fontId="4" fillId="0" borderId="4" xfId="1" applyFont="1" applyBorder="1" applyAlignment="1" applyProtection="1">
      <alignment horizontal="left" vertical="center"/>
      <protection hidden="1"/>
    </xf>
    <xf numFmtId="0" fontId="4" fillId="0" borderId="5" xfId="1" applyFont="1" applyBorder="1" applyAlignment="1" applyProtection="1">
      <alignment horizontal="left" vertical="center"/>
      <protection hidden="1"/>
    </xf>
    <xf numFmtId="0" fontId="2" fillId="4" borderId="1" xfId="1" applyFont="1" applyFill="1" applyBorder="1" applyAlignment="1" applyProtection="1">
      <alignment horizontal="center" vertical="center"/>
      <protection hidden="1"/>
    </xf>
    <xf numFmtId="0" fontId="4" fillId="0" borderId="49" xfId="1" applyFont="1" applyBorder="1" applyAlignment="1" applyProtection="1">
      <alignment horizontal="left" vertical="center"/>
      <protection hidden="1"/>
    </xf>
    <xf numFmtId="0" fontId="4" fillId="0" borderId="14" xfId="1" applyFont="1" applyBorder="1" applyAlignment="1" applyProtection="1">
      <alignment horizontal="left" vertical="center"/>
      <protection hidden="1"/>
    </xf>
    <xf numFmtId="0" fontId="5" fillId="0" borderId="14" xfId="1" applyFont="1" applyBorder="1" applyAlignment="1" applyProtection="1">
      <alignment vertical="center"/>
      <protection hidden="1"/>
    </xf>
    <xf numFmtId="0" fontId="4" fillId="0" borderId="2" xfId="1" applyFont="1" applyBorder="1" applyAlignment="1" applyProtection="1">
      <alignment horizontal="left" vertical="center"/>
      <protection locked="0" hidden="1"/>
    </xf>
    <xf numFmtId="0" fontId="4" fillId="0" borderId="3" xfId="1" applyFont="1" applyBorder="1" applyAlignment="1" applyProtection="1">
      <alignment horizontal="left" vertical="center"/>
      <protection locked="0" hidden="1"/>
    </xf>
    <xf numFmtId="0" fontId="5" fillId="0" borderId="3" xfId="1" applyFont="1" applyBorder="1" applyAlignment="1" applyProtection="1">
      <alignment vertical="center"/>
      <protection locked="0" hidden="1"/>
    </xf>
    <xf numFmtId="0" fontId="5" fillId="0" borderId="5" xfId="1" applyFont="1" applyBorder="1" applyAlignment="1" applyProtection="1">
      <alignment vertical="center"/>
      <protection hidden="1"/>
    </xf>
    <xf numFmtId="0" fontId="2" fillId="0" borderId="48" xfId="1" applyFont="1" applyBorder="1" applyAlignment="1" applyProtection="1">
      <alignment horizontal="left" vertical="center"/>
      <protection locked="0"/>
    </xf>
    <xf numFmtId="0" fontId="2" fillId="0" borderId="5" xfId="1" applyFont="1" applyBorder="1" applyAlignment="1" applyProtection="1">
      <alignment horizontal="left" vertical="center"/>
      <protection locked="0"/>
    </xf>
    <xf numFmtId="0" fontId="2" fillId="0" borderId="42" xfId="1" applyFont="1" applyBorder="1" applyAlignment="1" applyProtection="1">
      <alignment horizontal="left" vertical="center"/>
      <protection locked="0"/>
    </xf>
    <xf numFmtId="0" fontId="2" fillId="0" borderId="4" xfId="1" applyFont="1" applyBorder="1" applyAlignment="1" applyProtection="1">
      <alignment horizontal="left" vertical="center"/>
      <protection locked="0"/>
    </xf>
    <xf numFmtId="0" fontId="2" fillId="0" borderId="6" xfId="1" applyFont="1" applyBorder="1" applyAlignment="1" applyProtection="1">
      <alignment horizontal="left" vertical="center"/>
      <protection locked="0"/>
    </xf>
    <xf numFmtId="0" fontId="2" fillId="0" borderId="2" xfId="1" applyFont="1" applyBorder="1" applyAlignment="1" applyProtection="1">
      <alignment horizontal="left" vertical="center"/>
      <protection locked="0" hidden="1"/>
    </xf>
    <xf numFmtId="0" fontId="2" fillId="0" borderId="3" xfId="1" applyFont="1" applyBorder="1" applyAlignment="1" applyProtection="1">
      <alignment horizontal="left" vertical="center"/>
      <protection locked="0" hidden="1"/>
    </xf>
    <xf numFmtId="0" fontId="59" fillId="3" borderId="41" xfId="1" applyFont="1" applyFill="1" applyBorder="1" applyAlignment="1" applyProtection="1">
      <alignment horizontal="center" vertical="center" wrapText="1"/>
      <protection hidden="1"/>
    </xf>
    <xf numFmtId="165" fontId="60" fillId="0" borderId="41" xfId="1" applyNumberFormat="1" applyFont="1" applyBorder="1" applyAlignment="1" applyProtection="1">
      <alignment horizontal="center" vertical="center"/>
      <protection locked="0"/>
    </xf>
    <xf numFmtId="0" fontId="42" fillId="3" borderId="26" xfId="0" applyFont="1" applyFill="1" applyBorder="1" applyAlignment="1">
      <alignment horizontal="center" vertical="center"/>
    </xf>
    <xf numFmtId="0" fontId="42" fillId="3" borderId="53" xfId="0" applyFont="1" applyFill="1" applyBorder="1" applyAlignment="1">
      <alignment horizontal="center" vertical="center"/>
    </xf>
    <xf numFmtId="0" fontId="49" fillId="0" borderId="27" xfId="2" applyFont="1" applyBorder="1" applyAlignment="1" applyProtection="1">
      <alignment horizontal="left" vertical="center" shrinkToFit="1"/>
      <protection hidden="1"/>
    </xf>
    <xf numFmtId="0" fontId="49" fillId="0" borderId="28" xfId="2" applyFont="1" applyBorder="1" applyAlignment="1" applyProtection="1">
      <alignment horizontal="left" vertical="center" shrinkToFit="1"/>
      <protection hidden="1"/>
    </xf>
    <xf numFmtId="0" fontId="49" fillId="0" borderId="51" xfId="2" applyFont="1" applyBorder="1" applyAlignment="1" applyProtection="1">
      <alignment horizontal="left" vertical="center" shrinkToFit="1"/>
      <protection hidden="1"/>
    </xf>
    <xf numFmtId="0" fontId="50" fillId="0" borderId="28" xfId="2" applyFont="1" applyBorder="1" applyAlignment="1" applyProtection="1">
      <alignment horizontal="left" vertical="center" shrinkToFit="1"/>
      <protection hidden="1"/>
    </xf>
    <xf numFmtId="0" fontId="50" fillId="0" borderId="29" xfId="2" applyFont="1" applyBorder="1" applyAlignment="1" applyProtection="1">
      <alignment horizontal="left" vertical="center" shrinkToFit="1"/>
      <protection hidden="1"/>
    </xf>
    <xf numFmtId="0" fontId="17" fillId="0" borderId="30" xfId="2" applyFont="1" applyBorder="1" applyAlignment="1" applyProtection="1">
      <alignment horizontal="center" vertical="center" wrapText="1"/>
      <protection hidden="1"/>
    </xf>
    <xf numFmtId="0" fontId="17" fillId="0" borderId="31" xfId="2" applyFont="1" applyBorder="1" applyAlignment="1" applyProtection="1">
      <alignment horizontal="center" vertical="center" wrapText="1"/>
      <protection hidden="1"/>
    </xf>
    <xf numFmtId="0" fontId="17" fillId="0" borderId="32" xfId="2" applyFont="1" applyBorder="1" applyAlignment="1" applyProtection="1">
      <alignment horizontal="center" vertical="center" wrapText="1"/>
      <protection hidden="1"/>
    </xf>
    <xf numFmtId="0" fontId="17" fillId="0" borderId="27" xfId="2" applyFont="1" applyBorder="1" applyAlignment="1" applyProtection="1">
      <alignment horizontal="center" vertical="center" wrapText="1"/>
      <protection hidden="1"/>
    </xf>
    <xf numFmtId="0" fontId="17" fillId="0" borderId="28" xfId="2" applyFont="1" applyBorder="1" applyAlignment="1" applyProtection="1">
      <alignment horizontal="center" vertical="center" wrapText="1"/>
      <protection hidden="1"/>
    </xf>
    <xf numFmtId="0" fontId="17" fillId="0" borderId="51" xfId="2" applyFont="1" applyBorder="1" applyAlignment="1" applyProtection="1">
      <alignment horizontal="center" vertical="center" wrapText="1"/>
      <protection hidden="1"/>
    </xf>
    <xf numFmtId="0" fontId="22" fillId="0" borderId="27" xfId="2" applyFont="1" applyBorder="1" applyAlignment="1" applyProtection="1">
      <alignment horizontal="center" vertical="center" wrapText="1"/>
      <protection hidden="1"/>
    </xf>
    <xf numFmtId="0" fontId="22" fillId="0" borderId="29" xfId="2" applyFont="1" applyBorder="1" applyAlignment="1" applyProtection="1">
      <alignment horizontal="center" vertical="center" wrapText="1"/>
      <protection hidden="1"/>
    </xf>
    <xf numFmtId="0" fontId="17" fillId="0" borderId="27" xfId="2" applyFont="1" applyBorder="1" applyAlignment="1" applyProtection="1">
      <alignment horizontal="left" vertical="center" wrapText="1"/>
      <protection hidden="1"/>
    </xf>
    <xf numFmtId="0" fontId="17" fillId="0" borderId="28" xfId="2" applyFont="1" applyBorder="1" applyAlignment="1" applyProtection="1">
      <alignment horizontal="left" vertical="center" wrapText="1"/>
      <protection hidden="1"/>
    </xf>
    <xf numFmtId="0" fontId="17" fillId="0" borderId="29" xfId="2" applyFont="1" applyBorder="1" applyAlignment="1" applyProtection="1">
      <alignment horizontal="left" vertical="center" wrapText="1"/>
      <protection hidden="1"/>
    </xf>
    <xf numFmtId="0" fontId="21" fillId="0" borderId="0" xfId="2" applyFont="1" applyAlignment="1" applyProtection="1">
      <alignment horizontal="left"/>
      <protection locked="0"/>
    </xf>
    <xf numFmtId="0" fontId="22" fillId="0" borderId="31" xfId="2" applyFont="1" applyBorder="1" applyAlignment="1" applyProtection="1">
      <alignment horizontal="left" vertical="center" wrapText="1"/>
      <protection hidden="1"/>
    </xf>
    <xf numFmtId="0" fontId="35" fillId="0" borderId="31" xfId="2" applyFont="1" applyBorder="1" applyAlignment="1" applyProtection="1">
      <alignment horizontal="right" vertical="center" wrapText="1"/>
      <protection hidden="1"/>
    </xf>
    <xf numFmtId="0" fontId="35" fillId="0" borderId="32" xfId="2" applyFont="1" applyBorder="1" applyAlignment="1" applyProtection="1">
      <alignment horizontal="right" vertical="center" wrapText="1"/>
      <protection hidden="1"/>
    </xf>
    <xf numFmtId="0" fontId="22" fillId="0" borderId="30" xfId="2" applyFont="1" applyBorder="1" applyAlignment="1" applyProtection="1">
      <alignment horizontal="center" vertical="center" wrapText="1"/>
      <protection hidden="1"/>
    </xf>
    <xf numFmtId="0" fontId="22" fillId="0" borderId="32" xfId="2" applyFont="1" applyBorder="1" applyAlignment="1" applyProtection="1">
      <alignment horizontal="center" vertical="center" wrapText="1"/>
      <protection hidden="1"/>
    </xf>
    <xf numFmtId="45" fontId="22" fillId="0" borderId="14" xfId="2" applyNumberFormat="1" applyFont="1" applyBorder="1" applyAlignment="1" applyProtection="1">
      <alignment horizontal="center" vertical="center" wrapText="1"/>
      <protection hidden="1"/>
    </xf>
    <xf numFmtId="0" fontId="27" fillId="0" borderId="0" xfId="2" applyFont="1" applyAlignment="1" applyProtection="1">
      <alignment horizontal="left" vertical="center" wrapText="1"/>
      <protection locked="0" hidden="1"/>
    </xf>
    <xf numFmtId="0" fontId="17" fillId="0" borderId="27" xfId="2" applyFont="1" applyBorder="1" applyAlignment="1" applyProtection="1">
      <alignment horizontal="right" vertical="top" wrapText="1"/>
      <protection hidden="1"/>
    </xf>
    <xf numFmtId="0" fontId="17" fillId="0" borderId="28" xfId="2" applyFont="1" applyBorder="1" applyAlignment="1" applyProtection="1">
      <alignment horizontal="right" vertical="top" wrapText="1"/>
      <protection hidden="1"/>
    </xf>
    <xf numFmtId="0" fontId="17" fillId="0" borderId="29" xfId="2" applyFont="1" applyBorder="1" applyAlignment="1" applyProtection="1">
      <alignment horizontal="right" vertical="top" wrapText="1"/>
      <protection hidden="1"/>
    </xf>
    <xf numFmtId="0" fontId="17" fillId="0" borderId="29" xfId="2" applyFont="1" applyBorder="1" applyAlignment="1" applyProtection="1">
      <alignment horizontal="center" vertical="center" wrapText="1"/>
      <protection hidden="1"/>
    </xf>
    <xf numFmtId="0" fontId="23" fillId="0" borderId="34" xfId="2" applyFont="1" applyBorder="1" applyAlignment="1" applyProtection="1">
      <alignment horizontal="left" vertical="center" wrapText="1"/>
      <protection hidden="1"/>
    </xf>
    <xf numFmtId="0" fontId="23" fillId="0" borderId="0" xfId="2" applyFont="1" applyAlignment="1" applyProtection="1">
      <alignment horizontal="left" vertical="center" wrapText="1"/>
      <protection hidden="1"/>
    </xf>
    <xf numFmtId="0" fontId="23" fillId="0" borderId="35" xfId="2" applyFont="1" applyBorder="1" applyAlignment="1" applyProtection="1">
      <alignment horizontal="left" vertical="center" wrapText="1"/>
      <protection hidden="1"/>
    </xf>
    <xf numFmtId="0" fontId="23" fillId="0" borderId="36" xfId="2" applyFont="1" applyBorder="1" applyAlignment="1" applyProtection="1">
      <alignment horizontal="left" vertical="center" wrapText="1"/>
      <protection hidden="1"/>
    </xf>
    <xf numFmtId="0" fontId="23" fillId="0" borderId="37" xfId="2" applyFont="1" applyBorder="1" applyAlignment="1" applyProtection="1">
      <alignment horizontal="left" vertical="center" wrapText="1"/>
      <protection hidden="1"/>
    </xf>
    <xf numFmtId="0" fontId="23" fillId="0" borderId="38" xfId="2" applyFont="1" applyBorder="1" applyAlignment="1" applyProtection="1">
      <alignment horizontal="left" vertical="center" wrapText="1"/>
      <protection hidden="1"/>
    </xf>
    <xf numFmtId="0" fontId="17" fillId="0" borderId="30" xfId="2" applyFont="1" applyBorder="1" applyAlignment="1" applyProtection="1">
      <alignment horizontal="right" vertical="top" wrapText="1"/>
      <protection hidden="1"/>
    </xf>
    <xf numFmtId="0" fontId="17" fillId="0" borderId="31" xfId="2" applyFont="1" applyBorder="1" applyAlignment="1" applyProtection="1">
      <alignment horizontal="right" vertical="top" wrapText="1"/>
      <protection hidden="1"/>
    </xf>
    <xf numFmtId="0" fontId="17" fillId="0" borderId="32" xfId="2" applyFont="1" applyBorder="1" applyAlignment="1" applyProtection="1">
      <alignment horizontal="right" vertical="top" wrapText="1"/>
      <protection hidden="1"/>
    </xf>
    <xf numFmtId="0" fontId="16" fillId="11" borderId="24" xfId="2" applyFill="1" applyBorder="1" applyAlignment="1" applyProtection="1">
      <alignment horizontal="center" vertical="top" wrapText="1"/>
      <protection hidden="1"/>
    </xf>
    <xf numFmtId="0" fontId="16" fillId="11" borderId="43" xfId="2" applyFill="1" applyBorder="1" applyAlignment="1" applyProtection="1">
      <alignment horizontal="center" vertical="top" wrapText="1"/>
      <protection hidden="1"/>
    </xf>
    <xf numFmtId="0" fontId="44" fillId="11" borderId="25" xfId="2" applyFont="1" applyFill="1" applyBorder="1" applyAlignment="1" applyProtection="1">
      <alignment horizontal="center" vertical="center" shrinkToFit="1"/>
      <protection locked="0"/>
    </xf>
    <xf numFmtId="0" fontId="44" fillId="11" borderId="44" xfId="2" applyFont="1" applyFill="1" applyBorder="1" applyAlignment="1" applyProtection="1">
      <alignment horizontal="center" vertical="center" shrinkToFit="1"/>
      <protection locked="0"/>
    </xf>
    <xf numFmtId="0" fontId="44" fillId="11" borderId="45" xfId="2" applyFont="1" applyFill="1" applyBorder="1" applyAlignment="1" applyProtection="1">
      <alignment horizontal="center" vertical="center" shrinkToFit="1"/>
      <protection locked="0"/>
    </xf>
    <xf numFmtId="0" fontId="44" fillId="11" borderId="46" xfId="2" applyFont="1" applyFill="1" applyBorder="1" applyAlignment="1" applyProtection="1">
      <alignment horizontal="center" vertical="center" shrinkToFit="1"/>
      <protection locked="0"/>
    </xf>
    <xf numFmtId="0" fontId="39" fillId="0" borderId="34" xfId="2" applyFont="1" applyBorder="1" applyAlignment="1" applyProtection="1">
      <alignment horizontal="center" vertical="top"/>
      <protection hidden="1"/>
    </xf>
    <xf numFmtId="0" fontId="39" fillId="0" borderId="0" xfId="2" applyFont="1" applyAlignment="1" applyProtection="1">
      <alignment horizontal="center" vertical="top"/>
      <protection hidden="1"/>
    </xf>
    <xf numFmtId="0" fontId="39" fillId="0" borderId="36" xfId="2" applyFont="1" applyBorder="1" applyAlignment="1" applyProtection="1">
      <alignment horizontal="center" vertical="top"/>
      <protection hidden="1"/>
    </xf>
    <xf numFmtId="0" fontId="39" fillId="0" borderId="37" xfId="2" applyFont="1" applyBorder="1" applyAlignment="1" applyProtection="1">
      <alignment horizontal="center" vertical="top"/>
      <protection hidden="1"/>
    </xf>
    <xf numFmtId="0" fontId="50" fillId="0" borderId="51" xfId="2" applyFont="1" applyBorder="1" applyAlignment="1" applyProtection="1">
      <alignment horizontal="left" vertical="center" shrinkToFit="1"/>
      <protection hidden="1"/>
    </xf>
    <xf numFmtId="0" fontId="0" fillId="9" borderId="0" xfId="0" applyFill="1" applyAlignment="1">
      <alignment horizontal="center"/>
    </xf>
    <xf numFmtId="0" fontId="0" fillId="0" borderId="0" xfId="0" applyAlignment="1">
      <alignment horizontal="center"/>
    </xf>
    <xf numFmtId="0" fontId="0" fillId="6" borderId="0" xfId="0" applyFill="1" applyAlignment="1">
      <alignment horizontal="center"/>
    </xf>
    <xf numFmtId="0" fontId="0" fillId="7" borderId="0" xfId="0" applyFill="1" applyAlignment="1">
      <alignment horizontal="center"/>
    </xf>
    <xf numFmtId="0" fontId="0" fillId="0" borderId="41" xfId="0" applyBorder="1" applyAlignment="1">
      <alignment horizontal="center"/>
    </xf>
    <xf numFmtId="0" fontId="0" fillId="0" borderId="48" xfId="0" applyBorder="1" applyAlignment="1">
      <alignment horizontal="center"/>
    </xf>
    <xf numFmtId="0" fontId="0" fillId="0" borderId="5" xfId="0" applyBorder="1" applyAlignment="1">
      <alignment horizontal="center"/>
    </xf>
    <xf numFmtId="0" fontId="0" fillId="0" borderId="42" xfId="0" applyBorder="1" applyAlignment="1">
      <alignment horizontal="center"/>
    </xf>
    <xf numFmtId="0" fontId="47" fillId="13" borderId="48" xfId="0" applyFont="1" applyFill="1" applyBorder="1" applyAlignment="1">
      <alignment horizontal="center"/>
    </xf>
    <xf numFmtId="0" fontId="47" fillId="13" borderId="42" xfId="0" applyFont="1" applyFill="1" applyBorder="1" applyAlignment="1">
      <alignment horizontal="center"/>
    </xf>
    <xf numFmtId="0" fontId="47" fillId="13" borderId="5" xfId="0" applyFont="1" applyFill="1" applyBorder="1" applyAlignment="1">
      <alignment horizontal="center"/>
    </xf>
  </cellXfs>
  <cellStyles count="3">
    <cellStyle name="Normal" xfId="0" builtinId="0"/>
    <cellStyle name="Normal 2" xfId="1" xr:uid="{00000000-0005-0000-0000-000001000000}"/>
    <cellStyle name="Normal 3" xfId="2" xr:uid="{00000000-0005-0000-0000-000002000000}"/>
  </cellStyles>
  <dxfs count="280">
    <dxf>
      <font>
        <color theme="0"/>
      </font>
      <fill>
        <patternFill>
          <bgColor theme="0"/>
        </patternFill>
      </fill>
      <border>
        <left/>
        <right/>
        <bottom/>
        <vertical/>
        <horizontal/>
      </border>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dxf>
    <dxf>
      <font>
        <color theme="0"/>
      </font>
      <fill>
        <patternFill>
          <bgColor rgb="FFFF0000"/>
        </patternFill>
      </fill>
    </dxf>
    <dxf>
      <fill>
        <patternFill>
          <bgColor rgb="FFFFB9B9"/>
        </patternFill>
      </fill>
    </dxf>
    <dxf>
      <fill>
        <patternFill>
          <bgColor theme="9" tint="0.59996337778862885"/>
        </patternFill>
      </fill>
    </dxf>
    <dxf>
      <font>
        <color theme="0"/>
      </font>
      <fill>
        <patternFill>
          <bgColor rgb="FFFF0000"/>
        </patternFill>
      </fill>
    </dxf>
    <dxf>
      <font>
        <color theme="0"/>
      </font>
    </dxf>
    <dxf>
      <font>
        <color theme="0"/>
      </font>
      <fill>
        <patternFill>
          <bgColor rgb="FFFF0000"/>
        </patternFill>
      </fill>
    </dxf>
    <dxf>
      <fill>
        <patternFill>
          <bgColor theme="9" tint="0.59996337778862885"/>
        </patternFill>
      </fill>
    </dxf>
    <dxf>
      <fill>
        <patternFill>
          <bgColor rgb="FFFFB9B9"/>
        </patternFill>
      </fill>
    </dxf>
    <dxf>
      <font>
        <b/>
        <i val="0"/>
      </font>
      <fill>
        <patternFill>
          <bgColor rgb="FFFFA3A3"/>
        </patternFill>
      </fill>
    </dxf>
    <dxf>
      <fill>
        <patternFill>
          <bgColor rgb="FFFFB9B9"/>
        </patternFill>
      </fill>
    </dxf>
    <dxf>
      <fill>
        <patternFill>
          <bgColor theme="9" tint="0.59996337778862885"/>
        </patternFill>
      </fill>
    </dxf>
    <dxf>
      <fill>
        <patternFill>
          <bgColor theme="9" tint="0.59996337778862885"/>
        </patternFill>
      </fill>
    </dxf>
    <dxf>
      <fill>
        <patternFill>
          <bgColor rgb="FFFFB9B9"/>
        </patternFill>
      </fill>
    </dxf>
    <dxf>
      <fill>
        <patternFill>
          <bgColor theme="9" tint="0.59996337778862885"/>
        </patternFill>
      </fill>
    </dxf>
    <dxf>
      <fill>
        <patternFill>
          <bgColor rgb="FFFFB9B9"/>
        </patternFill>
      </fill>
    </dxf>
    <dxf>
      <fill>
        <patternFill>
          <bgColor rgb="FFFFB9B9"/>
        </patternFill>
      </fill>
    </dxf>
    <dxf>
      <fill>
        <patternFill>
          <bgColor theme="9" tint="0.59996337778862885"/>
        </patternFill>
      </fill>
    </dxf>
    <dxf>
      <fill>
        <patternFill>
          <bgColor rgb="FFFFB9B9"/>
        </patternFill>
      </fill>
    </dxf>
    <dxf>
      <fill>
        <patternFill>
          <bgColor theme="9" tint="0.59996337778862885"/>
        </patternFill>
      </fill>
    </dxf>
    <dxf>
      <fill>
        <patternFill>
          <bgColor rgb="FFFFB9B9"/>
        </patternFill>
      </fill>
    </dxf>
    <dxf>
      <fill>
        <patternFill>
          <bgColor theme="9" tint="0.59996337778862885"/>
        </patternFill>
      </fill>
    </dxf>
    <dxf>
      <fill>
        <patternFill>
          <bgColor rgb="FFFFB9B9"/>
        </patternFill>
      </fill>
    </dxf>
    <dxf>
      <fill>
        <patternFill>
          <bgColor theme="9" tint="0.59996337778862885"/>
        </patternFill>
      </fill>
    </dxf>
    <dxf>
      <fill>
        <patternFill>
          <bgColor theme="9" tint="0.59996337778862885"/>
        </patternFill>
      </fill>
    </dxf>
    <dxf>
      <fill>
        <patternFill>
          <bgColor rgb="FFFFB9B9"/>
        </patternFill>
      </fill>
    </dxf>
    <dxf>
      <font>
        <b/>
        <i val="0"/>
        <color rgb="FFFF0000"/>
      </font>
      <fill>
        <patternFill>
          <bgColor theme="0" tint="-0.14996795556505021"/>
        </patternFill>
      </fill>
    </dxf>
    <dxf>
      <fill>
        <patternFill>
          <bgColor theme="9" tint="0.59996337778862885"/>
        </patternFill>
      </fill>
    </dxf>
    <dxf>
      <fill>
        <patternFill>
          <bgColor theme="9" tint="0.59996337778862885"/>
        </patternFill>
      </fill>
    </dxf>
    <dxf>
      <fill>
        <patternFill>
          <bgColor rgb="FFFFB9B9"/>
        </patternFill>
      </fill>
    </dxf>
    <dxf>
      <fill>
        <patternFill>
          <bgColor theme="9" tint="0.59996337778862885"/>
        </patternFill>
      </fill>
    </dxf>
    <dxf>
      <fill>
        <patternFill>
          <bgColor rgb="FFFFB9B9"/>
        </patternFill>
      </fill>
    </dxf>
    <dxf>
      <fill>
        <patternFill>
          <bgColor rgb="FFFFB9B9"/>
        </patternFill>
      </fill>
    </dxf>
    <dxf>
      <fill>
        <patternFill>
          <bgColor theme="9" tint="0.59996337778862885"/>
        </patternFill>
      </fill>
    </dxf>
    <dxf>
      <fill>
        <patternFill>
          <bgColor rgb="FFFFB9B9"/>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rgb="FFFFB9B9"/>
        </patternFill>
      </fill>
    </dxf>
    <dxf>
      <fill>
        <patternFill>
          <bgColor theme="9" tint="0.59996337778862885"/>
        </patternFill>
      </fill>
    </dxf>
    <dxf>
      <fill>
        <patternFill>
          <bgColor rgb="FFFFB9B9"/>
        </patternFill>
      </fill>
    </dxf>
    <dxf>
      <fill>
        <patternFill>
          <bgColor theme="9" tint="0.59996337778862885"/>
        </patternFill>
      </fill>
    </dxf>
    <dxf>
      <fill>
        <patternFill>
          <bgColor rgb="FFFFB9B9"/>
        </patternFill>
      </fill>
    </dxf>
    <dxf>
      <fill>
        <patternFill>
          <bgColor rgb="FFFFB9B9"/>
        </patternFill>
      </fill>
    </dxf>
    <dxf>
      <fill>
        <patternFill>
          <bgColor theme="9" tint="0.59996337778862885"/>
        </patternFill>
      </fill>
    </dxf>
    <dxf>
      <fill>
        <patternFill>
          <bgColor theme="9" tint="0.59996337778862885"/>
        </patternFill>
      </fill>
    </dxf>
    <dxf>
      <fill>
        <patternFill>
          <bgColor rgb="FFFFB9B9"/>
        </patternFill>
      </fill>
    </dxf>
    <dxf>
      <fill>
        <patternFill>
          <bgColor theme="9" tint="0.59996337778862885"/>
        </patternFill>
      </fill>
    </dxf>
    <dxf>
      <fill>
        <patternFill>
          <bgColor theme="9" tint="0.59996337778862885"/>
        </patternFill>
      </fill>
    </dxf>
    <dxf>
      <fill>
        <patternFill>
          <bgColor rgb="FFFFB9B9"/>
        </patternFill>
      </fill>
    </dxf>
    <dxf>
      <fill>
        <patternFill>
          <bgColor theme="9" tint="0.59996337778862885"/>
        </patternFill>
      </fill>
    </dxf>
    <dxf>
      <fill>
        <patternFill>
          <bgColor rgb="FFFFB9B9"/>
        </patternFill>
      </fill>
    </dxf>
    <dxf>
      <fill>
        <patternFill>
          <bgColor rgb="FFFFB9B9"/>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rgb="FFFFB9B9"/>
        </patternFill>
      </fill>
    </dxf>
    <dxf>
      <fill>
        <patternFill>
          <bgColor theme="9" tint="0.59996337778862885"/>
        </patternFill>
      </fill>
    </dxf>
    <dxf>
      <fill>
        <patternFill>
          <bgColor rgb="FFFFB9B9"/>
        </patternFill>
      </fill>
    </dxf>
    <dxf>
      <fill>
        <patternFill>
          <bgColor theme="9" tint="0.59996337778862885"/>
        </patternFill>
      </fill>
    </dxf>
    <dxf>
      <fill>
        <patternFill>
          <bgColor rgb="FFFFB9B9"/>
        </patternFill>
      </fill>
    </dxf>
    <dxf>
      <fill>
        <patternFill>
          <bgColor rgb="FFFFB9B9"/>
        </patternFill>
      </fill>
    </dxf>
    <dxf>
      <fill>
        <patternFill>
          <bgColor theme="9" tint="0.59996337778862885"/>
        </patternFill>
      </fill>
    </dxf>
    <dxf>
      <font>
        <b/>
        <i val="0"/>
        <color rgb="FFFF0000"/>
      </font>
      <fill>
        <patternFill>
          <bgColor theme="0" tint="-0.14996795556505021"/>
        </patternFill>
      </fill>
    </dxf>
    <dxf>
      <fill>
        <patternFill>
          <bgColor theme="9" tint="0.59996337778862885"/>
        </patternFill>
      </fill>
    </dxf>
    <dxf>
      <fill>
        <patternFill>
          <bgColor rgb="FFFFB9B9"/>
        </patternFill>
      </fill>
    </dxf>
    <dxf>
      <fill>
        <patternFill>
          <bgColor theme="9" tint="0.59996337778862885"/>
        </patternFill>
      </fill>
    </dxf>
    <dxf>
      <fill>
        <patternFill>
          <bgColor theme="9" tint="0.59996337778862885"/>
        </patternFill>
      </fill>
    </dxf>
    <dxf>
      <fill>
        <patternFill>
          <bgColor rgb="FFFFB9B9"/>
        </patternFill>
      </fill>
    </dxf>
    <dxf>
      <fill>
        <patternFill>
          <bgColor rgb="FFFFB9B9"/>
        </patternFill>
      </fill>
    </dxf>
    <dxf>
      <fill>
        <patternFill>
          <bgColor theme="9" tint="0.59996337778862885"/>
        </patternFill>
      </fill>
    </dxf>
    <dxf>
      <fill>
        <patternFill>
          <bgColor rgb="FFFFB9B9"/>
        </patternFill>
      </fill>
    </dxf>
    <dxf>
      <fill>
        <patternFill>
          <bgColor theme="9" tint="0.59996337778862885"/>
        </patternFill>
      </fill>
    </dxf>
    <dxf>
      <font>
        <color theme="0"/>
      </font>
      <fill>
        <patternFill>
          <bgColor rgb="FFFF0000"/>
        </patternFill>
      </fill>
    </dxf>
    <dxf>
      <fill>
        <patternFill>
          <bgColor theme="9" tint="0.59996337778862885"/>
        </patternFill>
      </fill>
    </dxf>
    <dxf>
      <font>
        <color theme="0"/>
      </font>
      <border>
        <left/>
        <right/>
        <top/>
        <bottom/>
        <vertical/>
        <horizontal/>
      </border>
    </dxf>
    <dxf>
      <fill>
        <patternFill>
          <bgColor rgb="FFFFB9B9"/>
        </patternFill>
      </fill>
    </dxf>
    <dxf>
      <fill>
        <patternFill>
          <bgColor theme="9" tint="0.59996337778862885"/>
        </patternFill>
      </fill>
    </dxf>
    <dxf>
      <fill>
        <patternFill>
          <bgColor rgb="FFFFB9B9"/>
        </patternFill>
      </fill>
    </dxf>
    <dxf>
      <fill>
        <patternFill>
          <bgColor theme="9" tint="0.59996337778862885"/>
        </patternFill>
      </fill>
    </dxf>
    <dxf>
      <fill>
        <patternFill>
          <bgColor theme="9" tint="0.59996337778862885"/>
        </patternFill>
      </fill>
    </dxf>
    <dxf>
      <fill>
        <patternFill>
          <bgColor rgb="FFFFB9B9"/>
        </patternFill>
      </fill>
    </dxf>
    <dxf>
      <fill>
        <patternFill>
          <bgColor rgb="FFFFB9B9"/>
        </patternFill>
      </fill>
    </dxf>
    <dxf>
      <fill>
        <patternFill>
          <bgColor theme="9" tint="0.59996337778862885"/>
        </patternFill>
      </fill>
    </dxf>
    <dxf>
      <fill>
        <patternFill>
          <bgColor rgb="FFFFC000"/>
        </patternFill>
      </fill>
    </dxf>
    <dxf>
      <font>
        <b/>
        <i val="0"/>
      </font>
      <fill>
        <patternFill>
          <bgColor rgb="FF92D050"/>
        </patternFill>
      </fill>
    </dxf>
    <dxf>
      <border>
        <right style="thin">
          <color auto="1"/>
        </right>
        <top/>
        <bottom/>
        <vertical/>
        <horizontal/>
      </border>
    </dxf>
    <dxf>
      <border>
        <left style="thin">
          <color auto="1"/>
        </left>
        <right/>
        <top/>
        <bottom/>
      </border>
    </dxf>
    <dxf>
      <fill>
        <patternFill>
          <bgColor theme="9" tint="0.59996337778862885"/>
        </patternFill>
      </fill>
    </dxf>
    <dxf>
      <fill>
        <patternFill>
          <bgColor rgb="FFFFB9B9"/>
        </patternFill>
      </fill>
    </dxf>
    <dxf>
      <fill>
        <patternFill>
          <bgColor theme="9" tint="0.59996337778862885"/>
        </patternFill>
      </fill>
    </dxf>
    <dxf>
      <fill>
        <patternFill>
          <bgColor rgb="FFFFB9B9"/>
        </patternFill>
      </fill>
    </dxf>
    <dxf>
      <fill>
        <patternFill>
          <bgColor theme="9" tint="0.59996337778862885"/>
        </patternFill>
      </fill>
    </dxf>
    <dxf>
      <fill>
        <patternFill>
          <bgColor rgb="FFFFB9B9"/>
        </patternFill>
      </fill>
    </dxf>
    <dxf>
      <fill>
        <patternFill>
          <bgColor theme="9" tint="0.59996337778862885"/>
        </patternFill>
      </fill>
    </dxf>
    <dxf>
      <fill>
        <patternFill>
          <bgColor rgb="FFFFB9B9"/>
        </patternFill>
      </fill>
    </dxf>
    <dxf>
      <fill>
        <patternFill>
          <bgColor theme="9" tint="0.59996337778862885"/>
        </patternFill>
      </fill>
    </dxf>
    <dxf>
      <fill>
        <patternFill>
          <bgColor rgb="FFFFB9B9"/>
        </patternFill>
      </fill>
    </dxf>
    <dxf>
      <fill>
        <patternFill>
          <bgColor rgb="FFFFB9B9"/>
        </patternFill>
      </fill>
    </dxf>
    <dxf>
      <fill>
        <patternFill>
          <bgColor theme="9" tint="0.59996337778862885"/>
        </patternFill>
      </fill>
    </dxf>
    <dxf>
      <fill>
        <patternFill>
          <bgColor rgb="FFFFB9B9"/>
        </patternFill>
      </fill>
    </dxf>
    <dxf>
      <fill>
        <patternFill>
          <bgColor theme="9" tint="0.59996337778862885"/>
        </patternFill>
      </fill>
    </dxf>
    <dxf>
      <fill>
        <patternFill>
          <bgColor rgb="FFFFB9B9"/>
        </patternFill>
      </fill>
    </dxf>
    <dxf>
      <fill>
        <patternFill>
          <bgColor theme="9" tint="0.59996337778862885"/>
        </patternFill>
      </fill>
    </dxf>
    <dxf>
      <font>
        <b/>
        <i val="0"/>
        <color theme="0"/>
      </font>
      <fill>
        <patternFill>
          <bgColor rgb="FFFF0000"/>
        </patternFill>
      </fill>
    </dxf>
    <dxf>
      <border>
        <left style="thin">
          <color auto="1"/>
        </left>
        <right style="thin">
          <color auto="1"/>
        </right>
        <top style="thin">
          <color auto="1"/>
        </top>
        <bottom style="thin">
          <color auto="1"/>
        </bottom>
        <vertical/>
        <horizontal/>
      </border>
    </dxf>
    <dxf>
      <font>
        <color theme="0"/>
      </font>
      <border>
        <left/>
        <right/>
        <top/>
        <bottom/>
        <vertical/>
        <horizontal/>
      </border>
    </dxf>
    <dxf>
      <font>
        <color theme="1"/>
      </font>
      <fill>
        <patternFill>
          <bgColor theme="9" tint="0.39994506668294322"/>
        </patternFill>
      </fill>
    </dxf>
    <dxf>
      <fill>
        <patternFill>
          <bgColor rgb="FFFFB9B9"/>
        </patternFill>
      </fill>
    </dxf>
    <dxf>
      <fill>
        <patternFill>
          <bgColor theme="9" tint="0.59996337778862885"/>
        </patternFill>
      </fill>
    </dxf>
    <dxf>
      <fill>
        <patternFill>
          <bgColor theme="9" tint="0.59996337778862885"/>
        </patternFill>
      </fill>
    </dxf>
    <dxf>
      <fill>
        <patternFill>
          <bgColor rgb="FFFFB9B9"/>
        </patternFill>
      </fill>
    </dxf>
    <dxf>
      <fill>
        <patternFill>
          <bgColor theme="9" tint="0.59996337778862885"/>
        </patternFill>
      </fill>
    </dxf>
    <dxf>
      <fill>
        <patternFill>
          <bgColor rgb="FFFFB9B9"/>
        </patternFill>
      </fill>
    </dxf>
    <dxf>
      <fill>
        <patternFill>
          <bgColor theme="9" tint="0.59996337778862885"/>
        </patternFill>
      </fill>
    </dxf>
    <dxf>
      <fill>
        <patternFill>
          <bgColor rgb="FFFFB9B9"/>
        </patternFill>
      </fill>
    </dxf>
    <dxf>
      <fill>
        <patternFill>
          <bgColor rgb="FFFFA3A3"/>
        </patternFill>
      </fill>
    </dxf>
    <dxf>
      <fill>
        <patternFill>
          <bgColor rgb="FFFFA3A3"/>
        </patternFill>
      </fill>
    </dxf>
    <dxf>
      <fill>
        <patternFill>
          <bgColor rgb="FFFFA3A3"/>
        </patternFill>
      </fill>
    </dxf>
    <dxf>
      <fill>
        <patternFill>
          <bgColor theme="9" tint="0.59996337778862885"/>
        </patternFill>
      </fill>
    </dxf>
    <dxf>
      <fill>
        <patternFill>
          <bgColor rgb="FFFFB9B9"/>
        </patternFill>
      </fill>
    </dxf>
    <dxf>
      <fill>
        <patternFill>
          <bgColor rgb="FFFFB9B9"/>
        </patternFill>
      </fill>
    </dxf>
    <dxf>
      <fill>
        <patternFill>
          <bgColor theme="9" tint="0.59996337778862885"/>
        </patternFill>
      </fill>
    </dxf>
    <dxf>
      <fill>
        <patternFill>
          <bgColor rgb="FFFFB9B9"/>
        </patternFill>
      </fill>
    </dxf>
    <dxf>
      <fill>
        <patternFill>
          <bgColor theme="9" tint="0.59996337778862885"/>
        </patternFill>
      </fill>
    </dxf>
    <dxf>
      <fill>
        <patternFill>
          <bgColor theme="9" tint="0.59996337778862885"/>
        </patternFill>
      </fill>
    </dxf>
    <dxf>
      <fill>
        <patternFill>
          <bgColor rgb="FFFFB9B9"/>
        </patternFill>
      </fill>
    </dxf>
    <dxf>
      <fill>
        <patternFill>
          <bgColor theme="9" tint="0.59996337778862885"/>
        </patternFill>
      </fill>
    </dxf>
    <dxf>
      <fill>
        <patternFill>
          <bgColor rgb="FFFFB9B9"/>
        </patternFill>
      </fill>
    </dxf>
    <dxf>
      <fill>
        <patternFill>
          <bgColor rgb="FFFFB9B9"/>
        </patternFill>
      </fill>
    </dxf>
    <dxf>
      <fill>
        <patternFill>
          <bgColor theme="9" tint="0.59996337778862885"/>
        </patternFill>
      </fill>
    </dxf>
    <dxf>
      <fill>
        <patternFill>
          <bgColor rgb="FFFF8383"/>
        </patternFill>
      </fill>
    </dxf>
    <dxf>
      <fill>
        <patternFill>
          <bgColor theme="8" tint="0.39994506668294322"/>
        </patternFill>
      </fill>
    </dxf>
    <dxf>
      <fill>
        <patternFill>
          <bgColor theme="9" tint="0.39994506668294322"/>
        </patternFill>
      </fill>
    </dxf>
    <dxf>
      <fill>
        <patternFill>
          <bgColor rgb="FFFFFF65"/>
        </patternFill>
      </fill>
    </dxf>
    <dxf>
      <fill>
        <patternFill>
          <bgColor theme="0" tint="-4.9989318521683403E-2"/>
        </patternFill>
      </fill>
    </dxf>
    <dxf>
      <fill>
        <patternFill>
          <bgColor rgb="FFFFB9B9"/>
        </patternFill>
      </fill>
    </dxf>
    <dxf>
      <fill>
        <patternFill>
          <bgColor theme="9" tint="0.59996337778862885"/>
        </patternFill>
      </fill>
    </dxf>
    <dxf>
      <fill>
        <patternFill>
          <bgColor theme="9" tint="0.59996337778862885"/>
        </patternFill>
      </fill>
    </dxf>
    <dxf>
      <fill>
        <patternFill>
          <bgColor rgb="FFFFB9B9"/>
        </patternFill>
      </fill>
    </dxf>
    <dxf>
      <fill>
        <patternFill>
          <bgColor rgb="FFFFA3A3"/>
        </patternFill>
      </fill>
    </dxf>
    <dxf>
      <fill>
        <patternFill>
          <bgColor theme="0" tint="-0.14996795556505021"/>
        </patternFill>
      </fill>
    </dxf>
    <dxf>
      <font>
        <b/>
        <i val="0"/>
      </font>
      <fill>
        <patternFill>
          <bgColor rgb="FFFFA3A3"/>
        </patternFill>
      </fill>
    </dxf>
    <dxf>
      <fill>
        <patternFill>
          <bgColor rgb="FFFFA3A3"/>
        </patternFill>
      </fill>
    </dxf>
    <dxf>
      <fill>
        <patternFill>
          <bgColor theme="0" tint="-4.9989318521683403E-2"/>
        </patternFill>
      </fill>
    </dxf>
    <dxf>
      <fill>
        <patternFill>
          <bgColor rgb="FFFFFF65"/>
        </patternFill>
      </fill>
    </dxf>
    <dxf>
      <fill>
        <patternFill>
          <bgColor theme="9" tint="0.39994506668294322"/>
        </patternFill>
      </fill>
    </dxf>
    <dxf>
      <fill>
        <patternFill>
          <bgColor rgb="FFFF8383"/>
        </patternFill>
      </fill>
    </dxf>
    <dxf>
      <fill>
        <patternFill>
          <bgColor theme="8" tint="0.39994506668294322"/>
        </patternFill>
      </fill>
    </dxf>
    <dxf>
      <fill>
        <patternFill>
          <bgColor rgb="FFFFB9B9"/>
        </patternFill>
      </fill>
    </dxf>
    <dxf>
      <fill>
        <patternFill>
          <bgColor theme="9" tint="0.59996337778862885"/>
        </patternFill>
      </fill>
    </dxf>
    <dxf>
      <fill>
        <patternFill>
          <bgColor rgb="FFFFB9B9"/>
        </patternFill>
      </fill>
    </dxf>
    <dxf>
      <fill>
        <patternFill>
          <bgColor theme="9" tint="0.59996337778862885"/>
        </patternFill>
      </fill>
    </dxf>
    <dxf>
      <fill>
        <patternFill>
          <bgColor theme="0" tint="-4.9989318521683403E-2"/>
        </patternFill>
      </fill>
    </dxf>
    <dxf>
      <fill>
        <patternFill>
          <bgColor rgb="FFFFFF65"/>
        </patternFill>
      </fill>
    </dxf>
    <dxf>
      <fill>
        <patternFill>
          <bgColor rgb="FFFF8383"/>
        </patternFill>
      </fill>
    </dxf>
    <dxf>
      <fill>
        <patternFill>
          <bgColor theme="8" tint="0.39994506668294322"/>
        </patternFill>
      </fill>
    </dxf>
    <dxf>
      <fill>
        <patternFill>
          <bgColor theme="9" tint="0.39994506668294322"/>
        </patternFill>
      </fill>
    </dxf>
    <dxf>
      <font>
        <color theme="0"/>
      </font>
      <fill>
        <patternFill>
          <bgColor rgb="FFFF0000"/>
        </patternFill>
      </fill>
    </dxf>
    <dxf>
      <fill>
        <patternFill>
          <bgColor theme="9" tint="0.59996337778862885"/>
        </patternFill>
      </fill>
    </dxf>
    <dxf>
      <fill>
        <patternFill>
          <bgColor rgb="FFFFB9B9"/>
        </patternFill>
      </fill>
    </dxf>
    <dxf>
      <fill>
        <patternFill>
          <bgColor rgb="FFFFB9B9"/>
        </patternFill>
      </fill>
    </dxf>
    <dxf>
      <fill>
        <patternFill>
          <bgColor theme="9" tint="0.59996337778862885"/>
        </patternFill>
      </fill>
    </dxf>
    <dxf>
      <font>
        <color theme="0" tint="-0.14996795556505021"/>
      </font>
      <fill>
        <patternFill>
          <bgColor theme="0" tint="-0.14996795556505021"/>
        </patternFill>
      </fill>
      <border>
        <left/>
        <right/>
        <bottom/>
        <vertical/>
        <horizontal/>
      </border>
    </dxf>
    <dxf>
      <font>
        <color theme="0" tint="-0.14996795556505021"/>
      </font>
      <fill>
        <patternFill>
          <bgColor theme="0" tint="-0.14996795556505021"/>
        </patternFill>
      </fill>
      <border>
        <left/>
        <right/>
        <bottom/>
        <vertical/>
        <horizontal/>
      </border>
    </dxf>
    <dxf>
      <font>
        <color theme="0" tint="-0.14996795556505021"/>
      </font>
      <fill>
        <patternFill>
          <bgColor theme="0" tint="-0.14996795556505021"/>
        </patternFill>
      </fill>
      <border>
        <left/>
        <vertical/>
        <horizontal/>
      </border>
    </dxf>
    <dxf>
      <font>
        <b/>
        <i val="0"/>
        <color rgb="FFFF0000"/>
      </font>
      <fill>
        <patternFill>
          <bgColor theme="0" tint="-0.14996795556505021"/>
        </patternFill>
      </fill>
    </dxf>
    <dxf>
      <fill>
        <patternFill>
          <bgColor theme="9" tint="0.59996337778862885"/>
        </patternFill>
      </fill>
    </dxf>
    <dxf>
      <font>
        <color theme="0"/>
      </font>
      <fill>
        <patternFill>
          <bgColor rgb="FFFF0000"/>
        </patternFill>
      </fill>
    </dxf>
    <dxf>
      <fill>
        <patternFill>
          <bgColor theme="9" tint="0.59996337778862885"/>
        </patternFill>
      </fill>
    </dxf>
    <dxf>
      <fill>
        <patternFill>
          <bgColor rgb="FFFFB9B9"/>
        </patternFill>
      </fill>
    </dxf>
    <dxf>
      <fill>
        <patternFill>
          <bgColor theme="9" tint="0.59996337778862885"/>
        </patternFill>
      </fill>
    </dxf>
    <dxf>
      <fill>
        <patternFill>
          <bgColor theme="9" tint="0.59996337778862885"/>
        </patternFill>
      </fill>
    </dxf>
    <dxf>
      <fill>
        <patternFill>
          <bgColor rgb="FFFFB9B9"/>
        </patternFill>
      </fill>
    </dxf>
    <dxf>
      <font>
        <b/>
        <i val="0"/>
      </font>
      <fill>
        <patternFill>
          <bgColor rgb="FFFFA3A3"/>
        </patternFill>
      </fill>
    </dxf>
    <dxf>
      <font>
        <color theme="1"/>
      </font>
    </dxf>
    <dxf>
      <font>
        <color theme="1"/>
      </font>
    </dxf>
    <dxf>
      <fill>
        <patternFill>
          <bgColor theme="0" tint="-0.14996795556505021"/>
        </patternFill>
      </fill>
    </dxf>
    <dxf>
      <font>
        <color rgb="FFFF0000"/>
      </font>
    </dxf>
    <dxf>
      <font>
        <b/>
        <i val="0"/>
        <color theme="0"/>
      </font>
      <fill>
        <patternFill>
          <bgColor rgb="FFFF0000"/>
        </patternFill>
      </fill>
    </dxf>
    <dxf>
      <fill>
        <patternFill>
          <bgColor rgb="FFE2A700"/>
        </patternFill>
      </fill>
    </dxf>
    <dxf>
      <fill>
        <patternFill>
          <bgColor rgb="FF6DC0FF"/>
        </patternFill>
      </fill>
    </dxf>
    <dxf>
      <fill>
        <patternFill>
          <bgColor rgb="FFF9B8AD"/>
        </patternFill>
      </fill>
    </dxf>
    <dxf>
      <fill>
        <patternFill>
          <bgColor theme="9" tint="0.59996337778862885"/>
        </patternFill>
      </fill>
    </dxf>
    <dxf>
      <fill>
        <patternFill>
          <bgColor rgb="FFFFE28F"/>
        </patternFill>
      </fill>
    </dxf>
    <dxf>
      <fill>
        <patternFill>
          <bgColor theme="4" tint="0.59996337778862885"/>
        </patternFill>
      </fill>
    </dxf>
    <dxf>
      <font>
        <b/>
        <i val="0"/>
        <color theme="0"/>
      </font>
      <fill>
        <patternFill>
          <bgColor rgb="FFFF0000"/>
        </patternFill>
      </fill>
    </dxf>
    <dxf>
      <font>
        <color theme="0"/>
      </font>
      <fill>
        <patternFill>
          <bgColor rgb="FFFF0000"/>
        </patternFill>
      </fill>
    </dxf>
    <dxf>
      <font>
        <b/>
        <i val="0"/>
        <color rgb="FFFF0000"/>
      </font>
      <fill>
        <patternFill>
          <bgColor theme="0" tint="-0.24994659260841701"/>
        </patternFill>
      </fill>
    </dxf>
    <dxf>
      <font>
        <color theme="0" tint="-0.14996795556505021"/>
      </font>
    </dxf>
    <dxf>
      <font>
        <color theme="0"/>
      </font>
      <fill>
        <patternFill>
          <bgColor rgb="FFFF0000"/>
        </patternFill>
      </fill>
    </dxf>
    <dxf>
      <font>
        <b/>
        <i val="0"/>
        <color theme="0"/>
      </font>
      <fill>
        <patternFill>
          <bgColor rgb="FFFF0000"/>
        </patternFill>
      </fill>
    </dxf>
    <dxf>
      <fill>
        <patternFill>
          <bgColor rgb="FFFFB9B9"/>
        </patternFill>
      </fill>
    </dxf>
    <dxf>
      <fill>
        <patternFill>
          <bgColor theme="9" tint="0.59996337778862885"/>
        </patternFill>
      </fill>
    </dxf>
    <dxf>
      <fill>
        <patternFill>
          <bgColor theme="9" tint="0.59996337778862885"/>
        </patternFill>
      </fill>
    </dxf>
    <dxf>
      <fill>
        <patternFill>
          <bgColor rgb="FFFFB9B9"/>
        </patternFill>
      </fill>
    </dxf>
    <dxf>
      <font>
        <color theme="0"/>
      </font>
      <fill>
        <patternFill>
          <bgColor rgb="FFFF0000"/>
        </patternFill>
      </fill>
    </dxf>
    <dxf>
      <font>
        <b/>
        <i val="0"/>
        <color theme="0"/>
      </font>
      <fill>
        <patternFill>
          <bgColor rgb="FFFF0000"/>
        </patternFill>
      </fill>
    </dxf>
    <dxf>
      <font>
        <b/>
        <i val="0"/>
        <color theme="0"/>
      </font>
      <fill>
        <patternFill>
          <bgColor rgb="FFFF0000"/>
        </patternFill>
      </fill>
    </dxf>
    <dxf>
      <fill>
        <patternFill>
          <bgColor theme="9" tint="0.59996337778862885"/>
        </patternFill>
      </fill>
    </dxf>
    <dxf>
      <font>
        <color rgb="FFFF0000"/>
      </font>
    </dxf>
    <dxf>
      <font>
        <color theme="0"/>
      </font>
      <fill>
        <patternFill>
          <bgColor rgb="FFFF0000"/>
        </patternFill>
      </fill>
    </dxf>
    <dxf>
      <font>
        <color theme="0"/>
      </font>
      <fill>
        <patternFill patternType="none">
          <bgColor auto="1"/>
        </patternFill>
      </fill>
    </dxf>
    <dxf>
      <fill>
        <patternFill>
          <bgColor theme="9" tint="0.59996337778862885"/>
        </patternFill>
      </fill>
    </dxf>
    <dxf>
      <fill>
        <patternFill>
          <bgColor rgb="FFFFB9B9"/>
        </patternFill>
      </fill>
    </dxf>
    <dxf>
      <fill>
        <patternFill>
          <bgColor theme="9" tint="0.59996337778862885"/>
        </patternFill>
      </fill>
    </dxf>
    <dxf>
      <fill>
        <patternFill>
          <bgColor rgb="FFFFB9B9"/>
        </patternFill>
      </fill>
    </dxf>
    <dxf>
      <fill>
        <patternFill>
          <bgColor theme="9" tint="0.59996337778862885"/>
        </patternFill>
      </fill>
    </dxf>
    <dxf>
      <font>
        <color theme="0"/>
      </font>
      <fill>
        <patternFill>
          <bgColor rgb="FFFF0000"/>
        </patternFill>
      </fill>
    </dxf>
    <dxf>
      <font>
        <color theme="0"/>
      </font>
      <fill>
        <patternFill>
          <bgColor rgb="FFFF0000"/>
        </patternFill>
      </fill>
    </dxf>
    <dxf>
      <fill>
        <patternFill>
          <bgColor theme="9" tint="0.59996337778862885"/>
        </patternFill>
      </fill>
    </dxf>
    <dxf>
      <fill>
        <patternFill>
          <bgColor rgb="FFFFB9B9"/>
        </patternFill>
      </fill>
    </dxf>
    <dxf>
      <fill>
        <patternFill>
          <bgColor theme="9" tint="0.59996337778862885"/>
        </patternFill>
      </fill>
    </dxf>
    <dxf>
      <fill>
        <patternFill>
          <bgColor rgb="FFFFB9B9"/>
        </patternFill>
      </fill>
    </dxf>
    <dxf>
      <border>
        <bottom style="thin">
          <color auto="1"/>
        </bottom>
        <vertical/>
        <horizontal/>
      </border>
    </dxf>
    <dxf>
      <font>
        <color theme="0"/>
      </font>
    </dxf>
    <dxf>
      <fill>
        <patternFill>
          <bgColor rgb="FFFFB9B9"/>
        </patternFill>
      </fill>
    </dxf>
    <dxf>
      <fill>
        <patternFill>
          <bgColor theme="9" tint="0.59996337778862885"/>
        </patternFill>
      </fill>
    </dxf>
    <dxf>
      <fill>
        <patternFill>
          <bgColor rgb="FFFFB9B9"/>
        </patternFill>
      </fill>
    </dxf>
    <dxf>
      <fill>
        <patternFill>
          <bgColor theme="9" tint="0.59996337778862885"/>
        </patternFill>
      </fill>
    </dxf>
    <dxf>
      <fill>
        <patternFill>
          <bgColor rgb="FFFF0000"/>
        </patternFill>
      </fill>
    </dxf>
    <dxf>
      <fill>
        <patternFill>
          <bgColor theme="9" tint="0.39994506668294322"/>
        </patternFill>
      </fill>
    </dxf>
    <dxf>
      <font>
        <color theme="0"/>
      </font>
      <fill>
        <patternFill>
          <bgColor rgb="FFFF0000"/>
        </patternFill>
      </fill>
    </dxf>
    <dxf>
      <font>
        <color theme="0"/>
      </font>
      <fill>
        <patternFill>
          <bgColor rgb="FF7030A0"/>
        </patternFill>
      </fill>
    </dxf>
    <dxf>
      <fill>
        <patternFill>
          <bgColor theme="8" tint="0.39994506668294322"/>
        </patternFill>
      </fill>
    </dxf>
    <dxf>
      <fill>
        <patternFill>
          <bgColor rgb="FFFFFF00"/>
        </patternFill>
      </fill>
    </dxf>
    <dxf>
      <fill>
        <patternFill>
          <bgColor theme="7" tint="0.59996337778862885"/>
        </patternFill>
      </fill>
    </dxf>
    <dxf>
      <fill>
        <patternFill>
          <bgColor theme="9" tint="0.39994506668294322"/>
        </patternFill>
      </fill>
    </dxf>
    <dxf>
      <fill>
        <patternFill>
          <bgColor rgb="FFFFA3A3"/>
        </patternFill>
      </fill>
    </dxf>
    <dxf>
      <fill>
        <patternFill>
          <bgColor theme="7" tint="0.59996337778862885"/>
        </patternFill>
      </fill>
    </dxf>
    <dxf>
      <font>
        <color theme="0"/>
      </font>
    </dxf>
    <dxf>
      <font>
        <color rgb="FFFF0000"/>
      </font>
    </dxf>
    <dxf>
      <font>
        <color rgb="FFFF0000"/>
      </font>
    </dxf>
    <dxf>
      <font>
        <color theme="0"/>
      </font>
    </dxf>
    <dxf>
      <font>
        <color rgb="FFFF0000"/>
      </font>
    </dxf>
    <dxf>
      <font>
        <color rgb="FFFF0000"/>
      </font>
    </dxf>
    <dxf>
      <fill>
        <patternFill>
          <bgColor rgb="FFFFA3A3"/>
        </patternFill>
      </fill>
    </dxf>
    <dxf>
      <font>
        <color theme="0"/>
      </font>
    </dxf>
    <dxf>
      <fill>
        <patternFill>
          <bgColor theme="7" tint="0.59996337778862885"/>
        </patternFill>
      </fill>
    </dxf>
    <dxf>
      <font>
        <color theme="0"/>
      </font>
    </dxf>
    <dxf>
      <font>
        <color rgb="FFFF0000"/>
      </font>
    </dxf>
    <dxf>
      <font>
        <color theme="0"/>
      </font>
      <fill>
        <patternFill>
          <bgColor rgb="FFFF0000"/>
        </patternFill>
      </fill>
    </dxf>
    <dxf>
      <fill>
        <patternFill>
          <bgColor rgb="FFFFA3A3"/>
        </patternFill>
      </fill>
    </dxf>
    <dxf>
      <font>
        <color auto="1"/>
      </font>
      <fill>
        <patternFill>
          <bgColor theme="9" tint="0.59996337778862885"/>
        </patternFill>
      </fill>
    </dxf>
    <dxf>
      <fill>
        <patternFill>
          <bgColor theme="7" tint="0.59996337778862885"/>
        </patternFill>
      </fill>
    </dxf>
    <dxf>
      <fill>
        <patternFill>
          <bgColor theme="7" tint="0.59996337778862885"/>
        </patternFill>
      </fill>
    </dxf>
    <dxf>
      <fill>
        <patternFill>
          <bgColor rgb="FFFF8383"/>
        </patternFill>
      </fill>
    </dxf>
    <dxf>
      <fill>
        <patternFill>
          <bgColor theme="8" tint="0.39994506668294322"/>
        </patternFill>
      </fill>
    </dxf>
    <dxf>
      <fill>
        <patternFill>
          <bgColor theme="0" tint="-4.9989318521683403E-2"/>
        </patternFill>
      </fill>
    </dxf>
    <dxf>
      <fill>
        <patternFill>
          <bgColor theme="9" tint="0.39994506668294322"/>
        </patternFill>
      </fill>
    </dxf>
    <dxf>
      <fill>
        <patternFill>
          <bgColor rgb="FFFFFF65"/>
        </patternFill>
      </fill>
    </dxf>
    <dxf>
      <fill>
        <patternFill>
          <bgColor theme="9" tint="0.39994506668294322"/>
        </patternFill>
      </fill>
    </dxf>
    <dxf>
      <fill>
        <patternFill>
          <bgColor theme="0" tint="-4.9989318521683403E-2"/>
        </patternFill>
      </fill>
    </dxf>
    <dxf>
      <fill>
        <patternFill>
          <bgColor rgb="FFFFFF65"/>
        </patternFill>
      </fill>
    </dxf>
    <dxf>
      <fill>
        <patternFill>
          <bgColor theme="8" tint="0.39994506668294322"/>
        </patternFill>
      </fill>
    </dxf>
    <dxf>
      <fill>
        <patternFill>
          <bgColor rgb="FFFF8383"/>
        </patternFill>
      </fill>
    </dxf>
    <dxf>
      <fill>
        <patternFill>
          <bgColor theme="0" tint="-0.14996795556505021"/>
        </patternFill>
      </fill>
    </dxf>
    <dxf>
      <fill>
        <patternFill>
          <bgColor theme="0" tint="-0.14996795556505021"/>
        </patternFill>
      </fill>
    </dxf>
    <dxf>
      <fill>
        <patternFill>
          <bgColor theme="0" tint="-0.14996795556505021"/>
        </patternFill>
      </fill>
    </dxf>
    <dxf>
      <font>
        <b/>
        <i val="0"/>
      </font>
      <fill>
        <patternFill>
          <bgColor theme="0" tint="-0.14996795556505021"/>
        </patternFill>
      </fill>
    </dxf>
    <dxf>
      <fill>
        <patternFill>
          <bgColor theme="0" tint="-0.14996795556505021"/>
        </patternFill>
      </fill>
    </dxf>
    <dxf>
      <font>
        <color theme="0"/>
      </font>
      <fill>
        <patternFill>
          <bgColor theme="1"/>
        </patternFill>
      </fill>
    </dxf>
    <dxf>
      <fill>
        <patternFill>
          <bgColor theme="0" tint="-0.14996795556505021"/>
        </patternFill>
      </fill>
    </dxf>
    <dxf>
      <font>
        <color theme="1"/>
      </font>
      <fill>
        <patternFill>
          <bgColor theme="0" tint="-0.14996795556505021"/>
        </patternFill>
      </fill>
    </dxf>
    <dxf>
      <fill>
        <patternFill>
          <bgColor theme="0" tint="-0.14996795556505021"/>
        </patternFill>
      </fill>
    </dxf>
  </dxfs>
  <tableStyles count="0" defaultTableStyle="TableStyleMedium2" defaultPivotStyle="PivotStyleLight16"/>
  <colors>
    <mruColors>
      <color rgb="FFFFA3A3"/>
      <color rgb="FFFF8989"/>
      <color rgb="FF6DC0FF"/>
      <color rgb="FFE2A700"/>
      <color rgb="FFFFB3B3"/>
      <color rgb="FFF9B8AD"/>
      <color rgb="FF81DEFF"/>
      <color rgb="FF2DA5FF"/>
      <color rgb="FFDEBDFF"/>
      <color rgb="FFF7AE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42</xdr:col>
      <xdr:colOff>282575</xdr:colOff>
      <xdr:row>0</xdr:row>
      <xdr:rowOff>139700</xdr:rowOff>
    </xdr:from>
    <xdr:to>
      <xdr:col>45</xdr:col>
      <xdr:colOff>406936</xdr:colOff>
      <xdr:row>3</xdr:row>
      <xdr:rowOff>153542</xdr:rowOff>
    </xdr:to>
    <xdr:pic>
      <xdr:nvPicPr>
        <xdr:cNvPr id="3" name="image1.png">
          <a:extLst>
            <a:ext uri="{FF2B5EF4-FFF2-40B4-BE49-F238E27FC236}">
              <a16:creationId xmlns:a16="http://schemas.microsoft.com/office/drawing/2014/main" id="{E98B096D-5D23-4309-9509-98F7285AC0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227925" y="139700"/>
          <a:ext cx="1896011" cy="499617"/>
        </a:xfrm>
        <a:prstGeom prst="rect">
          <a:avLst/>
        </a:prstGeom>
      </xdr:spPr>
    </xdr:pic>
    <xdr:clientData/>
  </xdr:twoCellAnchor>
  <xdr:twoCellAnchor editAs="oneCell">
    <xdr:from>
      <xdr:col>42</xdr:col>
      <xdr:colOff>285750</xdr:colOff>
      <xdr:row>4</xdr:row>
      <xdr:rowOff>142875</xdr:rowOff>
    </xdr:from>
    <xdr:to>
      <xdr:col>44</xdr:col>
      <xdr:colOff>46999</xdr:colOff>
      <xdr:row>8</xdr:row>
      <xdr:rowOff>123825</xdr:rowOff>
    </xdr:to>
    <xdr:pic>
      <xdr:nvPicPr>
        <xdr:cNvPr id="6" name="Bildobjekt 5">
          <a:extLst>
            <a:ext uri="{FF2B5EF4-FFF2-40B4-BE49-F238E27FC236}">
              <a16:creationId xmlns:a16="http://schemas.microsoft.com/office/drawing/2014/main" id="{AD618AF1-A077-71D7-6723-80B908BDFE8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231100" y="800100"/>
          <a:ext cx="942349"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120650</xdr:colOff>
      <xdr:row>0</xdr:row>
      <xdr:rowOff>76200</xdr:rowOff>
    </xdr:from>
    <xdr:to>
      <xdr:col>2</xdr:col>
      <xdr:colOff>324558</xdr:colOff>
      <xdr:row>3</xdr:row>
      <xdr:rowOff>95250</xdr:rowOff>
    </xdr:to>
    <xdr:pic>
      <xdr:nvPicPr>
        <xdr:cNvPr id="5" name="Bildobjekt 4">
          <a:extLst>
            <a:ext uri="{FF2B5EF4-FFF2-40B4-BE49-F238E27FC236}">
              <a16:creationId xmlns:a16="http://schemas.microsoft.com/office/drawing/2014/main" id="{E060F72E-74B4-4B0E-BD3D-AA836F382C0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0650" y="76200"/>
          <a:ext cx="1004008" cy="5048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23</xdr:col>
      <xdr:colOff>19050</xdr:colOff>
      <xdr:row>0</xdr:row>
      <xdr:rowOff>0</xdr:rowOff>
    </xdr:from>
    <xdr:to>
      <xdr:col>27</xdr:col>
      <xdr:colOff>39858</xdr:colOff>
      <xdr:row>1</xdr:row>
      <xdr:rowOff>357719</xdr:rowOff>
    </xdr:to>
    <xdr:pic>
      <xdr:nvPicPr>
        <xdr:cNvPr id="2" name="image1.png">
          <a:extLst>
            <a:ext uri="{FF2B5EF4-FFF2-40B4-BE49-F238E27FC236}">
              <a16:creationId xmlns:a16="http://schemas.microsoft.com/office/drawing/2014/main" id="{64BA0393-23CD-4860-B815-C01A55EA43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373350" y="0"/>
          <a:ext cx="1868658" cy="510119"/>
        </a:xfrm>
        <a:prstGeom prst="rect">
          <a:avLst/>
        </a:prstGeom>
      </xdr:spPr>
    </xdr:pic>
    <xdr:clientData/>
  </xdr:twoCellAnchor>
  <xdr:twoCellAnchor editAs="oneCell">
    <xdr:from>
      <xdr:col>23</xdr:col>
      <xdr:colOff>57150</xdr:colOff>
      <xdr:row>1</xdr:row>
      <xdr:rowOff>440348</xdr:rowOff>
    </xdr:from>
    <xdr:to>
      <xdr:col>25</xdr:col>
      <xdr:colOff>352269</xdr:colOff>
      <xdr:row>4</xdr:row>
      <xdr:rowOff>364148</xdr:rowOff>
    </xdr:to>
    <xdr:pic>
      <xdr:nvPicPr>
        <xdr:cNvPr id="5" name="Bildobjekt 4">
          <a:extLst>
            <a:ext uri="{FF2B5EF4-FFF2-40B4-BE49-F238E27FC236}">
              <a16:creationId xmlns:a16="http://schemas.microsoft.com/office/drawing/2014/main" id="{0850ECE3-7894-2404-0FE8-7C319BEE344D}"/>
            </a:ext>
          </a:extLst>
        </xdr:cNvPr>
        <xdr:cNvPicPr>
          <a:picLocks noChangeAspect="1"/>
        </xdr:cNvPicPr>
      </xdr:nvPicPr>
      <xdr:blipFill>
        <a:blip xmlns:r="http://schemas.openxmlformats.org/officeDocument/2006/relationships" r:embed="rId2"/>
        <a:stretch>
          <a:fillRect/>
        </a:stretch>
      </xdr:blipFill>
      <xdr:spPr>
        <a:xfrm>
          <a:off x="15411450" y="592748"/>
          <a:ext cx="961869" cy="733425"/>
        </a:xfrm>
        <a:prstGeom prst="rect">
          <a:avLst/>
        </a:prstGeom>
      </xdr:spPr>
    </xdr:pic>
    <xdr:clientData/>
  </xdr:twoCellAnchor>
  <xdr:twoCellAnchor>
    <xdr:from>
      <xdr:col>0</xdr:col>
      <xdr:colOff>133350</xdr:colOff>
      <xdr:row>0</xdr:row>
      <xdr:rowOff>114300</xdr:rowOff>
    </xdr:from>
    <xdr:to>
      <xdr:col>1</xdr:col>
      <xdr:colOff>514350</xdr:colOff>
      <xdr:row>2</xdr:row>
      <xdr:rowOff>99646</xdr:rowOff>
    </xdr:to>
    <xdr:pic>
      <xdr:nvPicPr>
        <xdr:cNvPr id="6" name="Bild 2" descr="http://sumsim.se/image.axd?picture=/logotyper/SvSimidrott.png">
          <a:extLst>
            <a:ext uri="{FF2B5EF4-FFF2-40B4-BE49-F238E27FC236}">
              <a16:creationId xmlns:a16="http://schemas.microsoft.com/office/drawing/2014/main" id="{D4753738-8EE6-49E2-8A2F-AC91493F764D}"/>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3350" y="114300"/>
          <a:ext cx="1289050" cy="6457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K46"/>
  <sheetViews>
    <sheetView workbookViewId="0"/>
  </sheetViews>
  <sheetFormatPr defaultRowHeight="15" x14ac:dyDescent="0.25"/>
  <cols>
    <col min="1" max="1" width="42" customWidth="1"/>
    <col min="6" max="6" width="2.7109375" customWidth="1"/>
    <col min="11" max="11" width="45.85546875" customWidth="1"/>
  </cols>
  <sheetData>
    <row r="1" spans="1:11" ht="21" x14ac:dyDescent="0.35">
      <c r="A1" s="118" t="s">
        <v>1276</v>
      </c>
      <c r="K1" s="342" t="s">
        <v>2022</v>
      </c>
    </row>
    <row r="2" spans="1:11" ht="21" x14ac:dyDescent="0.35">
      <c r="A2" s="118"/>
      <c r="K2" s="343"/>
    </row>
    <row r="3" spans="1:11" ht="15.75" x14ac:dyDescent="0.25">
      <c r="A3" s="149" t="s">
        <v>1381</v>
      </c>
      <c r="K3" s="256" t="s">
        <v>2339</v>
      </c>
    </row>
    <row r="4" spans="1:11" x14ac:dyDescent="0.25">
      <c r="A4" s="126" t="s">
        <v>1282</v>
      </c>
      <c r="K4" s="256" t="s">
        <v>2337</v>
      </c>
    </row>
    <row r="5" spans="1:11" x14ac:dyDescent="0.25">
      <c r="A5" t="s">
        <v>1273</v>
      </c>
      <c r="K5" s="256" t="s">
        <v>2340</v>
      </c>
    </row>
    <row r="6" spans="1:11" x14ac:dyDescent="0.25">
      <c r="A6" t="s">
        <v>1260</v>
      </c>
      <c r="K6" s="256" t="s">
        <v>2338</v>
      </c>
    </row>
    <row r="7" spans="1:11" x14ac:dyDescent="0.25">
      <c r="A7" t="s">
        <v>1467</v>
      </c>
      <c r="K7" s="256" t="s">
        <v>2334</v>
      </c>
    </row>
    <row r="8" spans="1:11" x14ac:dyDescent="0.25">
      <c r="A8" t="s">
        <v>2023</v>
      </c>
      <c r="K8" s="256" t="s">
        <v>2341</v>
      </c>
    </row>
    <row r="9" spans="1:11" x14ac:dyDescent="0.25">
      <c r="A9" t="s">
        <v>1470</v>
      </c>
      <c r="K9" s="256" t="s">
        <v>2342</v>
      </c>
    </row>
    <row r="10" spans="1:11" x14ac:dyDescent="0.25">
      <c r="A10" t="s">
        <v>1261</v>
      </c>
      <c r="K10" s="256" t="s">
        <v>2332</v>
      </c>
    </row>
    <row r="11" spans="1:11" x14ac:dyDescent="0.25">
      <c r="A11" t="s">
        <v>1946</v>
      </c>
      <c r="K11" s="256" t="s">
        <v>2335</v>
      </c>
    </row>
    <row r="12" spans="1:11" x14ac:dyDescent="0.25">
      <c r="A12" t="s">
        <v>1263</v>
      </c>
      <c r="K12" s="256" t="s">
        <v>2333</v>
      </c>
    </row>
    <row r="13" spans="1:11" x14ac:dyDescent="0.25">
      <c r="A13" t="s">
        <v>1262</v>
      </c>
      <c r="K13" s="256" t="s">
        <v>2336</v>
      </c>
    </row>
    <row r="14" spans="1:11" x14ac:dyDescent="0.25">
      <c r="A14" t="s">
        <v>1264</v>
      </c>
      <c r="K14" s="256"/>
    </row>
    <row r="15" spans="1:11" x14ac:dyDescent="0.25">
      <c r="K15" s="256"/>
    </row>
    <row r="16" spans="1:11" x14ac:dyDescent="0.25">
      <c r="A16" t="s">
        <v>1947</v>
      </c>
      <c r="K16" s="256"/>
    </row>
    <row r="17" spans="1:11" x14ac:dyDescent="0.25">
      <c r="A17" t="s">
        <v>1265</v>
      </c>
      <c r="K17" s="256"/>
    </row>
    <row r="18" spans="1:11" x14ac:dyDescent="0.25">
      <c r="A18" t="s">
        <v>1268</v>
      </c>
      <c r="K18" s="256"/>
    </row>
    <row r="19" spans="1:11" x14ac:dyDescent="0.25">
      <c r="A19" s="147" t="s">
        <v>1948</v>
      </c>
      <c r="K19" s="256"/>
    </row>
    <row r="20" spans="1:11" x14ac:dyDescent="0.25">
      <c r="A20" t="s">
        <v>1266</v>
      </c>
      <c r="K20" s="256"/>
    </row>
    <row r="21" spans="1:11" x14ac:dyDescent="0.25">
      <c r="A21" s="147" t="s">
        <v>1949</v>
      </c>
      <c r="K21" s="256"/>
    </row>
    <row r="22" spans="1:11" x14ac:dyDescent="0.25">
      <c r="A22" t="s">
        <v>1950</v>
      </c>
      <c r="K22" s="256"/>
    </row>
    <row r="23" spans="1:11" x14ac:dyDescent="0.25">
      <c r="A23" s="147" t="s">
        <v>1949</v>
      </c>
      <c r="K23" s="256"/>
    </row>
    <row r="24" spans="1:11" x14ac:dyDescent="0.25">
      <c r="K24" s="256"/>
    </row>
    <row r="25" spans="1:11" x14ac:dyDescent="0.25">
      <c r="A25" t="s">
        <v>1951</v>
      </c>
      <c r="K25" s="256"/>
    </row>
    <row r="26" spans="1:11" x14ac:dyDescent="0.25">
      <c r="A26" s="226" t="s">
        <v>1954</v>
      </c>
      <c r="B26" s="226"/>
      <c r="C26" s="226"/>
      <c r="D26" s="226"/>
      <c r="E26" s="226"/>
      <c r="F26" s="226"/>
      <c r="G26" s="226"/>
      <c r="H26" s="226"/>
      <c r="I26" s="226"/>
      <c r="J26" s="226"/>
      <c r="K26" s="256"/>
    </row>
    <row r="27" spans="1:11" x14ac:dyDescent="0.25">
      <c r="A27" s="227" t="s">
        <v>1955</v>
      </c>
      <c r="B27" s="227"/>
      <c r="C27" s="227"/>
      <c r="D27" s="227"/>
      <c r="E27" s="227"/>
      <c r="F27" s="227"/>
      <c r="G27" s="227"/>
      <c r="H27" s="227"/>
      <c r="I27" s="227"/>
      <c r="J27" s="227"/>
      <c r="K27" s="256"/>
    </row>
    <row r="28" spans="1:11" x14ac:dyDescent="0.25">
      <c r="A28" t="s">
        <v>1956</v>
      </c>
    </row>
    <row r="29" spans="1:11" x14ac:dyDescent="0.25">
      <c r="A29" s="223" t="s">
        <v>1952</v>
      </c>
      <c r="B29" s="223"/>
      <c r="C29" s="223"/>
      <c r="D29" s="223"/>
      <c r="E29" s="223"/>
      <c r="F29" s="223"/>
      <c r="G29" s="223"/>
      <c r="H29" s="223"/>
      <c r="I29" s="223"/>
      <c r="J29" s="223"/>
    </row>
    <row r="30" spans="1:11" x14ac:dyDescent="0.25">
      <c r="A30" t="s">
        <v>2320</v>
      </c>
    </row>
    <row r="31" spans="1:11" x14ac:dyDescent="0.25">
      <c r="A31" t="s">
        <v>1267</v>
      </c>
    </row>
    <row r="32" spans="1:11" x14ac:dyDescent="0.25">
      <c r="A32" t="s">
        <v>1953</v>
      </c>
    </row>
    <row r="33" spans="1:1" x14ac:dyDescent="0.25">
      <c r="A33" t="s">
        <v>1957</v>
      </c>
    </row>
    <row r="34" spans="1:1" x14ac:dyDescent="0.25">
      <c r="A34" t="s">
        <v>1269</v>
      </c>
    </row>
    <row r="35" spans="1:1" x14ac:dyDescent="0.25">
      <c r="A35" t="s">
        <v>1270</v>
      </c>
    </row>
    <row r="36" spans="1:1" x14ac:dyDescent="0.25">
      <c r="A36" t="s">
        <v>1271</v>
      </c>
    </row>
    <row r="37" spans="1:1" x14ac:dyDescent="0.25">
      <c r="A37" t="s">
        <v>1272</v>
      </c>
    </row>
    <row r="38" spans="1:1" x14ac:dyDescent="0.25">
      <c r="A38" t="s">
        <v>1274</v>
      </c>
    </row>
    <row r="39" spans="1:1" x14ac:dyDescent="0.25">
      <c r="A39" t="s">
        <v>2328</v>
      </c>
    </row>
    <row r="40" spans="1:1" x14ac:dyDescent="0.25">
      <c r="A40" t="s">
        <v>2451</v>
      </c>
    </row>
    <row r="42" spans="1:1" ht="15.75" x14ac:dyDescent="0.25">
      <c r="A42" s="149" t="s">
        <v>1960</v>
      </c>
    </row>
    <row r="43" spans="1:1" x14ac:dyDescent="0.25">
      <c r="A43" t="s">
        <v>1471</v>
      </c>
    </row>
    <row r="44" spans="1:1" x14ac:dyDescent="0.25">
      <c r="A44" t="s">
        <v>1275</v>
      </c>
    </row>
    <row r="45" spans="1:1" x14ac:dyDescent="0.25">
      <c r="A45" t="s">
        <v>1958</v>
      </c>
    </row>
    <row r="46" spans="1:1" x14ac:dyDescent="0.25">
      <c r="A46" t="s">
        <v>1959</v>
      </c>
    </row>
  </sheetData>
  <sheetProtection algorithmName="SHA-512" hashValue="Z16c2En161lIylvFvoXnPSP1FTPDMS4JyQXlqO+rt0FxOpvT8jScW/N24BjFeymVv0gFJmTs3jSN+Eb5N2OSnQ==" saltValue="nOj/cuQT0wedvBT01iOINg==" spinCount="100000" sheet="1" objects="1" scenarios="1"/>
  <sortState xmlns:xlrd2="http://schemas.microsoft.com/office/spreadsheetml/2017/richdata2" ref="K3:K13">
    <sortCondition ref="K3:K13"/>
  </sortState>
  <mergeCells count="1">
    <mergeCell ref="K1:K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HW172"/>
  <sheetViews>
    <sheetView tabSelected="1" zoomScale="85" zoomScaleNormal="85" workbookViewId="0">
      <selection activeCell="F5" sqref="F5:I5"/>
    </sheetView>
  </sheetViews>
  <sheetFormatPr defaultColWidth="8.85546875" defaultRowHeight="12.75" x14ac:dyDescent="0.25"/>
  <cols>
    <col min="1" max="4" width="5.7109375" style="16" customWidth="1"/>
    <col min="5" max="5" width="4.7109375" style="16" customWidth="1"/>
    <col min="6" max="6" width="29" style="12" customWidth="1"/>
    <col min="7" max="8" width="7.7109375" style="16" customWidth="1"/>
    <col min="9" max="9" width="7.7109375" style="12" customWidth="1"/>
    <col min="10" max="37" width="6.85546875" style="12" customWidth="1"/>
    <col min="38" max="39" width="6.85546875" style="105" customWidth="1"/>
    <col min="40" max="48" width="8.85546875" style="105" customWidth="1"/>
    <col min="49" max="52" width="8.85546875" style="105" hidden="1" customWidth="1"/>
    <col min="53" max="53" width="10.7109375" style="105" hidden="1" customWidth="1"/>
    <col min="54" max="54" width="8.85546875" style="105" hidden="1" customWidth="1"/>
    <col min="55" max="55" width="19.85546875" style="105" hidden="1" customWidth="1"/>
    <col min="56" max="60" width="8.85546875" style="105" hidden="1" customWidth="1"/>
    <col min="61" max="61" width="20.42578125" style="105" hidden="1" customWidth="1"/>
    <col min="62" max="62" width="21.140625" style="105" hidden="1" customWidth="1"/>
    <col min="63" max="66" width="8.85546875" style="105" hidden="1" customWidth="1"/>
    <col min="67" max="67" width="15.42578125" style="105" hidden="1" customWidth="1"/>
    <col min="68" max="69" width="8.85546875" style="105" hidden="1" customWidth="1"/>
    <col min="70" max="70" width="9.42578125" style="105" hidden="1" customWidth="1"/>
    <col min="71" max="71" width="10.140625" style="105" hidden="1" customWidth="1"/>
    <col min="72" max="72" width="8.85546875" style="105" hidden="1" customWidth="1"/>
    <col min="73" max="74" width="12.28515625" style="105" hidden="1" customWidth="1"/>
    <col min="75" max="75" width="11.85546875" style="105" hidden="1" customWidth="1"/>
    <col min="76" max="91" width="8.85546875" style="105" hidden="1" customWidth="1"/>
    <col min="92" max="144" width="8.85546875" style="102" hidden="1" customWidth="1"/>
    <col min="145" max="191" width="8.85546875" style="105" hidden="1" customWidth="1"/>
    <col min="192" max="192" width="13.85546875" style="105" hidden="1" customWidth="1"/>
    <col min="193" max="206" width="8.85546875" style="105" hidden="1" customWidth="1"/>
    <col min="207" max="207" width="10.140625" style="12" hidden="1" customWidth="1"/>
    <col min="208" max="217" width="8.85546875" style="12" hidden="1" customWidth="1"/>
    <col min="218" max="221" width="8.85546875" style="105" hidden="1" customWidth="1"/>
    <col min="222" max="222" width="10.140625" style="105" hidden="1" customWidth="1"/>
    <col min="223" max="231" width="8.85546875" style="105" hidden="1" customWidth="1"/>
    <col min="232" max="16384" width="8.85546875" style="12"/>
  </cols>
  <sheetData>
    <row r="1" spans="1:231" ht="12.75" customHeight="1" x14ac:dyDescent="0.25">
      <c r="A1" s="10"/>
      <c r="B1" s="10"/>
      <c r="C1" s="10"/>
      <c r="D1" s="10"/>
      <c r="E1" s="10"/>
      <c r="F1" s="11"/>
      <c r="G1" s="316" t="s">
        <v>0</v>
      </c>
      <c r="H1" s="316"/>
      <c r="I1" s="316"/>
      <c r="J1" s="316"/>
      <c r="K1" s="316"/>
      <c r="L1" s="316"/>
      <c r="M1" s="316"/>
      <c r="N1" s="316"/>
      <c r="O1" s="316"/>
      <c r="P1" s="316"/>
      <c r="Q1" s="316"/>
      <c r="R1" s="316"/>
      <c r="S1" s="316"/>
      <c r="T1" s="316"/>
      <c r="U1" s="316"/>
      <c r="V1" s="316"/>
      <c r="W1" s="316"/>
      <c r="X1" s="316"/>
      <c r="Y1" s="316"/>
      <c r="Z1" s="316"/>
      <c r="AA1" s="316"/>
      <c r="AB1" s="316"/>
      <c r="AC1" s="316"/>
      <c r="AD1" s="316"/>
      <c r="AE1" s="316"/>
      <c r="AF1" s="316"/>
      <c r="AG1" s="316"/>
      <c r="AH1" s="316"/>
      <c r="AI1" s="316"/>
      <c r="AJ1" s="316"/>
      <c r="AK1" s="316"/>
      <c r="AL1" s="316"/>
      <c r="AM1" s="316"/>
      <c r="AN1" s="177"/>
      <c r="AO1" s="11"/>
      <c r="AQ1" s="131"/>
      <c r="AR1" s="131"/>
      <c r="AS1" s="131"/>
      <c r="AT1" s="131"/>
      <c r="AU1" s="131"/>
      <c r="AW1" s="136"/>
      <c r="AX1" s="136"/>
      <c r="AY1" s="136"/>
      <c r="AZ1" s="136"/>
      <c r="BA1" s="136"/>
      <c r="BB1" s="136"/>
      <c r="BC1" s="136"/>
      <c r="BD1" s="136"/>
      <c r="BE1" s="136"/>
      <c r="BF1" s="136"/>
      <c r="BG1" s="136"/>
      <c r="BH1" s="136"/>
      <c r="BI1" s="136"/>
      <c r="BJ1" s="136"/>
      <c r="BK1" s="136"/>
      <c r="BL1" s="136"/>
      <c r="BM1" s="136"/>
      <c r="BN1" s="136"/>
      <c r="BO1" s="136"/>
      <c r="BP1" s="136"/>
      <c r="BQ1" s="136"/>
      <c r="BR1" s="136"/>
      <c r="BS1" s="136"/>
      <c r="BT1" s="137"/>
      <c r="BU1" s="138"/>
      <c r="BV1" s="138"/>
      <c r="BW1" s="138"/>
      <c r="BX1" s="138"/>
      <c r="BY1" s="138"/>
      <c r="BZ1" s="138"/>
      <c r="CA1" s="138"/>
      <c r="CB1" s="138"/>
      <c r="CC1" s="138"/>
      <c r="CD1" s="138"/>
      <c r="CE1" s="138"/>
      <c r="CF1" s="138"/>
      <c r="CG1" s="138"/>
      <c r="CH1" s="138"/>
      <c r="CI1" s="138"/>
      <c r="CJ1" s="138"/>
      <c r="CK1" s="138"/>
      <c r="CL1" s="138"/>
      <c r="CM1" s="138"/>
      <c r="CN1" s="138"/>
      <c r="CO1" s="138"/>
      <c r="CP1" s="138"/>
      <c r="CQ1" s="139"/>
      <c r="CR1" s="139"/>
      <c r="CS1" s="139"/>
      <c r="CT1" s="139"/>
      <c r="CU1" s="139"/>
      <c r="CV1" s="139"/>
      <c r="CW1" s="139"/>
      <c r="CX1" s="139"/>
      <c r="CY1" s="139"/>
      <c r="CZ1" s="139"/>
      <c r="DA1" s="139"/>
      <c r="DB1" s="139"/>
      <c r="DC1" s="139"/>
      <c r="DD1" s="139"/>
      <c r="DE1" s="139"/>
      <c r="DF1" s="139"/>
      <c r="DG1" s="139"/>
      <c r="DH1" s="139"/>
      <c r="DI1" s="139"/>
      <c r="DJ1" s="139"/>
      <c r="DK1" s="139"/>
      <c r="DL1" s="139"/>
      <c r="DM1" s="139"/>
      <c r="DN1" s="139"/>
      <c r="DO1" s="139"/>
      <c r="DP1" s="139"/>
      <c r="DQ1" s="139"/>
      <c r="DR1" s="139"/>
      <c r="DS1" s="139"/>
      <c r="DT1" s="139"/>
      <c r="DU1" s="139"/>
      <c r="DV1" s="139"/>
      <c r="DW1" s="139"/>
      <c r="DX1" s="139"/>
      <c r="DY1" s="139"/>
      <c r="DZ1" s="139"/>
      <c r="EA1" s="139"/>
      <c r="EB1" s="139"/>
      <c r="EC1" s="139"/>
      <c r="ED1" s="139"/>
      <c r="EE1" s="139"/>
      <c r="EF1" s="139"/>
      <c r="EG1" s="139"/>
      <c r="EH1" s="139"/>
      <c r="EI1" s="139"/>
      <c r="EJ1" s="139"/>
      <c r="EK1" s="139"/>
      <c r="EL1" s="139"/>
      <c r="EM1" s="139"/>
      <c r="EN1" s="139"/>
      <c r="EO1" s="139"/>
      <c r="EP1" s="139"/>
      <c r="EQ1" s="139"/>
      <c r="ER1" s="139"/>
      <c r="ES1" s="139"/>
      <c r="ET1" s="139"/>
      <c r="EU1" s="139"/>
      <c r="EV1" s="139"/>
      <c r="EW1" s="139"/>
      <c r="EX1" s="139"/>
      <c r="EY1" s="139"/>
      <c r="EZ1" s="139"/>
      <c r="FA1" s="139"/>
      <c r="FB1" s="139"/>
      <c r="FC1" s="139"/>
      <c r="FD1" s="139"/>
      <c r="FE1" s="139"/>
      <c r="FF1" s="139"/>
      <c r="FG1" s="139"/>
      <c r="FH1" s="139"/>
      <c r="FI1" s="139"/>
      <c r="FJ1" s="139"/>
      <c r="FK1" s="139"/>
      <c r="FL1" s="139"/>
      <c r="FM1" s="139"/>
      <c r="FN1" s="139"/>
      <c r="FO1" s="139"/>
      <c r="FP1" s="139"/>
      <c r="FQ1" s="139"/>
      <c r="FR1" s="139"/>
      <c r="FS1" s="139"/>
      <c r="FT1" s="139"/>
      <c r="FU1" s="139"/>
      <c r="FV1" s="139"/>
      <c r="FW1" s="139"/>
      <c r="FX1" s="139"/>
      <c r="FY1" s="139"/>
      <c r="FZ1" s="139"/>
      <c r="GA1" s="139"/>
      <c r="GB1" s="139"/>
      <c r="GC1" s="139"/>
      <c r="GD1" s="139"/>
      <c r="GE1" s="139"/>
      <c r="GF1" s="139"/>
      <c r="GG1" s="139"/>
      <c r="GH1" s="139"/>
      <c r="GI1" s="139"/>
      <c r="GJ1" s="139"/>
      <c r="GK1" s="139"/>
      <c r="GL1" s="139"/>
      <c r="GM1" s="139"/>
      <c r="GN1" s="139"/>
      <c r="GO1" s="139"/>
      <c r="GP1" s="139"/>
      <c r="GQ1" s="139"/>
      <c r="GR1" s="139"/>
      <c r="GS1" s="139"/>
      <c r="GT1" s="139"/>
      <c r="GU1" s="139"/>
      <c r="GV1" s="138"/>
      <c r="GW1" s="138"/>
      <c r="GX1" s="138"/>
      <c r="GY1" s="138"/>
      <c r="GZ1" s="140"/>
      <c r="HA1" s="140"/>
      <c r="HB1" s="140"/>
      <c r="HC1" s="140"/>
      <c r="HD1" s="140"/>
      <c r="HE1" s="140"/>
      <c r="HF1" s="140"/>
      <c r="HG1" s="140"/>
      <c r="HH1" s="140"/>
      <c r="HI1" s="140"/>
      <c r="HJ1" s="138"/>
      <c r="HK1" s="138"/>
      <c r="HL1" s="138"/>
      <c r="HM1" s="138"/>
      <c r="HN1" s="138"/>
      <c r="HO1" s="138"/>
      <c r="HP1" s="138"/>
      <c r="HQ1" s="138"/>
      <c r="HR1" s="138"/>
      <c r="HS1" s="138"/>
      <c r="HT1" s="138"/>
      <c r="HU1" s="138"/>
      <c r="HV1" s="138"/>
      <c r="HW1" s="138"/>
    </row>
    <row r="2" spans="1:231" ht="12.75" customHeight="1" x14ac:dyDescent="0.25">
      <c r="A2" s="10"/>
      <c r="B2" s="10"/>
      <c r="C2" s="10"/>
      <c r="D2" s="10"/>
      <c r="E2" s="10"/>
      <c r="F2" s="11"/>
      <c r="G2" s="316"/>
      <c r="H2" s="316"/>
      <c r="I2" s="316"/>
      <c r="J2" s="316"/>
      <c r="K2" s="316"/>
      <c r="L2" s="316"/>
      <c r="M2" s="316"/>
      <c r="N2" s="316"/>
      <c r="O2" s="316"/>
      <c r="P2" s="316"/>
      <c r="Q2" s="316"/>
      <c r="R2" s="316"/>
      <c r="S2" s="316"/>
      <c r="T2" s="316"/>
      <c r="U2" s="316"/>
      <c r="V2" s="316"/>
      <c r="W2" s="316"/>
      <c r="X2" s="316"/>
      <c r="Y2" s="316"/>
      <c r="Z2" s="316"/>
      <c r="AA2" s="316"/>
      <c r="AB2" s="316"/>
      <c r="AC2" s="316"/>
      <c r="AD2" s="316"/>
      <c r="AE2" s="316"/>
      <c r="AF2" s="316"/>
      <c r="AG2" s="316"/>
      <c r="AH2" s="316"/>
      <c r="AI2" s="316"/>
      <c r="AJ2" s="316"/>
      <c r="AK2" s="316"/>
      <c r="AL2" s="316"/>
      <c r="AM2" s="316"/>
      <c r="AN2" s="177"/>
      <c r="AO2" s="11"/>
      <c r="AQ2" s="131"/>
      <c r="AR2" s="131"/>
      <c r="AS2" s="131"/>
      <c r="AT2" s="131"/>
      <c r="AU2" s="131"/>
      <c r="AW2" s="104"/>
      <c r="AX2" s="104"/>
      <c r="AY2" s="104"/>
      <c r="AZ2" s="104"/>
      <c r="BA2" s="104"/>
      <c r="BB2" s="104"/>
      <c r="BC2" s="104"/>
      <c r="BD2" s="104"/>
      <c r="BE2" s="104"/>
      <c r="BF2" s="104"/>
      <c r="BG2" s="104"/>
      <c r="BH2" s="104"/>
      <c r="BI2" s="104"/>
      <c r="BJ2" s="104"/>
      <c r="BK2" s="104"/>
      <c r="BL2" s="104"/>
      <c r="BM2" s="104"/>
      <c r="BN2" s="104"/>
      <c r="BO2" s="104"/>
      <c r="BP2" s="104"/>
      <c r="BQ2" s="104"/>
      <c r="BR2" s="104"/>
      <c r="BS2" s="104"/>
      <c r="BT2" s="130"/>
      <c r="BX2" s="283" t="s">
        <v>1634</v>
      </c>
      <c r="BY2" s="283"/>
      <c r="CA2" s="283" t="s">
        <v>1945</v>
      </c>
      <c r="CB2" s="283"/>
      <c r="CC2" s="283"/>
      <c r="CD2" s="283"/>
      <c r="CE2" s="283"/>
      <c r="CF2" s="283"/>
      <c r="CG2" s="283"/>
      <c r="CH2" s="283"/>
      <c r="CI2" s="283"/>
      <c r="CJ2" s="283"/>
      <c r="CK2" s="283"/>
      <c r="CL2" s="283"/>
      <c r="CM2" s="283"/>
      <c r="CN2" s="283"/>
      <c r="CO2" s="105"/>
      <c r="CP2" s="105"/>
      <c r="EO2" s="102"/>
      <c r="EP2" s="102"/>
      <c r="EQ2" s="102"/>
      <c r="ER2" s="102"/>
      <c r="ES2" s="102"/>
      <c r="ET2" s="102"/>
      <c r="EU2" s="102"/>
      <c r="EV2" s="102"/>
      <c r="EW2" s="102"/>
      <c r="EX2" s="102"/>
      <c r="EY2" s="102"/>
      <c r="EZ2" s="102"/>
      <c r="FA2" s="102"/>
      <c r="FB2" s="102"/>
      <c r="FC2" s="102"/>
      <c r="FD2" s="102"/>
      <c r="FE2" s="102"/>
      <c r="FF2" s="102"/>
      <c r="FG2" s="102"/>
      <c r="FH2" s="102"/>
      <c r="FI2" s="102"/>
      <c r="FJ2" s="102"/>
      <c r="FK2" s="102"/>
      <c r="FL2" s="102"/>
      <c r="FM2" s="102"/>
      <c r="FN2" s="102"/>
      <c r="FO2" s="102"/>
      <c r="FP2" s="102"/>
      <c r="FQ2" s="102"/>
      <c r="FR2" s="102"/>
      <c r="FS2" s="102"/>
      <c r="FT2" s="102"/>
      <c r="FU2" s="102"/>
      <c r="FV2" s="102"/>
      <c r="FW2" s="102"/>
      <c r="FX2" s="102"/>
      <c r="FY2" s="102"/>
      <c r="FZ2" s="102"/>
      <c r="GA2" s="102"/>
      <c r="GB2" s="102"/>
      <c r="GC2" s="102"/>
      <c r="GD2" s="102"/>
      <c r="GE2" s="102"/>
      <c r="GF2" s="102"/>
      <c r="GG2" s="102"/>
      <c r="GH2" s="102"/>
      <c r="GI2" s="102"/>
      <c r="GJ2" s="102"/>
      <c r="GK2" s="102"/>
      <c r="GL2" s="102"/>
      <c r="GM2" s="102"/>
      <c r="GN2" s="102"/>
      <c r="GO2" s="102"/>
      <c r="GP2" s="102"/>
      <c r="GQ2" s="102"/>
      <c r="GR2" s="102"/>
      <c r="GS2" s="102"/>
      <c r="GT2" s="102"/>
      <c r="GU2" s="102"/>
      <c r="GY2" s="105"/>
    </row>
    <row r="3" spans="1:231" ht="12.75" customHeight="1" x14ac:dyDescent="0.25">
      <c r="A3" s="10"/>
      <c r="B3" s="10"/>
      <c r="C3" s="10"/>
      <c r="D3" s="10"/>
      <c r="E3" s="10"/>
      <c r="F3" s="11"/>
      <c r="G3" s="316"/>
      <c r="H3" s="316"/>
      <c r="I3" s="316"/>
      <c r="J3" s="316"/>
      <c r="K3" s="316"/>
      <c r="L3" s="316"/>
      <c r="M3" s="316"/>
      <c r="N3" s="316"/>
      <c r="O3" s="316"/>
      <c r="P3" s="316"/>
      <c r="Q3" s="316"/>
      <c r="R3" s="316"/>
      <c r="S3" s="316"/>
      <c r="T3" s="316"/>
      <c r="U3" s="316"/>
      <c r="V3" s="316"/>
      <c r="W3" s="316"/>
      <c r="X3" s="316"/>
      <c r="Y3" s="316"/>
      <c r="Z3" s="316"/>
      <c r="AA3" s="316"/>
      <c r="AB3" s="316"/>
      <c r="AC3" s="316"/>
      <c r="AD3" s="316"/>
      <c r="AE3" s="316"/>
      <c r="AF3" s="316"/>
      <c r="AG3" s="316"/>
      <c r="AH3" s="316"/>
      <c r="AI3" s="316"/>
      <c r="AJ3" s="316"/>
      <c r="AK3" s="316"/>
      <c r="AL3" s="316"/>
      <c r="AM3" s="316"/>
      <c r="AN3" s="177"/>
      <c r="AO3" s="11"/>
      <c r="AQ3" s="131"/>
      <c r="AR3" s="131"/>
      <c r="AS3" s="131"/>
      <c r="AT3" s="131"/>
      <c r="AU3" s="131"/>
      <c r="AW3" s="104"/>
      <c r="AX3" s="104"/>
      <c r="AY3" s="104"/>
      <c r="AZ3" s="104"/>
      <c r="BA3" s="104"/>
      <c r="BB3" s="104"/>
      <c r="BC3" s="104"/>
      <c r="BD3" s="104"/>
      <c r="BE3" s="104"/>
      <c r="BF3" s="104"/>
      <c r="BG3" s="104"/>
      <c r="BH3" s="104"/>
      <c r="BI3" s="104"/>
      <c r="BJ3" s="104"/>
      <c r="BK3" s="104"/>
      <c r="BL3" s="104"/>
      <c r="BM3" s="104"/>
      <c r="BN3" s="104"/>
      <c r="BO3" s="104"/>
      <c r="BP3" s="104"/>
      <c r="BQ3" s="104"/>
      <c r="BR3" s="104"/>
      <c r="BS3" s="104"/>
      <c r="BT3" s="130"/>
      <c r="BU3" s="105" t="s">
        <v>1858</v>
      </c>
      <c r="BV3" s="105" t="str">
        <f>IF(COUNTIF(F8,"*Acro*"),"Yes","No")</f>
        <v>No</v>
      </c>
      <c r="BX3" s="170">
        <v>3</v>
      </c>
      <c r="BY3" s="170">
        <v>0</v>
      </c>
      <c r="CA3" s="170"/>
      <c r="CB3" s="170" t="s">
        <v>1782</v>
      </c>
      <c r="CC3" s="170"/>
      <c r="CD3" s="170"/>
      <c r="CE3" s="170"/>
      <c r="CF3" s="170"/>
      <c r="CG3" s="170"/>
      <c r="CH3" s="170"/>
      <c r="CI3" s="170"/>
      <c r="CJ3" s="170"/>
      <c r="CK3" s="170"/>
      <c r="CL3" s="170"/>
      <c r="CM3" s="170">
        <v>12</v>
      </c>
      <c r="CN3" s="170" t="s">
        <v>1783</v>
      </c>
      <c r="CO3" s="105"/>
      <c r="CP3" s="105"/>
      <c r="EO3" s="102"/>
      <c r="EP3" s="102"/>
      <c r="EQ3" s="102"/>
      <c r="ER3" s="102"/>
      <c r="ES3" s="102"/>
      <c r="ET3" s="102"/>
      <c r="EU3" s="102"/>
      <c r="EV3" s="102"/>
      <c r="EW3" s="102"/>
      <c r="EX3" s="102"/>
      <c r="EY3" s="102"/>
      <c r="EZ3" s="102"/>
      <c r="FA3" s="102"/>
      <c r="FB3" s="102"/>
      <c r="FC3" s="102"/>
      <c r="FD3" s="102"/>
      <c r="FE3" s="102"/>
      <c r="FF3" s="102"/>
      <c r="FG3" s="102"/>
      <c r="FH3" s="102"/>
      <c r="FI3" s="102"/>
      <c r="FJ3" s="102"/>
      <c r="FK3" s="102"/>
      <c r="FL3" s="102"/>
      <c r="FM3" s="102"/>
      <c r="FN3" s="102"/>
      <c r="FO3" s="102"/>
      <c r="FP3" s="102"/>
      <c r="FQ3" s="102"/>
      <c r="FR3" s="102"/>
      <c r="FS3" s="102"/>
      <c r="FT3" s="102"/>
      <c r="FU3" s="102"/>
      <c r="FV3" s="102"/>
      <c r="FW3" s="102"/>
      <c r="FX3" s="102"/>
      <c r="FY3" s="102"/>
      <c r="FZ3" s="102"/>
      <c r="GA3" s="102"/>
      <c r="GB3" s="102"/>
      <c r="GC3" s="102"/>
      <c r="GD3" s="102"/>
      <c r="GE3" s="102"/>
      <c r="GF3" s="102"/>
      <c r="GG3" s="102"/>
      <c r="GH3" s="102"/>
      <c r="GI3" s="102"/>
      <c r="GJ3" s="102"/>
      <c r="GK3" s="102"/>
      <c r="GL3" s="102"/>
      <c r="GM3" s="102"/>
      <c r="GN3" s="102"/>
      <c r="GO3" s="102"/>
      <c r="GP3" s="102"/>
      <c r="GQ3" s="102"/>
      <c r="GR3" s="102"/>
      <c r="GS3" s="102"/>
      <c r="GT3" s="102"/>
      <c r="GU3" s="102"/>
      <c r="GY3" s="105"/>
    </row>
    <row r="4" spans="1:231" ht="13.5" customHeight="1" thickBot="1" x14ac:dyDescent="0.3">
      <c r="A4" s="10"/>
      <c r="B4" s="10"/>
      <c r="C4" s="10"/>
      <c r="D4" s="10"/>
      <c r="E4" s="10"/>
      <c r="F4" s="11"/>
      <c r="G4" s="316"/>
      <c r="H4" s="316"/>
      <c r="I4" s="316"/>
      <c r="J4" s="316"/>
      <c r="K4" s="316"/>
      <c r="L4" s="316"/>
      <c r="M4" s="316"/>
      <c r="N4" s="316"/>
      <c r="O4" s="316"/>
      <c r="P4" s="316"/>
      <c r="Q4" s="316"/>
      <c r="R4" s="316"/>
      <c r="S4" s="316"/>
      <c r="T4" s="316"/>
      <c r="U4" s="316"/>
      <c r="V4" s="316"/>
      <c r="W4" s="316"/>
      <c r="X4" s="316"/>
      <c r="Y4" s="316"/>
      <c r="Z4" s="316"/>
      <c r="AA4" s="316"/>
      <c r="AB4" s="316"/>
      <c r="AC4" s="316"/>
      <c r="AD4" s="316"/>
      <c r="AE4" s="316"/>
      <c r="AF4" s="316"/>
      <c r="AG4" s="316"/>
      <c r="AH4" s="316"/>
      <c r="AI4" s="316"/>
      <c r="AJ4" s="316"/>
      <c r="AK4" s="316"/>
      <c r="AL4" s="316"/>
      <c r="AM4" s="316"/>
      <c r="AN4" s="177"/>
      <c r="AO4" s="134" t="s">
        <v>2439</v>
      </c>
      <c r="AQ4" s="131"/>
      <c r="AR4" s="131"/>
      <c r="AS4" s="131"/>
      <c r="AT4" s="131"/>
      <c r="AU4" s="131"/>
      <c r="AW4" s="104"/>
      <c r="AX4" s="104"/>
      <c r="AY4" s="104"/>
      <c r="AZ4" s="104"/>
      <c r="BA4" s="104"/>
      <c r="BB4" s="104"/>
      <c r="BC4" s="104"/>
      <c r="BD4" s="104"/>
      <c r="BE4" s="104"/>
      <c r="BF4" s="104"/>
      <c r="BG4" s="104"/>
      <c r="BH4" s="104"/>
      <c r="BI4" s="104"/>
      <c r="BJ4" s="104"/>
      <c r="BK4" s="104"/>
      <c r="BL4" s="104"/>
      <c r="BM4" s="104"/>
      <c r="BN4" s="104"/>
      <c r="BO4" s="104"/>
      <c r="BP4" s="104"/>
      <c r="BQ4" s="104"/>
      <c r="BR4" s="104"/>
      <c r="BS4" s="104"/>
      <c r="BT4" s="130"/>
      <c r="BU4" s="105" t="s">
        <v>1774</v>
      </c>
      <c r="BV4" s="105" t="str">
        <f>IF(COUNTIF(F8,"*Solo*"),"Yes","No")</f>
        <v>No</v>
      </c>
      <c r="BX4" s="170" t="s">
        <v>1635</v>
      </c>
      <c r="BY4" s="170">
        <v>0.5</v>
      </c>
      <c r="CA4" s="170" t="s">
        <v>1637</v>
      </c>
      <c r="CB4" s="183">
        <v>2.7</v>
      </c>
      <c r="CC4" s="183"/>
      <c r="CD4" s="183"/>
      <c r="CE4" s="183"/>
      <c r="CF4" s="183"/>
      <c r="CG4" s="183"/>
      <c r="CH4" s="183"/>
      <c r="CI4" s="183"/>
      <c r="CJ4" s="183"/>
      <c r="CK4" s="183"/>
      <c r="CL4" s="183"/>
      <c r="CM4" s="183">
        <v>2.5</v>
      </c>
      <c r="CN4" s="170">
        <f>IF(LEFT($F$7,2)="Yo",CB4,CM4)</f>
        <v>2.5</v>
      </c>
      <c r="CO4" s="105"/>
      <c r="CP4" s="105"/>
      <c r="EO4" s="102"/>
      <c r="EP4" s="102"/>
      <c r="EQ4" s="102"/>
      <c r="ER4" s="102"/>
      <c r="ES4" s="102"/>
      <c r="ET4" s="102"/>
      <c r="EU4" s="102"/>
      <c r="EV4" s="102"/>
      <c r="EW4" s="102"/>
      <c r="EX4" s="102"/>
      <c r="EY4" s="102"/>
      <c r="EZ4" s="102"/>
      <c r="FA4" s="102"/>
      <c r="FB4" s="102"/>
      <c r="FC4" s="102"/>
      <c r="FD4" s="102"/>
      <c r="FE4" s="102"/>
      <c r="FF4" s="102"/>
      <c r="FG4" s="102"/>
      <c r="FH4" s="102"/>
      <c r="FI4" s="102"/>
      <c r="FJ4" s="102"/>
      <c r="FK4" s="102"/>
      <c r="FL4" s="102"/>
      <c r="FM4" s="102"/>
      <c r="FN4" s="102"/>
      <c r="FO4" s="102"/>
      <c r="FP4" s="102"/>
      <c r="FQ4" s="102"/>
      <c r="FR4" s="102"/>
      <c r="FS4" s="102"/>
      <c r="FT4" s="102"/>
      <c r="FU4" s="102"/>
      <c r="FV4" s="102"/>
      <c r="FW4" s="102"/>
      <c r="FX4" s="102"/>
      <c r="FY4" s="102"/>
      <c r="FZ4" s="102"/>
      <c r="GA4" s="102"/>
      <c r="GB4" s="102"/>
      <c r="GC4" s="102"/>
      <c r="GD4" s="102"/>
      <c r="GE4" s="102"/>
      <c r="GF4" s="102"/>
      <c r="GG4" s="102"/>
      <c r="GH4" s="102"/>
      <c r="GI4" s="102"/>
      <c r="GJ4" s="102"/>
      <c r="GK4" s="102"/>
      <c r="GL4" s="102"/>
      <c r="GM4" s="102"/>
      <c r="GN4" s="102"/>
      <c r="GO4" s="102"/>
      <c r="GP4" s="102"/>
      <c r="GQ4" s="102"/>
      <c r="GR4" s="102"/>
      <c r="GS4" s="102"/>
      <c r="GT4" s="102"/>
      <c r="GU4" s="102"/>
      <c r="GY4" s="105"/>
    </row>
    <row r="5" spans="1:231" ht="15.75" customHeight="1" thickBot="1" x14ac:dyDescent="0.3">
      <c r="A5" s="329"/>
      <c r="B5" s="330"/>
      <c r="C5" s="330"/>
      <c r="D5" s="331"/>
      <c r="E5" s="13"/>
      <c r="F5" s="338"/>
      <c r="G5" s="339"/>
      <c r="H5" s="339"/>
      <c r="I5" s="339"/>
      <c r="J5" s="99"/>
      <c r="K5" s="100" t="str">
        <f>IF(A5="Federation:","Country code:","")</f>
        <v/>
      </c>
      <c r="L5" s="265" t="str">
        <f>IFERROR(INDEX(Data!CG1:CG209,MATCH(F5,Data!CF1:CF209,0)),"")</f>
        <v/>
      </c>
      <c r="M5" s="266" t="s">
        <v>619</v>
      </c>
      <c r="N5" s="267"/>
      <c r="O5" s="268" t="s">
        <v>620</v>
      </c>
      <c r="P5" s="239" t="str">
        <f>IF(N5&lt;&gt;"","","X")</f>
        <v>X</v>
      </c>
      <c r="Q5" s="317"/>
      <c r="R5" s="318"/>
      <c r="S5" s="318"/>
      <c r="T5" s="318"/>
      <c r="U5" s="318"/>
      <c r="V5" s="318"/>
      <c r="W5" s="318"/>
      <c r="X5" s="318"/>
      <c r="Y5" s="318"/>
      <c r="Z5" s="318"/>
      <c r="AA5" s="318"/>
      <c r="AB5" s="318"/>
      <c r="AC5" s="318"/>
      <c r="AD5" s="319"/>
      <c r="AE5" s="319"/>
      <c r="AF5" s="319"/>
      <c r="AG5" s="319"/>
      <c r="AH5" s="319"/>
      <c r="AI5" s="319"/>
      <c r="AJ5" s="319"/>
      <c r="AK5" s="319"/>
      <c r="AL5" s="319"/>
      <c r="AM5" s="319"/>
      <c r="AN5" s="319"/>
      <c r="AO5" s="320"/>
      <c r="AQ5" s="131"/>
      <c r="AR5" s="131"/>
      <c r="AS5" s="131"/>
      <c r="AT5" s="131"/>
      <c r="AU5" s="131"/>
      <c r="AW5" s="104"/>
      <c r="AX5" s="104"/>
      <c r="AY5" s="104"/>
      <c r="AZ5" s="104"/>
      <c r="BA5" s="104"/>
      <c r="BB5" s="104"/>
      <c r="BC5" s="104"/>
      <c r="BD5" s="104"/>
      <c r="BE5" s="104"/>
      <c r="BF5" s="104"/>
      <c r="BG5" s="104"/>
      <c r="BH5" s="104"/>
      <c r="BI5" s="104"/>
      <c r="BJ5" s="104"/>
      <c r="BK5" s="104"/>
      <c r="BL5" s="104"/>
      <c r="BM5" s="104"/>
      <c r="BN5" s="104"/>
      <c r="BO5" s="104"/>
      <c r="BP5" s="104"/>
      <c r="BQ5" s="104"/>
      <c r="BR5" s="104"/>
      <c r="BS5" s="104"/>
      <c r="BT5" s="130"/>
      <c r="BU5" s="105" t="s">
        <v>1769</v>
      </c>
      <c r="BV5" s="105" t="str">
        <f>IF(OR($F$8="Open Team Technical",$F$8="Open Team Free",$F$8="Open Free Combination"),"OK","")</f>
        <v/>
      </c>
      <c r="BX5" s="170" t="s">
        <v>1636</v>
      </c>
      <c r="BY5" s="170">
        <v>0.1</v>
      </c>
      <c r="CA5" s="170" t="s">
        <v>137</v>
      </c>
      <c r="CB5" s="183">
        <v>2.8</v>
      </c>
      <c r="CC5" s="183"/>
      <c r="CD5" s="183"/>
      <c r="CE5" s="183"/>
      <c r="CF5" s="183"/>
      <c r="CG5" s="183"/>
      <c r="CH5" s="183"/>
      <c r="CI5" s="183"/>
      <c r="CJ5" s="183"/>
      <c r="CK5" s="183"/>
      <c r="CL5" s="183"/>
      <c r="CM5" s="183">
        <v>2.6</v>
      </c>
      <c r="CN5" s="170">
        <f t="shared" ref="CN5:CN7" si="0">IF(LEFT($F$7,2)="Yo",CB5,CM5)</f>
        <v>2.6</v>
      </c>
      <c r="CO5" s="105"/>
      <c r="CP5" s="105"/>
      <c r="EO5" s="102"/>
      <c r="EP5" s="102"/>
      <c r="EQ5" s="102"/>
      <c r="ER5" s="102"/>
      <c r="ES5" s="102"/>
      <c r="ET5" s="102"/>
      <c r="EU5" s="102"/>
      <c r="EV5" s="102"/>
      <c r="EW5" s="102"/>
      <c r="EX5" s="102"/>
      <c r="EY5" s="102"/>
      <c r="EZ5" s="102"/>
      <c r="FA5" s="102"/>
      <c r="FB5" s="102"/>
      <c r="FC5" s="102"/>
      <c r="FD5" s="102"/>
      <c r="FE5" s="102"/>
      <c r="FF5" s="102"/>
      <c r="FG5" s="102"/>
      <c r="FH5" s="102"/>
      <c r="FI5" s="102"/>
      <c r="FJ5" s="102"/>
      <c r="FK5" s="102"/>
      <c r="FL5" s="102"/>
      <c r="FM5" s="102"/>
      <c r="FN5" s="102"/>
      <c r="FO5" s="102"/>
      <c r="FP5" s="102"/>
      <c r="FQ5" s="102"/>
      <c r="FR5" s="102"/>
      <c r="FS5" s="102"/>
      <c r="FT5" s="102"/>
      <c r="FU5" s="102"/>
      <c r="FV5" s="102"/>
      <c r="FW5" s="102"/>
      <c r="FX5" s="102"/>
      <c r="FY5" s="102"/>
      <c r="FZ5" s="102"/>
      <c r="GA5" s="102"/>
      <c r="GB5" s="102"/>
      <c r="GC5" s="102"/>
      <c r="GD5" s="102"/>
      <c r="GE5" s="102"/>
      <c r="GF5" s="102"/>
      <c r="GG5" s="102"/>
      <c r="GH5" s="102"/>
      <c r="GI5" s="102"/>
      <c r="GJ5" s="102"/>
      <c r="GK5" s="102"/>
      <c r="GL5" s="102"/>
      <c r="GM5" s="102"/>
      <c r="GN5" s="102"/>
      <c r="GO5" s="102"/>
      <c r="GP5" s="102"/>
      <c r="GQ5" s="102"/>
      <c r="GR5" s="102"/>
      <c r="GS5" s="102"/>
      <c r="GT5" s="102"/>
      <c r="GU5" s="102"/>
      <c r="GY5" s="105"/>
    </row>
    <row r="6" spans="1:231" ht="15" customHeight="1" thickBot="1" x14ac:dyDescent="0.3">
      <c r="A6" s="323" t="s">
        <v>1</v>
      </c>
      <c r="B6" s="324"/>
      <c r="C6" s="324"/>
      <c r="D6" s="332"/>
      <c r="E6" s="15"/>
      <c r="F6" s="336"/>
      <c r="G6" s="334"/>
      <c r="H6" s="334"/>
      <c r="I6" s="334"/>
      <c r="J6" s="334"/>
      <c r="K6" s="334"/>
      <c r="L6" s="337"/>
      <c r="M6" s="264" t="s">
        <v>618</v>
      </c>
      <c r="N6" s="333"/>
      <c r="O6" s="334"/>
      <c r="P6" s="334"/>
      <c r="Q6" s="334"/>
      <c r="R6" s="334"/>
      <c r="S6" s="334"/>
      <c r="T6" s="334"/>
      <c r="U6" s="334"/>
      <c r="V6" s="334"/>
      <c r="W6" s="334"/>
      <c r="X6" s="334"/>
      <c r="Y6" s="334"/>
      <c r="Z6" s="334"/>
      <c r="AA6" s="334"/>
      <c r="AB6" s="334"/>
      <c r="AC6" s="335"/>
      <c r="AD6" s="240"/>
      <c r="AE6" s="241"/>
      <c r="AF6" s="241"/>
      <c r="AG6" s="241"/>
      <c r="AH6" s="241"/>
      <c r="AI6" s="241"/>
      <c r="AJ6" s="241"/>
      <c r="AK6" s="241"/>
      <c r="AL6" s="241"/>
      <c r="AM6" s="241"/>
      <c r="AN6" s="242"/>
      <c r="AO6" s="243"/>
      <c r="AQ6" s="131"/>
      <c r="AR6" s="131"/>
      <c r="AS6" s="131"/>
      <c r="AT6" s="131"/>
      <c r="AU6" s="131"/>
      <c r="AW6" s="104"/>
      <c r="AX6" s="104"/>
      <c r="AY6" s="104"/>
      <c r="AZ6" s="104"/>
      <c r="BA6" s="104"/>
      <c r="BB6" s="104"/>
      <c r="BC6" s="104"/>
      <c r="BD6" s="104"/>
      <c r="BE6" s="104"/>
      <c r="BF6" s="104"/>
      <c r="BG6" s="104"/>
      <c r="BH6" s="104"/>
      <c r="BI6" s="104"/>
      <c r="BJ6" s="104"/>
      <c r="BK6" s="104"/>
      <c r="BL6" s="104"/>
      <c r="BM6" s="104"/>
      <c r="BN6" s="104"/>
      <c r="BO6" s="104"/>
      <c r="BP6" s="104"/>
      <c r="BQ6" s="104"/>
      <c r="BR6" s="104"/>
      <c r="BS6" s="104"/>
      <c r="BT6" s="127"/>
      <c r="BU6" s="105" t="s">
        <v>75</v>
      </c>
      <c r="BV6" s="105" t="str">
        <f>IF(OR(LEFT(F8,10)="Women solo",LEFT(F8,4)="Male"),"",IF(LEFT(F8,10)="Women Duet","D",IF(LEFT(F8,5)="Mixed","D","T")))</f>
        <v>T</v>
      </c>
      <c r="BX6" s="170" t="s">
        <v>1637</v>
      </c>
      <c r="BY6" s="170">
        <v>0.5</v>
      </c>
      <c r="CA6" s="170" t="s">
        <v>629</v>
      </c>
      <c r="CB6" s="183">
        <v>2.8</v>
      </c>
      <c r="CC6" s="183"/>
      <c r="CD6" s="183"/>
      <c r="CE6" s="183"/>
      <c r="CF6" s="183"/>
      <c r="CG6" s="183"/>
      <c r="CH6" s="183"/>
      <c r="CI6" s="183"/>
      <c r="CJ6" s="183"/>
      <c r="CK6" s="183"/>
      <c r="CL6" s="183"/>
      <c r="CM6" s="183">
        <v>2.6</v>
      </c>
      <c r="CN6" s="170">
        <f t="shared" si="0"/>
        <v>2.6</v>
      </c>
      <c r="CO6" s="105"/>
      <c r="CP6" s="105"/>
      <c r="EO6" s="102"/>
      <c r="EP6" s="102"/>
      <c r="EQ6" s="102"/>
      <c r="ER6" s="102"/>
      <c r="ES6" s="102"/>
      <c r="ET6" s="102"/>
      <c r="EU6" s="102"/>
      <c r="EV6" s="102"/>
      <c r="EW6" s="102"/>
      <c r="EX6" s="102"/>
      <c r="EY6" s="102"/>
      <c r="EZ6" s="102"/>
      <c r="FA6" s="102"/>
      <c r="FB6" s="102"/>
      <c r="FC6" s="102"/>
      <c r="FD6" s="102"/>
      <c r="FE6" s="102"/>
      <c r="FF6" s="102"/>
      <c r="FG6" s="102"/>
      <c r="FH6" s="102"/>
      <c r="FI6" s="102"/>
      <c r="FJ6" s="102"/>
      <c r="FK6" s="102"/>
      <c r="FL6" s="102"/>
      <c r="FM6" s="102"/>
      <c r="FN6" s="102"/>
      <c r="FO6" s="102"/>
      <c r="FP6" s="102"/>
      <c r="FQ6" s="102"/>
      <c r="FR6" s="102"/>
      <c r="FS6" s="102"/>
      <c r="FT6" s="102"/>
      <c r="FU6" s="102"/>
      <c r="FV6" s="102"/>
      <c r="FW6" s="102"/>
      <c r="FX6" s="102"/>
      <c r="FY6" s="102"/>
      <c r="FZ6" s="102"/>
      <c r="GA6" s="102"/>
      <c r="GB6" s="102"/>
      <c r="GC6" s="102"/>
      <c r="GD6" s="102"/>
      <c r="GE6" s="102"/>
      <c r="GF6" s="102"/>
      <c r="GG6" s="102"/>
      <c r="GH6" s="102"/>
      <c r="GI6" s="102"/>
      <c r="GJ6" s="102"/>
      <c r="GK6" s="102"/>
      <c r="GL6" s="102"/>
      <c r="GM6" s="102"/>
      <c r="GN6" s="102"/>
      <c r="GO6" s="102"/>
      <c r="GP6" s="102"/>
      <c r="GQ6" s="102"/>
      <c r="GR6" s="102"/>
      <c r="GS6" s="102"/>
      <c r="GT6" s="102"/>
      <c r="GU6" s="102"/>
      <c r="GY6" s="105"/>
    </row>
    <row r="7" spans="1:231" x14ac:dyDescent="0.25">
      <c r="A7" s="323" t="s">
        <v>4</v>
      </c>
      <c r="B7" s="324"/>
      <c r="C7" s="324"/>
      <c r="D7" s="324"/>
      <c r="E7" s="14"/>
      <c r="F7" s="49"/>
      <c r="G7" s="66" t="str">
        <f>IF(F7&lt;&gt;"","","&lt;--  Choose age group first")</f>
        <v>&lt;--  Choose age group first</v>
      </c>
      <c r="H7" s="67"/>
      <c r="I7" s="67"/>
      <c r="J7" s="67"/>
      <c r="K7" s="68" t="str">
        <f>IF(F7&lt;&gt;"","Acrobatic safety limits on (Y/N)?:","")</f>
        <v/>
      </c>
      <c r="L7" s="72" t="s">
        <v>581</v>
      </c>
      <c r="M7" s="71" t="str">
        <f>IF(OR(LEFT(F7,2)="12",LEFT(F7,2)="Yo"),"X","")</f>
        <v/>
      </c>
      <c r="N7" s="71" t="str">
        <f>IF(OR(LEFT(F7,2)="12",LEFT(F7,2)="Yo"),IF(L7="Y","X",""),IF(AND(M8&lt;&gt;"",L8="Y"),"X",""))</f>
        <v/>
      </c>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37"/>
      <c r="AQ7" s="131"/>
      <c r="AR7" s="131"/>
      <c r="AS7" s="131"/>
      <c r="AT7" s="131"/>
      <c r="AU7" s="131"/>
      <c r="AW7" s="104"/>
      <c r="AX7" s="104"/>
      <c r="AY7" s="104"/>
      <c r="AZ7" s="104"/>
      <c r="BA7" s="104"/>
      <c r="BB7" s="104"/>
      <c r="BC7" s="104"/>
      <c r="BD7" s="104"/>
      <c r="BE7" s="104"/>
      <c r="BF7" s="104"/>
      <c r="BG7" s="104"/>
      <c r="BH7" s="104"/>
      <c r="BI7" s="104"/>
      <c r="BJ7" s="104"/>
      <c r="BK7" s="104"/>
      <c r="BL7" s="104"/>
      <c r="BM7" s="104"/>
      <c r="BN7" s="104"/>
      <c r="BO7" s="104"/>
      <c r="BP7" s="104"/>
      <c r="BQ7" s="104"/>
      <c r="BR7" s="104"/>
      <c r="BS7" s="104"/>
      <c r="BT7" s="127"/>
      <c r="BU7" s="105" t="s">
        <v>22</v>
      </c>
      <c r="BV7" s="102" t="str">
        <f>IF(OR(LEFT(F7,1)="1",LEFT(F7,1)="Y"),1,IF(OR(LEFT(F7,1)="J",LEFT(F7,1)="S",LEFT(F7,1)="M"),2,""))</f>
        <v/>
      </c>
      <c r="BX7" s="170" t="s">
        <v>137</v>
      </c>
      <c r="BY7" s="170">
        <v>0.5</v>
      </c>
      <c r="CA7" s="170" t="s">
        <v>134</v>
      </c>
      <c r="CB7" s="183">
        <v>3</v>
      </c>
      <c r="CC7" s="183"/>
      <c r="CD7" s="183"/>
      <c r="CE7" s="183"/>
      <c r="CF7" s="183"/>
      <c r="CG7" s="183"/>
      <c r="CH7" s="183"/>
      <c r="CI7" s="183"/>
      <c r="CJ7" s="183"/>
      <c r="CK7" s="183"/>
      <c r="CL7" s="183"/>
      <c r="CM7" s="183">
        <v>2.8</v>
      </c>
      <c r="CN7" s="170">
        <f t="shared" si="0"/>
        <v>2.8</v>
      </c>
      <c r="CO7" s="105"/>
      <c r="CP7" s="105"/>
      <c r="EO7" s="102"/>
      <c r="EP7" s="102"/>
      <c r="EQ7" s="102"/>
      <c r="ER7" s="102"/>
      <c r="ES7" s="102"/>
      <c r="ET7" s="102"/>
      <c r="EU7" s="102"/>
      <c r="EV7" s="102"/>
      <c r="EW7" s="102"/>
      <c r="EX7" s="102"/>
      <c r="EY7" s="102"/>
      <c r="EZ7" s="102"/>
      <c r="FA7" s="102"/>
      <c r="FB7" s="102"/>
      <c r="FC7" s="102"/>
      <c r="FD7" s="102"/>
      <c r="FE7" s="102"/>
      <c r="FF7" s="102"/>
      <c r="FG7" s="102"/>
      <c r="FH7" s="102"/>
      <c r="FI7" s="102"/>
      <c r="FJ7" s="102"/>
      <c r="FK7" s="102"/>
      <c r="FL7" s="102"/>
      <c r="FM7" s="102"/>
      <c r="FN7" s="102"/>
      <c r="FO7" s="102"/>
      <c r="FP7" s="102"/>
      <c r="FQ7" s="102"/>
      <c r="FR7" s="102"/>
      <c r="FS7" s="102"/>
      <c r="FT7" s="102"/>
      <c r="FU7" s="102"/>
      <c r="FV7" s="102"/>
      <c r="FW7" s="102"/>
      <c r="FX7" s="102"/>
      <c r="FY7" s="102"/>
      <c r="FZ7" s="102"/>
      <c r="GA7" s="102"/>
      <c r="GB7" s="102"/>
      <c r="GC7" s="102"/>
      <c r="GD7" s="102"/>
      <c r="GE7" s="102"/>
      <c r="GF7" s="102"/>
      <c r="GG7" s="102"/>
      <c r="GH7" s="102"/>
      <c r="GI7" s="102"/>
      <c r="GJ7" s="102"/>
      <c r="GK7" s="102"/>
      <c r="GL7" s="102"/>
      <c r="GM7" s="102"/>
      <c r="GN7" s="102"/>
      <c r="GO7" s="102"/>
      <c r="GP7" s="102"/>
      <c r="GQ7" s="102"/>
      <c r="GR7" s="102"/>
      <c r="GS7" s="102"/>
      <c r="GT7" s="102"/>
      <c r="GU7" s="102"/>
      <c r="GY7" s="105"/>
    </row>
    <row r="8" spans="1:231" x14ac:dyDescent="0.25">
      <c r="A8" s="323" t="s">
        <v>2</v>
      </c>
      <c r="B8" s="324"/>
      <c r="C8" s="324"/>
      <c r="D8" s="332"/>
      <c r="E8" s="15"/>
      <c r="F8" s="192"/>
      <c r="G8" s="69" t="str">
        <f>IF(AND(F8="",F7&lt;&gt;""),"&lt;--  Choose event","")</f>
        <v/>
      </c>
      <c r="H8" s="17"/>
      <c r="I8" s="17"/>
      <c r="J8" s="17"/>
      <c r="K8" s="70" t="str">
        <f>IF(F8&lt;&gt;"","Acrobatic safety limits on (Y/N)?:","")</f>
        <v/>
      </c>
      <c r="L8" s="193" t="s">
        <v>580</v>
      </c>
      <c r="M8" s="71" t="str">
        <f>IF(F8&lt;&gt;"",IF(OR(LEFT(F7,2)="12",LEFT(F7,2)="Yo"),"",IF(F7="","",IF(I12&gt;0,"X",""))),"")</f>
        <v/>
      </c>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37"/>
      <c r="AQ8" s="131"/>
      <c r="AR8" s="131"/>
      <c r="AS8" s="131"/>
      <c r="AT8" s="131"/>
      <c r="AU8" s="131"/>
      <c r="AW8" s="104"/>
      <c r="AX8" s="104"/>
      <c r="AY8" s="104"/>
      <c r="AZ8" s="104"/>
      <c r="BA8" s="104"/>
      <c r="BB8" s="104"/>
      <c r="BC8" s="104"/>
      <c r="BD8" s="104"/>
      <c r="BE8" s="104"/>
      <c r="BF8" s="104"/>
      <c r="BG8" s="104"/>
      <c r="BH8" s="104"/>
      <c r="BI8" s="104"/>
      <c r="BJ8" s="104"/>
      <c r="BK8" s="104"/>
      <c r="BL8" s="104"/>
      <c r="BM8" s="104"/>
      <c r="BN8" s="104"/>
      <c r="BO8" s="104"/>
      <c r="BP8" s="104"/>
      <c r="BQ8" s="104"/>
      <c r="BR8" s="104"/>
      <c r="BS8" s="104"/>
      <c r="BT8" s="127"/>
      <c r="BU8" s="105" t="s">
        <v>21</v>
      </c>
      <c r="BV8" s="102" t="str">
        <f>IF(RIGHT(F8,9)="Technical","T",IF(LEFT(F8,1)="F","F",IF(LEFT(F8,1)="A","A","")))</f>
        <v/>
      </c>
      <c r="BX8" s="170" t="s">
        <v>629</v>
      </c>
      <c r="BY8" s="170">
        <v>0.5</v>
      </c>
      <c r="CN8" s="105"/>
      <c r="CO8" s="105"/>
      <c r="CP8" s="105"/>
      <c r="EO8" s="102"/>
      <c r="EP8" s="102"/>
      <c r="EQ8" s="102"/>
      <c r="ER8" s="102"/>
      <c r="ES8" s="102"/>
      <c r="ET8" s="102"/>
      <c r="EU8" s="102"/>
      <c r="EV8" s="102"/>
      <c r="EW8" s="102"/>
      <c r="EX8" s="102"/>
      <c r="EY8" s="102"/>
      <c r="EZ8" s="102"/>
      <c r="FA8" s="102"/>
      <c r="FB8" s="102"/>
      <c r="FC8" s="102"/>
      <c r="FD8" s="102"/>
      <c r="FE8" s="102"/>
      <c r="FF8" s="102"/>
      <c r="FG8" s="102"/>
      <c r="FH8" s="102"/>
      <c r="FI8" s="102"/>
      <c r="FJ8" s="102"/>
      <c r="FK8" s="102"/>
      <c r="FL8" s="102"/>
      <c r="FM8" s="102"/>
      <c r="FN8" s="102"/>
      <c r="FO8" s="102"/>
      <c r="FP8" s="102"/>
      <c r="FQ8" s="102"/>
      <c r="FR8" s="102"/>
      <c r="FS8" s="102"/>
      <c r="FT8" s="102"/>
      <c r="FU8" s="102"/>
      <c r="FV8" s="102"/>
      <c r="FW8" s="102"/>
      <c r="FX8" s="102"/>
      <c r="FY8" s="102"/>
      <c r="FZ8" s="102"/>
      <c r="GA8" s="102"/>
      <c r="GB8" s="102"/>
      <c r="GC8" s="102"/>
      <c r="GD8" s="102"/>
      <c r="GE8" s="102"/>
      <c r="GF8" s="102"/>
      <c r="GG8" s="102"/>
      <c r="GH8" s="102"/>
      <c r="GI8" s="102"/>
      <c r="GJ8" s="102"/>
      <c r="GK8" s="102"/>
      <c r="GL8" s="102"/>
      <c r="GM8" s="102"/>
      <c r="GN8" s="102"/>
      <c r="GO8" s="102"/>
      <c r="GP8" s="102"/>
      <c r="GQ8" s="102"/>
      <c r="GR8" s="102"/>
      <c r="GS8" s="102"/>
      <c r="GT8" s="102"/>
      <c r="GU8" s="102"/>
      <c r="GY8" s="105"/>
    </row>
    <row r="9" spans="1:231" ht="15.75" customHeight="1" thickBot="1" x14ac:dyDescent="0.3">
      <c r="A9" s="326" t="s">
        <v>6</v>
      </c>
      <c r="B9" s="327"/>
      <c r="C9" s="327"/>
      <c r="D9" s="328"/>
      <c r="E9" s="255"/>
      <c r="F9" s="308"/>
      <c r="G9" s="309"/>
      <c r="H9" s="309"/>
      <c r="I9" s="309"/>
      <c r="J9" s="309"/>
      <c r="K9" s="309"/>
      <c r="L9" s="309"/>
      <c r="M9" s="309"/>
      <c r="N9" s="309"/>
      <c r="O9" s="309"/>
      <c r="P9" s="309"/>
      <c r="Q9" s="309"/>
      <c r="R9" s="309"/>
      <c r="S9" s="309"/>
      <c r="T9" s="309"/>
      <c r="U9" s="309"/>
      <c r="V9" s="309"/>
      <c r="W9" s="309"/>
      <c r="X9" s="309"/>
      <c r="Y9" s="309"/>
      <c r="Z9" s="309"/>
      <c r="AA9" s="309"/>
      <c r="AB9" s="309"/>
      <c r="AC9" s="309"/>
      <c r="AD9" s="309"/>
      <c r="AE9" s="309"/>
      <c r="AF9" s="309"/>
      <c r="AG9" s="309"/>
      <c r="AH9" s="309"/>
      <c r="AI9" s="309"/>
      <c r="AJ9" s="309"/>
      <c r="AK9" s="309"/>
      <c r="AL9" s="309"/>
      <c r="AM9" s="309"/>
      <c r="AN9" s="309"/>
      <c r="AO9" s="310"/>
      <c r="AQ9" s="131"/>
      <c r="AR9" s="131"/>
      <c r="AS9" s="131"/>
      <c r="AT9" s="131"/>
      <c r="AU9" s="131"/>
      <c r="AW9" s="104"/>
      <c r="AX9" s="104"/>
      <c r="AY9" s="104"/>
      <c r="AZ9" s="104"/>
      <c r="BA9" s="104"/>
      <c r="BB9" s="104"/>
      <c r="BC9" s="104"/>
      <c r="BD9" s="104"/>
      <c r="BE9" s="104"/>
      <c r="BF9" s="104"/>
      <c r="BG9" s="104"/>
      <c r="BH9" s="104"/>
      <c r="BI9" s="104"/>
      <c r="BJ9" s="104"/>
      <c r="BK9" s="104"/>
      <c r="BL9" s="104"/>
      <c r="BM9" s="104"/>
      <c r="BN9" s="104"/>
      <c r="BO9" s="104"/>
      <c r="BP9" s="104"/>
      <c r="BQ9" s="104"/>
      <c r="BR9" s="104"/>
      <c r="BS9" s="104" t="s">
        <v>2018</v>
      </c>
      <c r="BT9" s="127"/>
      <c r="BU9" s="290" t="str">
        <f>IFERROR(CONCATENATE(F8," / ",F7),"")</f>
        <v xml:space="preserve"> / </v>
      </c>
      <c r="BV9" s="290"/>
      <c r="BW9" s="290"/>
      <c r="BX9" s="170" t="s">
        <v>134</v>
      </c>
      <c r="BY9" s="170">
        <v>0.5</v>
      </c>
      <c r="CN9" s="105"/>
      <c r="CO9" s="105"/>
      <c r="CP9" s="105"/>
      <c r="EO9" s="102"/>
      <c r="EP9" s="102"/>
      <c r="EQ9" s="102"/>
      <c r="ER9" s="102"/>
      <c r="ES9" s="102"/>
      <c r="ET9" s="102"/>
      <c r="EU9" s="102"/>
      <c r="EV9" s="102"/>
      <c r="EW9" s="102"/>
      <c r="EX9" s="102"/>
      <c r="EY9" s="102"/>
      <c r="EZ9" s="102"/>
      <c r="FA9" s="102"/>
      <c r="FB9" s="102"/>
      <c r="FC9" s="102"/>
      <c r="FD9" s="102"/>
      <c r="FE9" s="102"/>
      <c r="FF9" s="102"/>
      <c r="FG9" s="102"/>
      <c r="FH9" s="102"/>
      <c r="FI9" s="102"/>
      <c r="FJ9" s="102"/>
      <c r="FK9" s="102"/>
      <c r="FL9" s="102"/>
      <c r="FM9" s="102"/>
      <c r="FN9" s="102"/>
      <c r="FO9" s="102"/>
      <c r="FP9" s="102"/>
      <c r="FQ9" s="102"/>
      <c r="FR9" s="102"/>
      <c r="FS9" s="102"/>
      <c r="FT9" s="102"/>
      <c r="FU9" s="102"/>
      <c r="FV9" s="102"/>
      <c r="FW9" s="102"/>
      <c r="FX9" s="102"/>
      <c r="FY9" s="102"/>
      <c r="FZ9" s="102"/>
      <c r="GA9" s="102"/>
      <c r="GB9" s="102"/>
      <c r="GC9" s="102"/>
      <c r="GD9" s="102"/>
      <c r="GE9" s="102"/>
      <c r="GF9" s="102"/>
      <c r="GG9" s="102"/>
      <c r="GH9" s="102"/>
      <c r="GI9" s="102"/>
      <c r="GJ9" s="102"/>
      <c r="GK9" s="102"/>
      <c r="GL9" s="102"/>
      <c r="GM9" s="102"/>
      <c r="GN9" s="102"/>
      <c r="GO9" s="102"/>
      <c r="GP9" s="102"/>
      <c r="GQ9" s="102"/>
      <c r="GR9" s="102"/>
      <c r="GS9" s="102"/>
      <c r="GT9" s="102"/>
      <c r="GU9" s="102"/>
      <c r="GY9" s="105"/>
    </row>
    <row r="10" spans="1:231" ht="16.5" customHeight="1" x14ac:dyDescent="0.25">
      <c r="A10" s="340" t="s">
        <v>2447</v>
      </c>
      <c r="B10" s="340"/>
      <c r="C10" s="341" t="s">
        <v>2446</v>
      </c>
      <c r="D10" s="341"/>
      <c r="E10" s="19"/>
      <c r="G10" s="20" t="s">
        <v>18</v>
      </c>
      <c r="H10" s="20" t="s">
        <v>17</v>
      </c>
      <c r="I10" s="21" t="str">
        <f>IF(OR(F8="Women Duet Free",F8="Mixed Duet Free",F8="Women Duet Technical",F8="Mixed Duet Technical"),"Acrobatic - Pair","Acrobatic")</f>
        <v>Acrobatic</v>
      </c>
      <c r="J10" s="21" t="s">
        <v>1623</v>
      </c>
      <c r="K10" s="21" t="s">
        <v>1629</v>
      </c>
      <c r="L10" s="21" t="s">
        <v>558</v>
      </c>
      <c r="M10" s="21" t="s">
        <v>557</v>
      </c>
      <c r="N10" s="21" t="s">
        <v>1627</v>
      </c>
      <c r="O10" s="21" t="s">
        <v>1626</v>
      </c>
      <c r="P10" s="21" t="s">
        <v>1780</v>
      </c>
      <c r="Q10" s="21" t="s">
        <v>1625</v>
      </c>
      <c r="R10" s="21"/>
      <c r="Y10" s="21"/>
      <c r="Z10" s="21"/>
      <c r="AA10" s="21"/>
      <c r="AB10" s="21"/>
      <c r="AC10" s="21"/>
      <c r="AD10" s="21"/>
      <c r="AE10" s="19"/>
      <c r="AF10" s="74"/>
      <c r="AG10" s="74"/>
      <c r="AH10" s="104"/>
      <c r="AI10" s="104"/>
      <c r="AJ10" s="104"/>
      <c r="AK10" s="104"/>
      <c r="AL10" s="104"/>
      <c r="AM10" s="104"/>
      <c r="AN10" s="104"/>
      <c r="AO10" s="104"/>
      <c r="AP10" s="104"/>
      <c r="AQ10" s="104"/>
      <c r="AR10" s="104"/>
      <c r="AS10" s="104"/>
      <c r="AT10" s="104"/>
      <c r="AU10" s="104"/>
      <c r="AV10" s="104"/>
      <c r="AW10" s="104"/>
      <c r="AX10" s="104"/>
      <c r="AY10" s="104"/>
      <c r="AZ10" s="104"/>
      <c r="BA10" s="104"/>
      <c r="BB10" s="104"/>
      <c r="BC10" s="104"/>
      <c r="BD10" s="104"/>
      <c r="BE10" s="104"/>
      <c r="BF10" s="104"/>
      <c r="BG10" s="104"/>
      <c r="BH10" s="104"/>
      <c r="BI10" s="104"/>
      <c r="BJ10" s="104"/>
      <c r="BK10" s="104"/>
      <c r="BL10" s="104"/>
      <c r="BM10" s="104"/>
      <c r="BN10" s="104"/>
      <c r="BO10" s="104"/>
      <c r="BP10" s="104"/>
      <c r="BQ10" s="104"/>
      <c r="BR10" s="104"/>
      <c r="BS10" s="104"/>
      <c r="BT10" s="106"/>
      <c r="CN10" s="105"/>
      <c r="CO10" s="105"/>
      <c r="CP10" s="105"/>
      <c r="DQ10" s="102" t="s">
        <v>2331</v>
      </c>
      <c r="DR10" s="170" t="str">
        <f>IF(COUNTIF(DQ13:DT13,0)=0,"Yes","No")</f>
        <v>No</v>
      </c>
      <c r="DS10" s="102" t="s">
        <v>1925</v>
      </c>
      <c r="DT10" s="170" t="str">
        <f>IF(COUNTIF(DQ13:DT13,"&gt;2")=0,"No","Yes")</f>
        <v>No</v>
      </c>
      <c r="EO10" s="102"/>
      <c r="EP10" s="102"/>
      <c r="EQ10" s="102"/>
      <c r="ER10" s="102"/>
      <c r="ES10" s="102"/>
      <c r="ET10" s="102"/>
      <c r="EU10" s="102"/>
      <c r="EV10" s="102"/>
      <c r="EW10" s="102"/>
      <c r="EX10" s="102"/>
      <c r="EY10" s="102"/>
      <c r="EZ10" s="102"/>
      <c r="FA10" s="102"/>
      <c r="FB10" s="102"/>
      <c r="FC10" s="102"/>
      <c r="FD10" s="102"/>
      <c r="FE10" s="102"/>
      <c r="FF10" s="102"/>
      <c r="FG10" s="102"/>
      <c r="FH10" s="102"/>
      <c r="FI10" s="102"/>
      <c r="FJ10" s="102"/>
      <c r="FK10" s="102"/>
      <c r="FL10" s="102"/>
      <c r="FM10" s="102"/>
      <c r="FN10" s="102"/>
      <c r="FO10" s="102"/>
      <c r="FP10" s="102"/>
      <c r="FQ10" s="102"/>
      <c r="FR10" s="102"/>
      <c r="FS10" s="102"/>
      <c r="FT10" s="102"/>
      <c r="FU10" s="102"/>
      <c r="FV10" s="102"/>
      <c r="FW10" s="102"/>
      <c r="FX10" s="102"/>
      <c r="FY10" s="102"/>
      <c r="FZ10" s="102"/>
      <c r="GA10" s="102"/>
      <c r="GB10" s="102"/>
      <c r="GC10" s="102"/>
      <c r="GD10" s="102"/>
      <c r="GE10" s="102"/>
      <c r="GF10" s="102"/>
      <c r="GG10" s="102"/>
      <c r="GH10" s="102"/>
      <c r="GI10" s="102"/>
      <c r="GJ10" s="102"/>
      <c r="GK10" s="102"/>
      <c r="GL10" s="102"/>
      <c r="GM10" s="102"/>
      <c r="GN10" s="102"/>
      <c r="GO10" s="102"/>
      <c r="GP10" s="102"/>
      <c r="GQ10" s="102"/>
      <c r="GR10" s="102"/>
      <c r="GS10" s="102"/>
      <c r="GT10" s="102"/>
      <c r="GU10" s="102"/>
      <c r="GY10" s="105"/>
    </row>
    <row r="11" spans="1:231" ht="15" customHeight="1" x14ac:dyDescent="0.25">
      <c r="A11" s="340"/>
      <c r="B11" s="340"/>
      <c r="C11" s="341"/>
      <c r="D11" s="341"/>
      <c r="E11" s="19"/>
      <c r="G11" s="16" t="s">
        <v>47</v>
      </c>
      <c r="H11" s="16" t="s">
        <v>2273</v>
      </c>
      <c r="I11" s="168" t="str">
        <f>IF(OR(F8="Women Duet Free",F8="Mixed Duet Free",F8="Women Duet Technical",F8="Mixed Duet Technical"),"PairAcro","TeamAcro")</f>
        <v>TeamAcro</v>
      </c>
      <c r="J11" s="22" t="s">
        <v>16</v>
      </c>
      <c r="K11" s="22" t="s">
        <v>577</v>
      </c>
      <c r="L11" s="22" t="s">
        <v>578</v>
      </c>
      <c r="M11" s="22" t="s">
        <v>579</v>
      </c>
      <c r="N11" s="168" t="s">
        <v>1630</v>
      </c>
      <c r="O11" s="168" t="s">
        <v>2274</v>
      </c>
      <c r="P11" s="168" t="s">
        <v>1781</v>
      </c>
      <c r="Q11" s="22" t="s">
        <v>48</v>
      </c>
      <c r="R11" s="22"/>
      <c r="S11" s="189" t="str">
        <f>IF(BV8="T","   Technical Required Element - Check",IF(BV3="Yes","",IF(BV4="Yes","         Hybrid families minimum - check","                Hybrid families minimum- check")))</f>
        <v xml:space="preserve">                Hybrid families minimum- check</v>
      </c>
      <c r="T11" s="190"/>
      <c r="U11" s="190"/>
      <c r="V11" s="190"/>
      <c r="W11" s="190"/>
      <c r="X11" s="185"/>
      <c r="Y11" s="305" t="s">
        <v>1966</v>
      </c>
      <c r="Z11" s="306"/>
      <c r="AA11" s="306"/>
      <c r="AB11" s="307"/>
      <c r="AC11" s="22"/>
      <c r="AD11" s="22"/>
      <c r="AE11" s="19"/>
      <c r="AF11" s="74"/>
      <c r="AG11" s="74"/>
      <c r="AH11" s="104"/>
      <c r="AI11" s="104"/>
      <c r="AJ11" s="104"/>
      <c r="AK11" s="104"/>
      <c r="AL11" s="104"/>
      <c r="AM11" s="104"/>
      <c r="AN11" s="104"/>
      <c r="AO11" s="104"/>
      <c r="AP11" s="104"/>
      <c r="AQ11" s="104"/>
      <c r="AR11" s="104"/>
      <c r="AS11" s="104"/>
      <c r="AT11" s="104"/>
      <c r="AU11" s="104"/>
      <c r="AV11" s="104"/>
      <c r="AW11" s="104"/>
      <c r="AX11" s="104"/>
      <c r="AY11" s="104"/>
      <c r="AZ11" s="104"/>
      <c r="BA11" s="104"/>
      <c r="BB11" s="104"/>
      <c r="BC11" s="104"/>
      <c r="BD11" s="104"/>
      <c r="BE11" s="104"/>
      <c r="BF11" s="104"/>
      <c r="BG11" s="104"/>
      <c r="BH11" s="104"/>
      <c r="BI11" s="104"/>
      <c r="BJ11" s="104"/>
      <c r="BK11" s="104"/>
      <c r="BL11" s="104"/>
      <c r="BM11" s="104"/>
      <c r="BN11" s="104"/>
      <c r="BO11" s="104"/>
      <c r="BP11" s="104"/>
      <c r="BQ11" s="104"/>
      <c r="BR11" s="104"/>
      <c r="BS11" s="104"/>
      <c r="BT11" s="106"/>
      <c r="BU11" s="105" t="s">
        <v>575</v>
      </c>
      <c r="BV11" s="107" t="str">
        <f>IF(OR(BU9="Team Free / 12 and under",BU9="Team Free / Youth 13 - 15"),"Y","N")</f>
        <v>N</v>
      </c>
      <c r="CN11" s="105"/>
      <c r="CO11" s="105"/>
      <c r="CP11" s="105"/>
      <c r="DD11" s="231" t="s">
        <v>1778</v>
      </c>
      <c r="DG11" s="283" t="s">
        <v>1778</v>
      </c>
      <c r="DH11" s="283"/>
      <c r="DI11" s="283"/>
      <c r="DJ11" s="283"/>
      <c r="DK11" s="283"/>
      <c r="DL11" s="283"/>
      <c r="DM11" s="283"/>
      <c r="DN11" s="283"/>
      <c r="DO11" s="283"/>
      <c r="DQ11" s="301" t="s">
        <v>1963</v>
      </c>
      <c r="DR11" s="302"/>
      <c r="DS11" s="302"/>
      <c r="DT11" s="303"/>
      <c r="DV11" s="288" t="s">
        <v>2415</v>
      </c>
      <c r="DW11" s="289"/>
      <c r="EO11" s="102"/>
      <c r="EP11" s="102"/>
      <c r="EQ11" s="102"/>
      <c r="ER11" s="102"/>
      <c r="ES11" s="102"/>
      <c r="ET11" s="102"/>
      <c r="EU11" s="102"/>
      <c r="EV11" s="102"/>
      <c r="EW11" s="102"/>
      <c r="EX11" s="102"/>
      <c r="EY11" s="102"/>
      <c r="EZ11" s="102"/>
      <c r="FA11" s="102"/>
      <c r="FB11" s="102"/>
      <c r="FC11" s="102"/>
      <c r="FD11" s="102"/>
      <c r="FE11" s="102"/>
      <c r="FF11" s="102"/>
      <c r="FG11" s="102"/>
      <c r="FH11" s="102"/>
      <c r="FI11" s="102"/>
      <c r="FJ11" s="102"/>
      <c r="FK11" s="102"/>
      <c r="FL11" s="102"/>
      <c r="FM11" s="102"/>
      <c r="FN11" s="102"/>
      <c r="FO11" s="102"/>
      <c r="FP11" s="102"/>
      <c r="FQ11" s="102"/>
      <c r="FR11" s="102"/>
      <c r="FS11" s="102"/>
      <c r="FT11" s="102"/>
      <c r="FU11" s="102"/>
      <c r="FV11" s="102"/>
      <c r="FW11" s="102"/>
      <c r="FX11" s="102"/>
      <c r="FY11" s="102"/>
      <c r="FZ11" s="102"/>
      <c r="GA11" s="102"/>
      <c r="GB11" s="102"/>
      <c r="GC11" s="102"/>
      <c r="GD11" s="102"/>
      <c r="GE11" s="102"/>
      <c r="GF11" s="102"/>
      <c r="GG11" s="102"/>
      <c r="GH11" s="102"/>
      <c r="GI11" s="102"/>
      <c r="GJ11" s="102"/>
      <c r="GK11" s="102"/>
      <c r="GL11" s="102"/>
      <c r="GM11" s="102"/>
      <c r="GN11" s="102"/>
      <c r="GO11" s="102"/>
      <c r="GP11" s="102"/>
      <c r="GQ11" s="102"/>
      <c r="GR11" s="102"/>
      <c r="GS11" s="102"/>
      <c r="GT11" s="102"/>
      <c r="GU11" s="102"/>
      <c r="GY11" s="105"/>
    </row>
    <row r="12" spans="1:231" ht="15" customHeight="1" thickBot="1" x14ac:dyDescent="0.3">
      <c r="A12" s="54">
        <v>1.0000578703703704</v>
      </c>
      <c r="B12" s="54" t="str">
        <f>IFERROR(TIME(0,C14,D14-5),"")</f>
        <v/>
      </c>
      <c r="C12" s="53" t="str">
        <f>IFERROR(INDEX(Data!F3:F38,MATCH(BU9,Data!G3:G38,0)),"")</f>
        <v/>
      </c>
      <c r="D12" s="54" t="str">
        <f>IFERROR(TIME(0,C14,D14+5),"")</f>
        <v/>
      </c>
      <c r="E12" s="19"/>
      <c r="F12" s="12" t="s">
        <v>45</v>
      </c>
      <c r="H12" s="16" t="str">
        <f>IFERROR(INDEX(Data!H$3:H$38,MATCH($BU$9,Data!$G$3:$G$38,0)),"")</f>
        <v/>
      </c>
      <c r="I12" s="16" t="str">
        <f>IFERROR(INDEX(Data!J$3:J$38,MATCH($BU$9,Data!$G$3:$G$38,0)),"")</f>
        <v/>
      </c>
      <c r="J12" s="16" t="str">
        <f>IFERROR(INDEX(Data!I$3:I$38,MATCH($BU$9,Data!$G$3:$G$38,0)),"")</f>
        <v/>
      </c>
      <c r="K12" s="16" t="str">
        <f>IFERROR(INDEX(Data!L$3:L$38,MATCH($BU$9,Data!$G$3:$G$38,0)),"")</f>
        <v/>
      </c>
      <c r="L12" s="16" t="str">
        <f>IFERROR(INDEX(Data!N$3:N$38,MATCH($BU$9,Data!$G$3:$G$38,0)),"")</f>
        <v/>
      </c>
      <c r="M12" s="16" t="str">
        <f>IFERROR(INDEX(Data!O$3:O$38,MATCH($BU$9,Data!$G$3:$G$38,0)),"")</f>
        <v/>
      </c>
      <c r="N12" s="16" t="str">
        <f>IFERROR(INDEX(Data!P$3:P$38,MATCH($BU$9,Data!$G$3:$G$38,0)),"")</f>
        <v/>
      </c>
      <c r="O12" s="16" t="str">
        <f>IFERROR(INDEX(Data!R$3:R$38,MATCH($BU$9,Data!$G$3:$G$38,0)),"")</f>
        <v/>
      </c>
      <c r="P12" s="16" t="str">
        <f>IFERROR(INDEX(Data!S$3:S$38,MATCH($BU$9,Data!$G$3:$G$38,0)),"")</f>
        <v/>
      </c>
      <c r="Q12" s="16" t="str">
        <f>IFERROR(INDEX(Data!Q$3:Q$38,MATCH($BU$9,Data!$G$3:$G$38,0)),"")</f>
        <v/>
      </c>
      <c r="R12" s="16"/>
      <c r="S12" s="101" t="str">
        <f>IF(BV8="T","TRE-1","T")</f>
        <v>T</v>
      </c>
      <c r="T12" s="101" t="str">
        <f>IF(BV8="T","TRE-2","S")</f>
        <v>S</v>
      </c>
      <c r="U12" s="101" t="str">
        <f>IF(BV8="T","TRE-3","R")</f>
        <v>R</v>
      </c>
      <c r="V12" s="101" t="str">
        <f>IF(BV8="T",IF(LEFT(F8,5)="Mixed","","TRE-4"),"F")</f>
        <v>F</v>
      </c>
      <c r="W12" s="101" t="str">
        <f>IF(BV8="T",IF(LEFT(F8,5)="Mixed","","TRE-5"),"A")</f>
        <v>A</v>
      </c>
      <c r="X12" s="184" t="str">
        <f>IF(AND(BV4="No",BV8&lt;&gt;"T"),"C","")</f>
        <v>C</v>
      </c>
      <c r="Y12" s="16" t="s">
        <v>1637</v>
      </c>
      <c r="Z12" s="16" t="s">
        <v>137</v>
      </c>
      <c r="AA12" s="16" t="s">
        <v>629</v>
      </c>
      <c r="AB12" s="16" t="s">
        <v>134</v>
      </c>
      <c r="AC12" s="16"/>
      <c r="AD12" s="16"/>
      <c r="AE12" s="19"/>
      <c r="AF12" s="74"/>
      <c r="AG12" s="74"/>
      <c r="AH12" s="104"/>
      <c r="AI12" s="104"/>
      <c r="AJ12" s="104"/>
      <c r="AK12" s="104"/>
      <c r="AL12" s="104"/>
      <c r="AM12" s="104"/>
      <c r="AN12" s="104"/>
      <c r="AO12" s="104"/>
      <c r="AP12" s="104"/>
      <c r="AQ12" s="104"/>
      <c r="AR12" s="104"/>
      <c r="AS12" s="104"/>
      <c r="AT12" s="104"/>
      <c r="AU12" s="104"/>
      <c r="AV12" s="104"/>
      <c r="AW12" s="104" t="s">
        <v>2452</v>
      </c>
      <c r="AX12" s="108">
        <v>0</v>
      </c>
      <c r="AY12" s="104"/>
      <c r="AZ12" s="104"/>
      <c r="BA12" s="104"/>
      <c r="BB12" s="104"/>
      <c r="BC12" s="104"/>
      <c r="BD12" s="104"/>
      <c r="BE12" s="104"/>
      <c r="BF12" s="104"/>
      <c r="BG12" s="104"/>
      <c r="BH12" s="104"/>
      <c r="BI12" s="104"/>
      <c r="BJ12" s="104"/>
      <c r="BK12" s="104"/>
      <c r="BL12" s="104"/>
      <c r="BM12" s="104"/>
      <c r="BN12" s="104"/>
      <c r="BO12" s="104"/>
      <c r="BP12" s="104"/>
      <c r="BQ12" s="104"/>
      <c r="BR12" s="104"/>
      <c r="BS12" s="104"/>
      <c r="BT12" s="106"/>
      <c r="BU12" s="108">
        <v>1</v>
      </c>
      <c r="BV12" s="109" t="e">
        <f>IFERROR(SECOND(BU14-BV14),SECOND(BV14-BU14))</f>
        <v>#N/A</v>
      </c>
      <c r="CN12" s="105"/>
      <c r="CO12" s="105"/>
      <c r="CP12" s="105"/>
      <c r="DD12" s="170" t="str">
        <f t="array" ref="DD12">IFERROR(INDEX($DN$19:$DN$68,MATCH(INDEX($DN$19:$DN$68,(SMALL(IF($DN$19:$DN$68&lt;&gt;"",ROW($DN$19:$DN$68)-ROW($DN$19)+1),1))),$DN$19:$DN$68,0),1),"")</f>
        <v/>
      </c>
      <c r="DE12" s="170" t="str">
        <f>IF(COUNTIF($DD$12:$DD$14,DD12)&gt;1,"X","")</f>
        <v>X</v>
      </c>
      <c r="DF12" s="232"/>
      <c r="DG12" s="229" t="str">
        <f>DG13</f>
        <v/>
      </c>
      <c r="DH12" s="212" t="str">
        <f>IF(DH13&lt;&gt;"",CONCATENATE("2",DH13),"")</f>
        <v/>
      </c>
      <c r="DI12" s="212" t="str">
        <f ca="1">DI13</f>
        <v/>
      </c>
      <c r="DJ12" s="212" t="str">
        <f t="shared" ref="DJ12:DN12" ca="1" si="1">DJ13</f>
        <v/>
      </c>
      <c r="DK12" s="212" t="str">
        <f t="shared" ca="1" si="1"/>
        <v/>
      </c>
      <c r="DL12" s="212" t="str">
        <f t="shared" ca="1" si="1"/>
        <v/>
      </c>
      <c r="DM12" s="212" t="str">
        <f t="shared" ca="1" si="1"/>
        <v/>
      </c>
      <c r="DN12" s="212" t="str">
        <f t="shared" si="1"/>
        <v/>
      </c>
      <c r="DO12" s="170" t="str">
        <f>IF(DO13&lt;&gt;"",CONCATENATE("2",DO13),"")</f>
        <v/>
      </c>
      <c r="DP12" s="215"/>
      <c r="DQ12" s="170" t="s">
        <v>1637</v>
      </c>
      <c r="DR12" s="170" t="s">
        <v>137</v>
      </c>
      <c r="DS12" s="170" t="s">
        <v>629</v>
      </c>
      <c r="DT12" s="170" t="s">
        <v>134</v>
      </c>
      <c r="DV12" s="170" t="str">
        <f>DV13</f>
        <v/>
      </c>
      <c r="DW12" s="170" t="str">
        <f>DW13</f>
        <v/>
      </c>
      <c r="EI12" s="102" t="s">
        <v>1925</v>
      </c>
      <c r="EO12" s="102"/>
      <c r="EP12" s="102"/>
      <c r="EQ12" s="102"/>
      <c r="ER12" s="102"/>
      <c r="ES12" s="102"/>
      <c r="ET12" s="102"/>
      <c r="EU12" s="102"/>
      <c r="EV12" s="102"/>
      <c r="EW12" s="102"/>
      <c r="EX12" s="102"/>
      <c r="EY12" s="102"/>
      <c r="EZ12" s="102"/>
      <c r="FA12" s="102"/>
      <c r="FB12" s="102"/>
      <c r="FC12" s="102"/>
      <c r="FD12" s="102"/>
      <c r="FE12" s="102"/>
      <c r="FF12" s="102"/>
      <c r="FG12" s="102"/>
      <c r="FH12" s="102"/>
      <c r="FI12" s="102"/>
      <c r="FJ12" s="102"/>
      <c r="FK12" s="102"/>
      <c r="FL12" s="102"/>
      <c r="FM12" s="102"/>
      <c r="FN12" s="102"/>
      <c r="FO12" s="102"/>
      <c r="FP12" s="102"/>
      <c r="FQ12" s="102"/>
      <c r="FR12" s="102"/>
      <c r="FS12" s="102"/>
      <c r="FT12" s="102"/>
      <c r="FU12" s="102"/>
      <c r="FV12" s="102"/>
      <c r="FW12" s="102"/>
      <c r="FX12" s="102"/>
      <c r="FY12" s="102"/>
      <c r="FZ12" s="102"/>
      <c r="GA12" s="102"/>
      <c r="GB12" s="102"/>
      <c r="GC12" s="102"/>
      <c r="GD12" s="102"/>
      <c r="GE12" s="102"/>
      <c r="GF12" s="102"/>
      <c r="GG12" s="102"/>
      <c r="GH12" s="102"/>
      <c r="GI12" s="102"/>
      <c r="GJ12" s="102"/>
      <c r="GK12" s="102"/>
      <c r="GL12" s="102"/>
      <c r="GM12" s="102"/>
      <c r="GN12" s="102"/>
      <c r="GO12" s="102"/>
      <c r="GP12" s="102"/>
      <c r="GQ12" s="102"/>
      <c r="GR12" s="102"/>
      <c r="GS12" s="102"/>
      <c r="GT12" s="102"/>
      <c r="GU12" s="102"/>
      <c r="GW12" s="127" t="s">
        <v>1924</v>
      </c>
      <c r="GY12" s="170" t="str">
        <f>IF($F$8="Mixed Duet Technical",IF(COUNTIF(GW14:GY14,""),"No","Yes"),IF(COUNTIF(GW14:HA14,""),"No","Yes"))</f>
        <v>No</v>
      </c>
    </row>
    <row r="13" spans="1:231" ht="15" customHeight="1" thickBot="1" x14ac:dyDescent="0.3">
      <c r="A13" s="52"/>
      <c r="B13" s="52" t="str">
        <f>IF(CP17&gt;D12,"Y","")</f>
        <v/>
      </c>
      <c r="C13" s="20" t="str">
        <f>IF(OR(CP17&lt;B12,CP17&gt;D12),"Y","")</f>
        <v>Y</v>
      </c>
      <c r="D13" s="55"/>
      <c r="E13" s="19"/>
      <c r="F13" s="12" t="s">
        <v>46</v>
      </c>
      <c r="G13" s="16">
        <f t="shared" ref="G13" si="2">COUNTIF($F$19:$F$68,G10)</f>
        <v>0</v>
      </c>
      <c r="H13" s="16" t="str">
        <f t="shared" ref="H13:Q13" si="3">IF(OR($F$7="",$F$8=""),"",COUNTIF($F$19:$F$68,H10))</f>
        <v/>
      </c>
      <c r="I13" s="16" t="str">
        <f t="shared" si="3"/>
        <v/>
      </c>
      <c r="J13" s="16" t="str">
        <f t="shared" si="3"/>
        <v/>
      </c>
      <c r="K13" s="16" t="str">
        <f t="shared" si="3"/>
        <v/>
      </c>
      <c r="L13" s="16" t="str">
        <f t="shared" si="3"/>
        <v/>
      </c>
      <c r="M13" s="16" t="str">
        <f t="shared" si="3"/>
        <v/>
      </c>
      <c r="N13" s="16" t="str">
        <f t="shared" si="3"/>
        <v/>
      </c>
      <c r="O13" s="16" t="str">
        <f>IF(OR($F$7="",$F$8=""),"",IF(COUNTIF($F$19:$F$68,O10)&gt;1,COUNTIF($F$19:$F$68,O10),COUNTIF($J$19:$J$68,"ChoHy")))</f>
        <v/>
      </c>
      <c r="P13" s="16" t="str">
        <f t="shared" si="3"/>
        <v/>
      </c>
      <c r="Q13" s="16" t="str">
        <f t="shared" si="3"/>
        <v/>
      </c>
      <c r="R13" s="16"/>
      <c r="S13" s="191" t="str">
        <f>IF(OR($F$7="",$F$8=""),"",IF($BV$8="T",IF(GW14="X","OK","Not OK"),IF($BV$3="No",IF(GW17&gt;0,"OK","Not OK"),"")))</f>
        <v/>
      </c>
      <c r="T13" s="191" t="str">
        <f>IF(OR($F$7="",$F$8=""),"",IF($BV$8="T",IF(GX14="X","OK","Not OK"),IF($BV$3="No",IF(GX17&gt;0,"OK","Not OK"),"")))</f>
        <v/>
      </c>
      <c r="U13" s="191" t="str">
        <f>IF(OR($F$7="",$F$8=""),"",IF($BV$8="T",IF(GY14="X","OK","Not OK"),IF($BV$3="No",IF(GY17&gt;0,"OK","Not OK"),"")))</f>
        <v/>
      </c>
      <c r="V13" s="191" t="str">
        <f>IF(OR($F$7="",$F$8=""),"",IF($BV$8="T",IF(LEFT(F8,5)="Mixed","",IF(GZ14="X","OK","Not OK")),IF($BV$3="No",IF(GZ17&gt;0,"OK","Not OK"),"")))</f>
        <v/>
      </c>
      <c r="W13" s="191" t="str">
        <f>IF(OR($F$7="",$F$8=""),"",IF($BV$8="T",IF(LEFT(F8,5)="Mixed","",IF(HA14="X","OK","Not OK")),IF($BV$3="No",IF(HA17&gt;0,"OK","Not OK"),"")))</f>
        <v/>
      </c>
      <c r="X13" s="101" t="str">
        <f>IF(OR($F$7="",$F$8=""),"",IF(AND($BV$3="No",X12&lt;&gt;""),IF(HB17&gt;0,"OK","Not OK"),""))</f>
        <v/>
      </c>
      <c r="Y13" s="101" t="str">
        <f>IF($BV$3="Yes",IF(AND(DQ13&gt;0,DQ13&lt;3),"OK","Not OK"),"")</f>
        <v/>
      </c>
      <c r="Z13" s="101" t="str">
        <f>IF($BV$3="Yes",IF(AND(DR13&gt;0,DR13&lt;3),"OK","Not OK"),"")</f>
        <v/>
      </c>
      <c r="AA13" s="101" t="str">
        <f>IF($BV$3="Yes",IF(AND(DS13&gt;0,DS13&lt;3),"OK","Not OK"),"")</f>
        <v/>
      </c>
      <c r="AB13" s="101" t="str">
        <f>IF($BV$3="Yes",IF(AND(DT13&gt;0,DT13&lt;3),"OK","Not OK"),"")</f>
        <v/>
      </c>
      <c r="AF13" s="74"/>
      <c r="AG13" s="74"/>
      <c r="AH13" s="104"/>
      <c r="AI13" s="104"/>
      <c r="AJ13" s="104"/>
      <c r="AK13" s="104"/>
      <c r="AL13" s="104"/>
      <c r="AM13" s="104"/>
      <c r="AN13" s="23" t="s">
        <v>54</v>
      </c>
      <c r="AO13" s="225">
        <f>SUM(AO18:AO68)</f>
        <v>0</v>
      </c>
      <c r="AP13" s="104"/>
      <c r="AQ13" s="104"/>
      <c r="AR13" s="104"/>
      <c r="AS13" s="104"/>
      <c r="AT13" s="104"/>
      <c r="AU13" s="104"/>
      <c r="AV13" s="104"/>
      <c r="AW13" s="104" t="s">
        <v>2453</v>
      </c>
      <c r="AX13" s="108">
        <v>2.8935185185185184E-4</v>
      </c>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10"/>
      <c r="BU13" s="108"/>
      <c r="BV13" s="108" t="e">
        <f>BU14-BV14</f>
        <v>#N/A</v>
      </c>
      <c r="CN13" s="105"/>
      <c r="CO13" s="105"/>
      <c r="CP13" s="105"/>
      <c r="DD13" s="170" t="str">
        <f t="array" ref="DD13">IFERROR(INDEX($DN$19:$DN$68,MATCH(INDEX($DN$19:$DN$68,(SMALL(IF($DN$19:$DN$68&lt;&gt;"",ROW($DN$19:$DN$68)-ROW($DN$19)+1),2))),$DN$19:$DN$68,0),1),"")</f>
        <v/>
      </c>
      <c r="DE13" s="170" t="str">
        <f>IF(COUNTIF($DD$12:$DD$14,DD13)&gt;1,"X","")</f>
        <v>X</v>
      </c>
      <c r="DF13" s="232"/>
      <c r="DG13" s="229" t="str">
        <f t="array" ref="DG13">IFERROR(INDEX(TeamAcro_A_Pos1,MATCH(TRUE,INDEX((TeamAcro_A_Pos1&lt;&gt;""),),0)),"")</f>
        <v/>
      </c>
      <c r="DH13" s="213" t="str">
        <f t="array" ref="DH13">IFERROR(INDEX(TeamAcro_A_Pos2,MATCH(TRUE,INDEX((TeamAcro_A_Pos2&lt;&gt;""),),0)),"")</f>
        <v/>
      </c>
      <c r="DI13" s="170" t="str">
        <f t="array" aca="1" ref="DI13" ca="1">IFERROR(INDEX(TeamAcro_B_Cons,MATCH(TRUE,INDEX((TeamAcro_B_Cons&lt;&gt;""),),0)),"")</f>
        <v/>
      </c>
      <c r="DJ13" s="170" t="str">
        <f t="array" aca="1" ref="DJ13" ca="1">IFERROR(INDEX(TeamAcro_B_Conx,MATCH(TRUE,INDEX((TeamAcro_B_Conx&lt;&gt;""),),0)),"")</f>
        <v/>
      </c>
      <c r="DK13" s="170" t="str">
        <f t="array" aca="1" ref="DK13" ca="1">IFERROR(INDEX(TeamAcro_C_Cons,MATCH(TRUE,INDEX((TeamAcro_C_Cons&lt;&gt;""),),0)),"")</f>
        <v/>
      </c>
      <c r="DL13" s="170" t="str" cm="1">
        <f t="array" aca="1" ref="DL13" ca="1">IFERROR(INDEX(TeamAcro_P_Cons,MATCH(TRUE,INDEX((TeamAcro_P_Cons&lt;&gt;""),),0)),"")</f>
        <v/>
      </c>
      <c r="DM13" s="170" t="str">
        <f t="array" aca="1" ref="DM13" ca="1">IFERROR(INDEX(TeamAcro_P_Conx,MATCH(TRUE,INDEX((TeamAcro_P_Conx&lt;&gt;""),),0)),"")</f>
        <v/>
      </c>
      <c r="DN13" s="170" t="str">
        <f t="array" ref="DN13">IFERROR(INDEX(TeamAcro_P_Pos1,MATCH(TRUE,INDEX((TeamAcro_P_Pos1&lt;&gt;""),),0)),"")</f>
        <v/>
      </c>
      <c r="DO13" s="170" t="str">
        <f t="array" ref="DO13">IFERROR(INDEX(TeamAcro_P_Pos2,MATCH(TRUE,INDEX((TeamAcro_P_Pos2&lt;&gt;""),),0)),"")</f>
        <v/>
      </c>
      <c r="DP13" s="215"/>
      <c r="DQ13" s="170">
        <f>COUNTIF($EF$19:$EF$68,"A")</f>
        <v>0</v>
      </c>
      <c r="DR13" s="170">
        <f>COUNTIF($EF$19:$EF$68,"B")</f>
        <v>0</v>
      </c>
      <c r="DS13" s="170">
        <f>COUNTIF($EF$19:$EF$68,"C")</f>
        <v>0</v>
      </c>
      <c r="DT13" s="170">
        <f>COUNTIF($EF$19:$EF$68,"P")</f>
        <v>0</v>
      </c>
      <c r="DV13" s="170" t="str" cm="1">
        <f t="array" ref="DV13">IFERROR(INDEX(Team_Acro_P_Chk1,MATCH(TRUE,INDEX((Team_Acro_P_Chk1&lt;&gt;""),),0)),"")</f>
        <v/>
      </c>
      <c r="DW13" s="170" t="str" cm="1">
        <f t="array" ref="DW13">IFERROR(INDEX(Team_Acro_P_Chk2,MATCH(TRUE,INDEX((Team_Acro_P_Chk2&lt;&gt;""),),0)),"")</f>
        <v/>
      </c>
      <c r="EI13" s="170" t="str">
        <f>IF(COUNTIF(EI19:EI68,"X"),"Yes","")</f>
        <v/>
      </c>
      <c r="EO13" s="102"/>
      <c r="EP13" s="102"/>
      <c r="EQ13" s="102"/>
      <c r="ER13" s="102"/>
      <c r="ES13" s="102"/>
      <c r="ET13" s="102"/>
      <c r="EU13" s="102"/>
      <c r="EV13" s="102"/>
      <c r="EW13" s="102"/>
      <c r="EX13" s="102"/>
      <c r="EY13" s="102"/>
      <c r="EZ13" s="102"/>
      <c r="FA13" s="102"/>
      <c r="FB13" s="102"/>
      <c r="FC13" s="102"/>
      <c r="FD13" s="102"/>
      <c r="FE13" s="102"/>
      <c r="FF13" s="102"/>
      <c r="FG13" s="102"/>
      <c r="FH13" s="102"/>
      <c r="FI13" s="102"/>
      <c r="FJ13" s="102"/>
      <c r="FK13" s="102"/>
      <c r="FL13" s="102"/>
      <c r="FM13" s="102"/>
      <c r="FN13" s="102"/>
      <c r="FO13" s="102"/>
      <c r="FP13" s="102"/>
      <c r="FQ13" s="102"/>
      <c r="FR13" s="102"/>
      <c r="FS13" s="102"/>
      <c r="FT13" s="102"/>
      <c r="FU13" s="102"/>
      <c r="FV13" s="102"/>
      <c r="FW13" s="102"/>
      <c r="FX13" s="102"/>
      <c r="FY13" s="102"/>
      <c r="FZ13" s="102"/>
      <c r="GA13" s="102"/>
      <c r="GB13" s="102"/>
      <c r="GC13" s="102"/>
      <c r="GD13" s="102"/>
      <c r="GE13" s="102"/>
      <c r="GF13" s="102"/>
      <c r="GG13" s="102"/>
      <c r="GH13" s="102"/>
      <c r="GI13" s="102"/>
      <c r="GJ13" s="102"/>
      <c r="GK13" s="102"/>
      <c r="GL13" s="102"/>
      <c r="GM13" s="102"/>
      <c r="GN13" s="102"/>
      <c r="GO13" s="102"/>
      <c r="GP13" s="102"/>
      <c r="GQ13" s="102"/>
      <c r="GR13" s="102"/>
      <c r="GS13" s="102"/>
      <c r="GT13" s="102"/>
      <c r="GU13" s="102"/>
      <c r="GW13" s="170" t="s">
        <v>1930</v>
      </c>
      <c r="GX13" s="170" t="s">
        <v>1931</v>
      </c>
      <c r="GY13" s="170" t="s">
        <v>1932</v>
      </c>
      <c r="GZ13" s="170" t="s">
        <v>1933</v>
      </c>
      <c r="HA13" s="170" t="s">
        <v>1934</v>
      </c>
      <c r="HK13" s="105" t="s">
        <v>2417</v>
      </c>
    </row>
    <row r="14" spans="1:231" ht="18.75" customHeight="1" thickBot="1" x14ac:dyDescent="0.4">
      <c r="A14" s="18"/>
      <c r="B14" s="24" t="s">
        <v>50</v>
      </c>
      <c r="C14" s="25" t="str">
        <f>IFERROR(MINUTE(INDEX(Data!$F$3:$F$38,MATCH(BU9,Data!$G$3:$G$38,0))),"")</f>
        <v/>
      </c>
      <c r="D14" s="25" t="str">
        <f>IFERROR(SECOND(INDEX(Data!$F$3:$F$38,MATCH(BU9,Data!$G$3:$G$38,0))),"")</f>
        <v/>
      </c>
      <c r="E14" s="25"/>
      <c r="G14" s="181"/>
      <c r="H14" s="270">
        <f>IFERROR(IF(H12-H13=0,0,1),0)</f>
        <v>0</v>
      </c>
      <c r="I14" s="270">
        <f t="shared" ref="I14:Q14" si="4">IFERROR(IF(I12-I13=0,0,1),0)</f>
        <v>0</v>
      </c>
      <c r="J14" s="270">
        <f t="shared" si="4"/>
        <v>0</v>
      </c>
      <c r="K14" s="270">
        <f t="shared" si="4"/>
        <v>0</v>
      </c>
      <c r="L14" s="270">
        <f t="shared" si="4"/>
        <v>0</v>
      </c>
      <c r="M14" s="270">
        <f t="shared" si="4"/>
        <v>0</v>
      </c>
      <c r="N14" s="270">
        <f t="shared" si="4"/>
        <v>0</v>
      </c>
      <c r="O14" s="270">
        <f t="shared" si="4"/>
        <v>0</v>
      </c>
      <c r="P14" s="270">
        <f t="shared" si="4"/>
        <v>0</v>
      </c>
      <c r="Q14" s="270">
        <f t="shared" si="4"/>
        <v>0</v>
      </c>
      <c r="R14" s="209" t="str">
        <f>IF(SUM(H14:Q14)=0,"OK","No")</f>
        <v>OK</v>
      </c>
      <c r="S14" s="19"/>
      <c r="T14" s="19"/>
      <c r="U14" s="19"/>
      <c r="V14" s="19"/>
      <c r="W14" s="186"/>
      <c r="X14" s="187"/>
      <c r="Y14" s="19"/>
      <c r="Z14" s="19"/>
      <c r="AA14" s="55"/>
      <c r="AB14" s="55"/>
      <c r="AC14" s="19"/>
      <c r="AD14" s="19"/>
      <c r="AE14" s="19"/>
      <c r="AF14" s="74"/>
      <c r="AG14" s="74"/>
      <c r="AH14" s="104"/>
      <c r="AI14" s="104"/>
      <c r="AJ14" s="104"/>
      <c r="AK14" s="104"/>
      <c r="AL14" s="104"/>
      <c r="AM14" s="104"/>
      <c r="AN14" s="104"/>
      <c r="AO14" s="104"/>
      <c r="AP14" s="104"/>
      <c r="AQ14" s="104"/>
      <c r="AR14" s="104"/>
      <c r="AS14" s="104"/>
      <c r="AT14" s="104"/>
      <c r="AU14" s="104"/>
      <c r="AV14" s="104"/>
      <c r="AW14" s="104" t="s">
        <v>2454</v>
      </c>
      <c r="AX14" s="108">
        <v>2.4305555555555555E-4</v>
      </c>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6"/>
      <c r="BU14" s="108" t="e">
        <f>IF(BV14=INDEX(Data!$F$3:$F$38,MATCH(BU9,Data!$G$3:$G$38,0)),"X",INDEX(Data!$F$3:$F$38,MATCH(BU9,Data!$G$3:$G$38,0))-BU12)</f>
        <v>#N/A</v>
      </c>
      <c r="BV14" s="107" t="e">
        <f>INDEX($CP$19:$CP$55,MATCH("x",$E$19:$E$55,0))</f>
        <v>#N/A</v>
      </c>
      <c r="BW14" s="111">
        <v>2.488425925925926E-3</v>
      </c>
      <c r="CN14" s="105"/>
      <c r="CO14" s="105"/>
      <c r="CP14" s="105"/>
      <c r="DD14" s="170" t="str">
        <f t="array" ref="DD14">IFERROR(INDEX($DN$19:$DN$68,MATCH(INDEX($DN$19:$DN$68,(SMALL(IF($DN$19:$DN$68&lt;&gt;"",ROW($DN$19:$DN$68)-ROW($DN$19)+1),3))),$DN$19:$DN$68,0),1),"")</f>
        <v/>
      </c>
      <c r="DE14" s="170" t="str">
        <f>IF(COUNTIF($DD$12:$DD$14,DD14)&gt;1,"X","")</f>
        <v>X</v>
      </c>
      <c r="EO14" s="102"/>
      <c r="EP14" s="102"/>
      <c r="EQ14" s="102"/>
      <c r="ER14" s="102"/>
      <c r="ES14" s="102"/>
      <c r="ET14" s="102"/>
      <c r="EU14" s="102"/>
      <c r="EV14" s="102" t="s">
        <v>1925</v>
      </c>
      <c r="EW14" s="102"/>
      <c r="EX14" s="102"/>
      <c r="EY14" s="102"/>
      <c r="EZ14" s="102"/>
      <c r="FA14" s="102"/>
      <c r="FB14" s="102"/>
      <c r="FC14" s="102"/>
      <c r="FD14" s="102"/>
      <c r="FE14" s="102"/>
      <c r="FF14" s="102"/>
      <c r="FG14" s="102"/>
      <c r="FH14" s="102"/>
      <c r="FI14" s="102"/>
      <c r="FJ14" s="102"/>
      <c r="FK14" s="102"/>
      <c r="FL14" s="102"/>
      <c r="FM14" s="102"/>
      <c r="FN14" s="102"/>
      <c r="FO14" s="102"/>
      <c r="FP14" s="102"/>
      <c r="FQ14" s="102"/>
      <c r="FR14" s="102"/>
      <c r="FS14" s="102"/>
      <c r="FT14" s="102"/>
      <c r="FU14" s="102"/>
      <c r="FV14" s="102"/>
      <c r="FW14" s="102"/>
      <c r="FX14" s="102"/>
      <c r="FY14" s="102"/>
      <c r="FZ14" s="102"/>
      <c r="GA14" s="102"/>
      <c r="GB14" s="102"/>
      <c r="GC14" s="102"/>
      <c r="GD14" s="102"/>
      <c r="GE14" s="102"/>
      <c r="GF14" s="102"/>
      <c r="GG14" s="102"/>
      <c r="GH14" s="102"/>
      <c r="GI14" s="102"/>
      <c r="GJ14" s="102"/>
      <c r="GK14" s="102"/>
      <c r="GL14" s="102"/>
      <c r="GM14" s="102"/>
      <c r="GN14" s="102"/>
      <c r="GO14" s="102"/>
      <c r="GP14" s="102"/>
      <c r="GQ14" s="102"/>
      <c r="GR14" s="102"/>
      <c r="GS14" s="102"/>
      <c r="GT14" s="102"/>
      <c r="GU14" s="102"/>
      <c r="GW14" s="170" t="str">
        <f>IF(COUNTIF(TRE_check,RIGHT(GW13,1)),"X","")</f>
        <v/>
      </c>
      <c r="GX14" s="170" t="str">
        <f>IF(COUNTIF(TRE_check,RIGHT(GX13,1)),"X","")</f>
        <v/>
      </c>
      <c r="GY14" s="170" t="str">
        <f>IF(COUNTIF(TRE_check,RIGHT(GY13,1)),"X","")</f>
        <v/>
      </c>
      <c r="GZ14" s="170" t="str">
        <f>IF(COUNTIF(TRE_check,RIGHT(GZ13,1)),"X","")</f>
        <v/>
      </c>
      <c r="HA14" s="170" t="str">
        <f>IF(COUNTIF(TRE_check,RIGHT(HA13,1)),"X","")</f>
        <v/>
      </c>
    </row>
    <row r="15" spans="1:231" ht="15.75" thickBot="1" x14ac:dyDescent="0.3">
      <c r="A15" s="173" t="s">
        <v>7</v>
      </c>
      <c r="B15" s="174"/>
      <c r="C15" s="174"/>
      <c r="D15" s="175"/>
      <c r="E15" s="175"/>
      <c r="F15" s="175"/>
      <c r="G15" s="175"/>
      <c r="H15" s="175"/>
      <c r="I15" s="175"/>
      <c r="J15" s="219"/>
      <c r="K15" s="219"/>
      <c r="L15" s="219"/>
      <c r="M15" s="219"/>
      <c r="N15" s="219"/>
      <c r="O15" s="219"/>
      <c r="P15" s="269" t="str" cm="1">
        <f t="array" aca="1" ref="P15" ca="1">CELL("Address")</f>
        <v>$F$7</v>
      </c>
      <c r="Q15" s="269" t="str" cm="1">
        <f t="array" aca="1" ref="Q15" ca="1">IF(AND(E20&lt;&gt;"PA",LEFT(INDIRECT(CONCATENATE("F",RIGHT(P15,2))),4)="Acro"),"X","")</f>
        <v/>
      </c>
      <c r="R15" s="219"/>
      <c r="S15" s="219"/>
      <c r="T15" s="219"/>
      <c r="U15" s="219"/>
      <c r="V15" s="219"/>
      <c r="W15" s="219"/>
      <c r="X15" s="219"/>
      <c r="Y15" s="219"/>
      <c r="Z15" s="219"/>
      <c r="AA15" s="219"/>
      <c r="AB15" s="219"/>
      <c r="AC15" s="219"/>
      <c r="AD15" s="219"/>
      <c r="AE15" s="219"/>
      <c r="AF15" s="219"/>
      <c r="AG15" s="219"/>
      <c r="AH15" s="219"/>
      <c r="AI15" s="219"/>
      <c r="AJ15" s="219"/>
      <c r="AK15" s="219"/>
      <c r="AL15" s="219"/>
      <c r="AM15" s="219"/>
      <c r="AN15" s="175"/>
      <c r="AO15" s="176"/>
      <c r="AP15" s="74"/>
      <c r="AQ15" s="74"/>
      <c r="AR15" s="104"/>
      <c r="AS15" s="104"/>
      <c r="AT15" s="104"/>
      <c r="AU15" s="104"/>
      <c r="AV15" s="104"/>
      <c r="AW15" s="104" t="s">
        <v>2455</v>
      </c>
      <c r="AX15" s="108">
        <v>2.4305555555555555E-4</v>
      </c>
      <c r="AY15" s="104"/>
      <c r="AZ15" s="104"/>
      <c r="BA15" s="104"/>
      <c r="BB15" s="104"/>
      <c r="BC15" s="104"/>
      <c r="BD15" s="104"/>
      <c r="BE15" s="104"/>
      <c r="BF15" s="104"/>
      <c r="BG15" s="104"/>
      <c r="BH15" s="104"/>
      <c r="BI15" s="104"/>
      <c r="BJ15" s="104"/>
      <c r="BK15" s="104"/>
      <c r="BL15" s="104"/>
      <c r="BM15" s="104"/>
      <c r="BN15" s="104"/>
      <c r="BO15" s="104"/>
      <c r="BP15" s="104"/>
      <c r="BQ15" s="104"/>
      <c r="BR15" s="104"/>
      <c r="BS15" s="104"/>
      <c r="BT15" s="104"/>
      <c r="BU15" s="104"/>
      <c r="BV15" s="104"/>
      <c r="BW15" s="104"/>
      <c r="BX15" s="104"/>
      <c r="BY15" s="104"/>
      <c r="BZ15" s="104"/>
      <c r="CA15" s="104"/>
      <c r="CB15" s="104"/>
      <c r="CC15" s="104"/>
      <c r="CD15" s="104"/>
      <c r="CE15" s="104"/>
      <c r="CF15" s="104"/>
      <c r="CG15" s="104"/>
      <c r="CH15" s="104"/>
      <c r="CI15" s="104"/>
      <c r="CJ15" s="104"/>
      <c r="CK15" s="104"/>
      <c r="CL15" s="104"/>
      <c r="CM15" s="104"/>
      <c r="CN15" s="112"/>
      <c r="CO15" s="105" t="str">
        <f>IFERROR(INDEX(Data!T3:T38,MATCH(BU9,Data!G3:G38,0)),"")</f>
        <v/>
      </c>
      <c r="CP15" s="105" t="str">
        <f>IFERROR(INDEX(Data!U3:U38,MATCH(BU9,Data!G3:G38,0)),"")</f>
        <v/>
      </c>
      <c r="CQ15" s="111">
        <v>2.372685185185075E-3</v>
      </c>
      <c r="CR15" s="105"/>
      <c r="CS15" s="105"/>
      <c r="CT15" s="105"/>
      <c r="CU15" s="105"/>
      <c r="CV15" s="105"/>
      <c r="CW15" s="105"/>
      <c r="CX15" s="105"/>
      <c r="CY15" s="105"/>
      <c r="CZ15" s="105"/>
      <c r="DN15" s="170" t="str">
        <f>IF(OR(DD12=DD13,DD12=DD14,DD13=DD14),"Yes","No")</f>
        <v>Yes</v>
      </c>
      <c r="DO15" s="170" t="str">
        <f>INDEX($DD$12:$DD$14,MATCH("X",$DE$12:$DE$14,0))</f>
        <v/>
      </c>
      <c r="DQ15" s="127"/>
      <c r="EI15" s="170" t="str">
        <f ca="1">IFERROR(OFFSET(EI20,MATCH("X",EI20:EI68,0),0),"")</f>
        <v/>
      </c>
      <c r="EO15" s="102"/>
      <c r="EP15" s="102"/>
      <c r="EQ15" s="102"/>
      <c r="ER15" s="102"/>
      <c r="ES15" s="102"/>
      <c r="ET15" s="102"/>
      <c r="EU15" s="102"/>
      <c r="EV15" s="102"/>
      <c r="EW15" s="102"/>
      <c r="EX15" s="102"/>
      <c r="EY15" s="102"/>
      <c r="EZ15" s="102"/>
      <c r="FA15" s="102"/>
      <c r="FB15" s="102"/>
      <c r="FC15" s="102"/>
      <c r="FD15" s="102"/>
      <c r="FE15" s="102"/>
      <c r="FF15" s="102"/>
      <c r="FG15" s="102"/>
      <c r="FH15" s="102"/>
      <c r="FI15" s="102"/>
      <c r="FJ15" s="102"/>
      <c r="FK15" s="102"/>
      <c r="FL15" s="102"/>
      <c r="FM15" s="102"/>
      <c r="FN15" s="102"/>
      <c r="FO15" s="102"/>
      <c r="FP15" s="102"/>
      <c r="FQ15" s="170" t="str">
        <f ca="1">IF(OR(COUNTBLANK(FQ19:FQ68)&lt;50,COUNTBLANK(FP19:FP68)&lt;50),"Yes","")</f>
        <v/>
      </c>
      <c r="FR15" s="102"/>
      <c r="FS15" s="102"/>
      <c r="FT15" s="102"/>
      <c r="FU15" s="102"/>
      <c r="FV15" s="102"/>
      <c r="FW15" s="102"/>
      <c r="FX15" s="102"/>
      <c r="FY15" s="102"/>
      <c r="FZ15" s="102"/>
      <c r="GA15" s="102"/>
      <c r="GB15" s="102"/>
      <c r="GC15" s="102"/>
      <c r="GD15" s="102"/>
      <c r="GE15" s="102"/>
      <c r="GF15" s="102"/>
      <c r="GG15" s="102"/>
      <c r="GH15" s="102"/>
      <c r="GI15" s="102"/>
      <c r="GJ15" s="102"/>
      <c r="GK15" s="102"/>
      <c r="GL15" s="102"/>
      <c r="GM15" s="102"/>
      <c r="GN15" s="102"/>
      <c r="GO15" s="102"/>
      <c r="GP15" s="102"/>
      <c r="GQ15" s="102"/>
      <c r="GR15" s="102"/>
      <c r="GS15" s="102"/>
      <c r="GT15" s="102"/>
      <c r="GU15" s="102"/>
      <c r="GV15" s="102"/>
      <c r="GW15" s="127" t="s">
        <v>1924</v>
      </c>
      <c r="GX15" s="102"/>
      <c r="GY15" s="170" t="str">
        <f>IF(COUNTIF(GW17:HB17,0),"No","Yes")</f>
        <v>No</v>
      </c>
      <c r="GZ15" s="102"/>
      <c r="HA15" s="102"/>
      <c r="HB15" s="102"/>
      <c r="HC15" s="102"/>
      <c r="HD15" s="102"/>
      <c r="HE15" s="102"/>
      <c r="HF15" s="105"/>
      <c r="HG15" s="105"/>
      <c r="HH15" s="105"/>
      <c r="HI15" s="105"/>
    </row>
    <row r="16" spans="1:231" ht="15" customHeight="1" x14ac:dyDescent="0.25">
      <c r="A16" s="26"/>
      <c r="C16" s="169"/>
      <c r="D16" s="169"/>
      <c r="E16" s="169"/>
      <c r="F16" s="169"/>
      <c r="G16" s="27"/>
      <c r="H16" s="293" t="s">
        <v>1633</v>
      </c>
      <c r="I16" s="294"/>
      <c r="J16" s="220"/>
      <c r="K16" s="217" t="s">
        <v>1943</v>
      </c>
      <c r="L16" s="217"/>
      <c r="M16" s="217"/>
      <c r="N16" s="217"/>
      <c r="O16" s="217"/>
      <c r="P16" s="217"/>
      <c r="Q16" s="221"/>
      <c r="R16" s="217" t="s">
        <v>1944</v>
      </c>
      <c r="S16" s="217"/>
      <c r="T16" s="217"/>
      <c r="U16" s="217"/>
      <c r="V16" s="217"/>
      <c r="W16" s="263"/>
      <c r="X16" s="217" t="s">
        <v>2268</v>
      </c>
      <c r="Y16" s="217"/>
      <c r="Z16" s="217"/>
      <c r="AA16" s="217"/>
      <c r="AB16" s="217"/>
      <c r="AC16" s="217"/>
      <c r="AD16" s="217"/>
      <c r="AE16" s="217"/>
      <c r="AF16" s="217"/>
      <c r="AG16" s="217"/>
      <c r="AH16" s="217"/>
      <c r="AI16" s="217"/>
      <c r="AJ16" s="217"/>
      <c r="AK16" s="261" t="s">
        <v>2319</v>
      </c>
      <c r="AL16" s="262"/>
      <c r="AM16" s="218"/>
      <c r="AN16" s="291" t="str">
        <f>IF($BV$5="OK","HYBRID BONUS","")</f>
        <v/>
      </c>
      <c r="AO16" s="28" t="s">
        <v>52</v>
      </c>
      <c r="AP16" s="74"/>
      <c r="AQ16" s="74"/>
      <c r="AR16" s="104"/>
      <c r="AS16" s="104"/>
      <c r="AT16" s="104"/>
      <c r="AU16" s="104"/>
      <c r="AV16" s="104"/>
      <c r="AW16" s="313" t="s">
        <v>2440</v>
      </c>
      <c r="AX16" s="314"/>
      <c r="AY16" s="314"/>
      <c r="AZ16" s="314"/>
      <c r="BA16" s="315"/>
      <c r="BB16" s="104"/>
      <c r="BC16" s="104"/>
      <c r="BD16" s="104"/>
      <c r="BE16" s="104"/>
      <c r="BF16" s="104"/>
      <c r="BG16" s="104"/>
      <c r="BH16" s="104"/>
      <c r="BI16" s="104" t="s">
        <v>1713</v>
      </c>
      <c r="BJ16" s="104" t="s">
        <v>1714</v>
      </c>
      <c r="BK16" s="104" t="s">
        <v>1715</v>
      </c>
      <c r="BL16" s="104" t="s">
        <v>1716</v>
      </c>
      <c r="BM16" s="104" t="s">
        <v>1717</v>
      </c>
      <c r="BN16" s="104" t="s">
        <v>1718</v>
      </c>
      <c r="BO16" s="104" t="s">
        <v>1719</v>
      </c>
      <c r="BP16" s="104" t="s">
        <v>1720</v>
      </c>
      <c r="BQ16" s="104" t="s">
        <v>1720</v>
      </c>
      <c r="BR16" s="104"/>
      <c r="BS16" s="104"/>
      <c r="BT16" s="104"/>
      <c r="BU16" s="104"/>
      <c r="BV16" s="104"/>
      <c r="BW16" s="104"/>
      <c r="BX16" s="104"/>
      <c r="BY16" s="104"/>
      <c r="BZ16" s="104"/>
      <c r="CA16" s="104"/>
      <c r="CB16" s="104"/>
      <c r="CC16" s="104"/>
      <c r="CD16" s="104"/>
      <c r="CE16" s="104"/>
      <c r="CF16" s="104"/>
      <c r="CG16" s="104"/>
      <c r="CH16" s="104"/>
      <c r="CI16" s="104"/>
      <c r="CJ16" s="104"/>
      <c r="CK16" s="104"/>
      <c r="CL16" s="104"/>
      <c r="CM16" s="104"/>
      <c r="CN16" s="113"/>
      <c r="CO16" s="105"/>
      <c r="CP16" s="105"/>
      <c r="CQ16" s="105"/>
      <c r="CR16" s="105"/>
      <c r="CS16" s="105"/>
      <c r="CT16" s="105"/>
      <c r="CU16" s="105"/>
      <c r="CV16" s="105"/>
      <c r="CW16" s="105"/>
      <c r="CX16" s="105"/>
      <c r="CY16" s="105"/>
      <c r="CZ16" s="105"/>
      <c r="DQ16" s="288" t="s">
        <v>1936</v>
      </c>
      <c r="DR16" s="297"/>
      <c r="DS16" s="297"/>
      <c r="DT16" s="297"/>
      <c r="DU16" s="297"/>
      <c r="DV16" s="297"/>
      <c r="DW16" s="297"/>
      <c r="DX16" s="297"/>
      <c r="DY16" s="297"/>
      <c r="DZ16" s="297"/>
      <c r="EA16" s="297"/>
      <c r="EB16" s="297"/>
      <c r="EC16" s="297"/>
      <c r="ED16" s="297"/>
      <c r="EE16" s="289"/>
      <c r="EO16" s="102"/>
      <c r="EP16" s="102"/>
      <c r="EQ16" s="102"/>
      <c r="ER16" s="102"/>
      <c r="ES16" s="102"/>
      <c r="ET16" s="102"/>
      <c r="EU16" s="102"/>
      <c r="EV16" s="102"/>
      <c r="EW16" s="102"/>
      <c r="EX16" s="102"/>
      <c r="EY16" s="102"/>
      <c r="EZ16" s="102"/>
      <c r="FA16" s="102"/>
      <c r="FB16" s="102"/>
      <c r="FC16" s="102"/>
      <c r="FD16" s="102"/>
      <c r="FE16" s="102"/>
      <c r="FF16" s="102"/>
      <c r="FG16" s="102"/>
      <c r="FH16" s="102"/>
      <c r="FI16" s="102"/>
      <c r="FJ16" s="102"/>
      <c r="FK16" s="102"/>
      <c r="FL16" s="102"/>
      <c r="FM16" s="102"/>
      <c r="FN16" s="102"/>
      <c r="FO16" s="102"/>
      <c r="FP16" s="102"/>
      <c r="FQ16" s="102"/>
      <c r="FR16" s="102"/>
      <c r="FS16" s="102"/>
      <c r="FT16" s="102"/>
      <c r="FU16" s="102"/>
      <c r="FV16" s="102"/>
      <c r="FW16" s="102"/>
      <c r="FX16" s="102"/>
      <c r="FY16" s="102"/>
      <c r="FZ16" s="102"/>
      <c r="GA16" s="102"/>
      <c r="GB16" s="102"/>
      <c r="GC16" s="102"/>
      <c r="GD16" s="102"/>
      <c r="GE16" s="102"/>
      <c r="GF16" s="102"/>
      <c r="GG16" s="102"/>
      <c r="GH16" s="102"/>
      <c r="GI16" s="102"/>
      <c r="GJ16" s="102"/>
      <c r="GK16" s="102"/>
      <c r="GL16" s="102"/>
      <c r="GM16" s="102"/>
      <c r="GN16" s="102"/>
      <c r="GO16" s="102"/>
      <c r="GP16" s="102"/>
      <c r="GQ16" s="102"/>
      <c r="GR16" s="102"/>
      <c r="GS16" s="102"/>
      <c r="GT16" s="102"/>
      <c r="GU16" s="102"/>
      <c r="GV16" s="102"/>
      <c r="GW16" s="288" t="s">
        <v>1923</v>
      </c>
      <c r="GX16" s="297"/>
      <c r="GY16" s="297"/>
      <c r="GZ16" s="297"/>
      <c r="HA16" s="297"/>
      <c r="HB16" s="289"/>
      <c r="HC16" s="102"/>
      <c r="HD16" s="170" t="s">
        <v>2015</v>
      </c>
      <c r="HE16" s="102"/>
      <c r="HF16" s="105"/>
      <c r="HG16" s="105"/>
      <c r="HH16" s="105"/>
      <c r="HI16" s="105"/>
    </row>
    <row r="17" spans="1:222" ht="25.5" customHeight="1" thickBot="1" x14ac:dyDescent="0.3">
      <c r="A17" s="321" t="s">
        <v>36</v>
      </c>
      <c r="B17" s="322"/>
      <c r="C17" s="325" t="s">
        <v>37</v>
      </c>
      <c r="D17" s="325"/>
      <c r="E17" s="30" t="s">
        <v>568</v>
      </c>
      <c r="F17" s="29" t="s">
        <v>40</v>
      </c>
      <c r="G17" s="31" t="s">
        <v>51</v>
      </c>
      <c r="H17" s="295"/>
      <c r="I17" s="296"/>
      <c r="J17" s="236" t="s">
        <v>55</v>
      </c>
      <c r="K17" s="237"/>
      <c r="L17" s="237"/>
      <c r="M17" s="237"/>
      <c r="N17" s="237"/>
      <c r="O17" s="237"/>
      <c r="P17" s="237"/>
      <c r="Q17" s="237"/>
      <c r="R17" s="237"/>
      <c r="S17" s="237"/>
      <c r="T17" s="237"/>
      <c r="U17" s="237"/>
      <c r="V17" s="237"/>
      <c r="W17" s="237"/>
      <c r="X17" s="237"/>
      <c r="Y17" s="237"/>
      <c r="Z17" s="237"/>
      <c r="AA17" s="237"/>
      <c r="AB17" s="237"/>
      <c r="AC17" s="237"/>
      <c r="AD17" s="237"/>
      <c r="AE17" s="237"/>
      <c r="AF17" s="237"/>
      <c r="AG17" s="237"/>
      <c r="AH17" s="237"/>
      <c r="AI17" s="237"/>
      <c r="AJ17" s="237"/>
      <c r="AK17" s="237"/>
      <c r="AL17" s="237"/>
      <c r="AM17" s="238"/>
      <c r="AN17" s="292"/>
      <c r="AO17" s="32" t="s">
        <v>53</v>
      </c>
      <c r="AP17" s="74"/>
      <c r="AQ17" s="74"/>
      <c r="AR17" s="104"/>
      <c r="AS17" s="104"/>
      <c r="AT17" s="104"/>
      <c r="AU17" s="104"/>
      <c r="AV17" s="104"/>
      <c r="AW17" s="278" t="s">
        <v>2441</v>
      </c>
      <c r="AX17" s="279">
        <f>IFERROR(IF(LEFT($F$7,2)="Ju",AX13,IF(LEFT($F$7,2)="Yo",AX14,IF(LEFT($F$7,2)="12",AX15,0))),"")</f>
        <v>0</v>
      </c>
      <c r="AY17" s="104"/>
      <c r="AZ17" s="104"/>
      <c r="BA17" s="280">
        <f>COUNTIF(BA19:BA58,"=X")</f>
        <v>0</v>
      </c>
      <c r="BB17" s="104"/>
      <c r="BC17" s="104"/>
      <c r="BD17" s="104"/>
      <c r="BE17" s="104"/>
      <c r="BF17" s="104"/>
      <c r="BG17" s="214" t="s">
        <v>1929</v>
      </c>
      <c r="BH17" s="104"/>
      <c r="BI17" s="311" t="s">
        <v>1712</v>
      </c>
      <c r="BJ17" s="312"/>
      <c r="BK17" s="312"/>
      <c r="BL17" s="312"/>
      <c r="BM17" s="312"/>
      <c r="BN17" s="312"/>
      <c r="BO17" s="312"/>
      <c r="BP17" s="312"/>
      <c r="BQ17" s="312"/>
      <c r="BR17" s="312"/>
      <c r="BS17" s="312"/>
      <c r="BT17" s="312"/>
      <c r="BU17" s="312"/>
      <c r="BV17" s="312"/>
      <c r="BW17" s="312"/>
      <c r="BX17" s="312"/>
      <c r="BY17" s="312"/>
      <c r="BZ17" s="312"/>
      <c r="CA17" s="312"/>
      <c r="CB17" s="312"/>
      <c r="CC17" s="312"/>
      <c r="CD17" s="312"/>
      <c r="CE17" s="312"/>
      <c r="CF17" s="312"/>
      <c r="CG17" s="312"/>
      <c r="CH17" s="312"/>
      <c r="CI17" s="312"/>
      <c r="CJ17" s="312"/>
      <c r="CK17" s="312"/>
      <c r="CL17" s="312"/>
      <c r="CM17" s="104"/>
      <c r="CN17" s="113"/>
      <c r="CO17" s="105"/>
      <c r="CP17" s="108">
        <f>MAX(CP19:CP68)</f>
        <v>0</v>
      </c>
      <c r="CQ17" s="105" t="str">
        <f>IF(CP17&gt;D12,"Y","N")</f>
        <v>N</v>
      </c>
      <c r="CT17" s="180" t="s">
        <v>1722</v>
      </c>
      <c r="CU17" s="288" t="s">
        <v>1733</v>
      </c>
      <c r="CV17" s="297"/>
      <c r="CW17" s="297"/>
      <c r="CX17" s="297"/>
      <c r="CY17" s="297"/>
      <c r="CZ17" s="297"/>
      <c r="DA17" s="297"/>
      <c r="DB17" s="297"/>
      <c r="DC17" s="289"/>
      <c r="DD17" s="288" t="s">
        <v>1768</v>
      </c>
      <c r="DE17" s="297"/>
      <c r="DF17" s="297"/>
      <c r="DG17" s="297"/>
      <c r="DH17" s="297"/>
      <c r="DI17" s="297"/>
      <c r="DJ17" s="297"/>
      <c r="DK17" s="298" t="s">
        <v>1875</v>
      </c>
      <c r="DL17" s="299"/>
      <c r="DM17" s="300"/>
      <c r="DN17" s="182" t="s">
        <v>1777</v>
      </c>
      <c r="DQ17" s="284" t="s">
        <v>1937</v>
      </c>
      <c r="DR17" s="284"/>
      <c r="DS17" s="284" t="s">
        <v>1938</v>
      </c>
      <c r="DT17" s="284"/>
      <c r="DU17" s="228" t="s">
        <v>1939</v>
      </c>
      <c r="DV17" s="285" t="s">
        <v>1940</v>
      </c>
      <c r="DW17" s="286"/>
      <c r="DX17" s="286"/>
      <c r="DY17" s="287"/>
      <c r="DZ17" s="285" t="s">
        <v>2414</v>
      </c>
      <c r="EA17" s="287"/>
      <c r="EB17" s="288" t="s">
        <v>1940</v>
      </c>
      <c r="EC17" s="297"/>
      <c r="ED17" s="297"/>
      <c r="EE17" s="289"/>
      <c r="EF17" s="304" t="s">
        <v>1961</v>
      </c>
      <c r="EG17" s="304"/>
      <c r="EH17" s="188"/>
      <c r="EI17" s="188" t="s">
        <v>1857</v>
      </c>
      <c r="EK17" s="102" t="s">
        <v>1770</v>
      </c>
      <c r="EO17" s="102"/>
      <c r="EP17" s="102"/>
      <c r="EQ17" s="102"/>
      <c r="ER17" s="102"/>
      <c r="ES17" s="102"/>
      <c r="ET17" s="102"/>
      <c r="EU17" s="102"/>
      <c r="EV17" s="102"/>
      <c r="EW17" s="102"/>
      <c r="EX17" s="102"/>
      <c r="EY17" s="102"/>
      <c r="EZ17" s="102"/>
      <c r="FA17" s="102"/>
      <c r="FB17" s="102"/>
      <c r="FC17" s="102"/>
      <c r="FD17" s="102"/>
      <c r="FE17" s="102"/>
      <c r="FF17" s="102"/>
      <c r="FG17" s="102"/>
      <c r="FH17" s="102"/>
      <c r="FI17" s="102"/>
      <c r="FJ17" s="102"/>
      <c r="FK17" s="102"/>
      <c r="FL17" s="102"/>
      <c r="FM17" s="102"/>
      <c r="FN17" s="102"/>
      <c r="FO17" s="102"/>
      <c r="FP17" s="102"/>
      <c r="FQ17" s="188" t="s">
        <v>1856</v>
      </c>
      <c r="FR17" s="102"/>
      <c r="FS17" s="102"/>
      <c r="FT17" s="102"/>
      <c r="FU17" s="102"/>
      <c r="FV17" s="102"/>
      <c r="FW17" s="102"/>
      <c r="FX17" s="102"/>
      <c r="FY17" s="102"/>
      <c r="FZ17" s="102"/>
      <c r="GA17" s="102"/>
      <c r="GB17" s="102"/>
      <c r="GC17" s="102"/>
      <c r="GD17" s="102"/>
      <c r="GE17" s="102"/>
      <c r="GF17" s="102"/>
      <c r="GG17" s="102"/>
      <c r="GH17" s="102"/>
      <c r="GI17" s="102"/>
      <c r="GJ17" s="102"/>
      <c r="GK17" s="102"/>
      <c r="GL17" s="102"/>
      <c r="GM17" s="102"/>
      <c r="GN17" s="102"/>
      <c r="GO17" s="102"/>
      <c r="GP17" s="102"/>
      <c r="GQ17" s="102"/>
      <c r="GR17" s="102"/>
      <c r="GS17" s="102"/>
      <c r="GT17" s="102"/>
      <c r="GU17" s="102"/>
      <c r="GV17" s="102"/>
      <c r="GW17" s="170">
        <f>SUM(GW19:GW68)</f>
        <v>0</v>
      </c>
      <c r="GX17" s="170">
        <f t="shared" ref="GX17:HA17" si="5">SUM(GX19:GX68)</f>
        <v>0</v>
      </c>
      <c r="GY17" s="170">
        <f>SUM(GY19:GY68)</f>
        <v>0</v>
      </c>
      <c r="GZ17" s="170">
        <f t="shared" si="5"/>
        <v>0</v>
      </c>
      <c r="HA17" s="170">
        <f t="shared" si="5"/>
        <v>0</v>
      </c>
      <c r="HB17" s="170">
        <f>IF(BV4="Yes","",SUM(HB19:HB68))</f>
        <v>0</v>
      </c>
      <c r="HC17" s="102"/>
      <c r="HD17" s="102"/>
      <c r="HE17" s="102"/>
      <c r="HF17" s="105"/>
      <c r="HG17" s="108">
        <v>2.3148148148148146E-4</v>
      </c>
      <c r="HH17" s="108"/>
      <c r="HI17" s="180" t="s">
        <v>1277</v>
      </c>
    </row>
    <row r="18" spans="1:222" x14ac:dyDescent="0.25">
      <c r="A18" s="26" t="s">
        <v>38</v>
      </c>
      <c r="B18" s="16" t="s">
        <v>39</v>
      </c>
      <c r="C18" s="16" t="s">
        <v>38</v>
      </c>
      <c r="D18" s="16" t="s">
        <v>39</v>
      </c>
      <c r="E18" s="33"/>
      <c r="F18" s="33"/>
      <c r="G18" s="34"/>
      <c r="H18" s="35"/>
      <c r="I18" s="36"/>
      <c r="J18" s="125" t="s">
        <v>1723</v>
      </c>
      <c r="K18" s="125" t="s">
        <v>1767</v>
      </c>
      <c r="L18" s="125" t="s">
        <v>1926</v>
      </c>
      <c r="M18" s="125" t="s">
        <v>1726</v>
      </c>
      <c r="N18" s="125" t="s">
        <v>1727</v>
      </c>
      <c r="O18" s="125" t="s">
        <v>1728</v>
      </c>
      <c r="P18" s="125" t="s">
        <v>1729</v>
      </c>
      <c r="Q18" s="125" t="s">
        <v>1927</v>
      </c>
      <c r="R18" s="125" t="s">
        <v>1928</v>
      </c>
      <c r="S18" s="125"/>
      <c r="T18" s="125"/>
      <c r="U18" s="125"/>
      <c r="V18" s="125"/>
      <c r="W18" s="125"/>
      <c r="X18" s="125"/>
      <c r="Y18" s="125"/>
      <c r="Z18" s="125"/>
      <c r="AA18" s="125"/>
      <c r="AB18" s="125"/>
      <c r="AC18" s="125"/>
      <c r="AD18" s="125"/>
      <c r="AE18" s="125"/>
      <c r="AF18" s="125"/>
      <c r="AG18" s="125"/>
      <c r="AH18" s="125"/>
      <c r="AI18" s="125"/>
      <c r="AJ18" s="125"/>
      <c r="AK18" s="125"/>
      <c r="AL18" s="125"/>
      <c r="AM18" s="125"/>
      <c r="AN18" s="178"/>
      <c r="AO18" s="38"/>
      <c r="AP18" s="74"/>
      <c r="AQ18" s="74"/>
      <c r="AR18" s="104"/>
      <c r="AS18" s="104"/>
      <c r="AT18" s="104"/>
      <c r="AU18" s="104"/>
      <c r="AV18" s="104"/>
      <c r="AW18" s="180" t="s">
        <v>2442</v>
      </c>
      <c r="AX18" s="180" t="s">
        <v>2443</v>
      </c>
      <c r="AY18" s="277" t="s">
        <v>2444</v>
      </c>
      <c r="AZ18" s="277" t="s">
        <v>49</v>
      </c>
      <c r="BA18" s="277" t="s">
        <v>2445</v>
      </c>
      <c r="BB18" s="104"/>
      <c r="BC18" s="104"/>
      <c r="BD18" s="104"/>
      <c r="BE18" s="104"/>
      <c r="BF18" s="104"/>
      <c r="BG18" s="104"/>
      <c r="BH18" s="104"/>
      <c r="BI18" s="171">
        <v>1</v>
      </c>
      <c r="BJ18" s="171">
        <v>2</v>
      </c>
      <c r="BK18" s="171">
        <v>3</v>
      </c>
      <c r="BL18" s="171">
        <v>4</v>
      </c>
      <c r="BM18" s="171">
        <v>5</v>
      </c>
      <c r="BN18" s="171">
        <v>6</v>
      </c>
      <c r="BO18" s="171">
        <v>7</v>
      </c>
      <c r="BP18" s="171">
        <v>8</v>
      </c>
      <c r="BQ18" s="171">
        <v>9</v>
      </c>
      <c r="BR18" s="171">
        <v>10</v>
      </c>
      <c r="BS18" s="171">
        <v>11</v>
      </c>
      <c r="BT18" s="171">
        <v>12</v>
      </c>
      <c r="BU18" s="171">
        <v>13</v>
      </c>
      <c r="BV18" s="171">
        <v>14</v>
      </c>
      <c r="BW18" s="171">
        <v>15</v>
      </c>
      <c r="BX18" s="171">
        <v>16</v>
      </c>
      <c r="BY18" s="171">
        <v>17</v>
      </c>
      <c r="BZ18" s="171">
        <v>18</v>
      </c>
      <c r="CA18" s="171">
        <v>19</v>
      </c>
      <c r="CB18" s="171">
        <v>20</v>
      </c>
      <c r="CC18" s="171">
        <v>21</v>
      </c>
      <c r="CD18" s="171">
        <v>22</v>
      </c>
      <c r="CE18" s="171">
        <v>23</v>
      </c>
      <c r="CF18" s="171">
        <v>24</v>
      </c>
      <c r="CG18" s="171">
        <v>25</v>
      </c>
      <c r="CH18" s="171">
        <v>26</v>
      </c>
      <c r="CI18" s="171">
        <v>27</v>
      </c>
      <c r="CJ18" s="171">
        <v>28</v>
      </c>
      <c r="CK18" s="171">
        <v>29</v>
      </c>
      <c r="CL18" s="171">
        <v>30</v>
      </c>
      <c r="CM18" s="104"/>
      <c r="CN18" s="104"/>
      <c r="CO18" s="105"/>
      <c r="CP18" s="108">
        <v>0</v>
      </c>
      <c r="CQ18" s="108"/>
      <c r="CR18" s="102" t="e">
        <f>CQ18/CP17</f>
        <v>#DIV/0!</v>
      </c>
      <c r="CT18" s="102" t="s">
        <v>1732</v>
      </c>
      <c r="CU18" s="102" t="s">
        <v>1723</v>
      </c>
      <c r="CV18" s="102" t="s">
        <v>1724</v>
      </c>
      <c r="CW18" s="102" t="s">
        <v>1725</v>
      </c>
      <c r="CX18" s="102" t="s">
        <v>1726</v>
      </c>
      <c r="CY18" s="102" t="s">
        <v>1727</v>
      </c>
      <c r="CZ18" s="102" t="s">
        <v>1728</v>
      </c>
      <c r="DA18" s="102" t="s">
        <v>1729</v>
      </c>
      <c r="DB18" s="102" t="s">
        <v>1730</v>
      </c>
      <c r="DC18" s="102" t="s">
        <v>1731</v>
      </c>
      <c r="DD18" s="102" t="s">
        <v>1723</v>
      </c>
      <c r="DE18" s="102" t="s">
        <v>1724</v>
      </c>
      <c r="DF18" s="102" t="s">
        <v>1725</v>
      </c>
      <c r="DG18" s="102" t="s">
        <v>1726</v>
      </c>
      <c r="DH18" s="102" t="s">
        <v>1727</v>
      </c>
      <c r="DI18" s="102" t="s">
        <v>1728</v>
      </c>
      <c r="DJ18" s="102" t="s">
        <v>1729</v>
      </c>
      <c r="DK18" s="102" t="s">
        <v>1730</v>
      </c>
      <c r="DL18" s="102" t="s">
        <v>1731</v>
      </c>
      <c r="DQ18" s="170" t="s">
        <v>1726</v>
      </c>
      <c r="DR18" s="170" t="s">
        <v>1727</v>
      </c>
      <c r="DS18" s="170" t="s">
        <v>1723</v>
      </c>
      <c r="DT18" s="170" t="s">
        <v>1724</v>
      </c>
      <c r="DU18" s="170" t="s">
        <v>1723</v>
      </c>
      <c r="DV18" s="170" t="s">
        <v>1723</v>
      </c>
      <c r="DW18" s="170" t="s">
        <v>1724</v>
      </c>
      <c r="DX18" s="170" t="s">
        <v>1726</v>
      </c>
      <c r="DY18" s="170" t="s">
        <v>1727</v>
      </c>
      <c r="DZ18" s="170" t="s">
        <v>1942</v>
      </c>
      <c r="EA18" s="170" t="s">
        <v>1941</v>
      </c>
      <c r="EB18" s="228" t="s">
        <v>1927</v>
      </c>
      <c r="EC18" s="228" t="s">
        <v>1928</v>
      </c>
      <c r="ED18" s="170" t="s">
        <v>2437</v>
      </c>
      <c r="EE18" s="170" t="s">
        <v>2438</v>
      </c>
      <c r="EF18" s="228" t="s">
        <v>1962</v>
      </c>
      <c r="EG18" s="170" t="s">
        <v>1964</v>
      </c>
      <c r="EI18" s="102" t="s">
        <v>1935</v>
      </c>
      <c r="EK18" s="102">
        <v>1</v>
      </c>
      <c r="EL18" s="102">
        <v>2</v>
      </c>
      <c r="EM18" s="102">
        <v>3</v>
      </c>
      <c r="EN18" s="102">
        <v>4</v>
      </c>
      <c r="EO18" s="102">
        <v>5</v>
      </c>
      <c r="EP18" s="102">
        <v>6</v>
      </c>
      <c r="EQ18" s="102">
        <v>7</v>
      </c>
      <c r="ER18" s="102">
        <v>8</v>
      </c>
      <c r="ES18" s="102">
        <v>9</v>
      </c>
      <c r="ET18" s="102">
        <v>10</v>
      </c>
      <c r="EU18" s="102">
        <v>11</v>
      </c>
      <c r="EV18" s="102">
        <v>12</v>
      </c>
      <c r="EW18" s="102">
        <v>13</v>
      </c>
      <c r="EX18" s="102">
        <v>14</v>
      </c>
      <c r="EY18" s="102">
        <v>15</v>
      </c>
      <c r="EZ18" s="102">
        <v>16</v>
      </c>
      <c r="FA18" s="102">
        <v>17</v>
      </c>
      <c r="FB18" s="102">
        <v>18</v>
      </c>
      <c r="FC18" s="102">
        <v>19</v>
      </c>
      <c r="FD18" s="102">
        <v>20</v>
      </c>
      <c r="FE18" s="102">
        <v>21</v>
      </c>
      <c r="FF18" s="102">
        <v>22</v>
      </c>
      <c r="FG18" s="102">
        <v>23</v>
      </c>
      <c r="FH18" s="102">
        <v>24</v>
      </c>
      <c r="FI18" s="102">
        <v>25</v>
      </c>
      <c r="FJ18" s="102">
        <v>26</v>
      </c>
      <c r="FK18" s="102">
        <v>27</v>
      </c>
      <c r="FL18" s="102">
        <v>28</v>
      </c>
      <c r="FM18" s="102">
        <v>29</v>
      </c>
      <c r="FN18" s="102">
        <v>30</v>
      </c>
      <c r="FO18" s="102"/>
      <c r="FP18" s="102">
        <v>3</v>
      </c>
      <c r="FQ18" s="102" t="s">
        <v>1855</v>
      </c>
      <c r="FR18" s="102">
        <v>1</v>
      </c>
      <c r="FS18" s="102">
        <v>2</v>
      </c>
      <c r="FT18" s="102">
        <v>3</v>
      </c>
      <c r="FU18" s="102">
        <v>4</v>
      </c>
      <c r="FV18" s="102">
        <v>5</v>
      </c>
      <c r="FW18" s="102">
        <v>6</v>
      </c>
      <c r="FX18" s="102">
        <v>7</v>
      </c>
      <c r="FY18" s="102">
        <v>8</v>
      </c>
      <c r="FZ18" s="102">
        <v>9</v>
      </c>
      <c r="GA18" s="102">
        <v>10</v>
      </c>
      <c r="GB18" s="102">
        <v>11</v>
      </c>
      <c r="GC18" s="102">
        <v>12</v>
      </c>
      <c r="GD18" s="102">
        <v>13</v>
      </c>
      <c r="GE18" s="102">
        <v>14</v>
      </c>
      <c r="GF18" s="102">
        <v>15</v>
      </c>
      <c r="GG18" s="102">
        <v>16</v>
      </c>
      <c r="GH18" s="102">
        <v>17</v>
      </c>
      <c r="GI18" s="102">
        <v>18</v>
      </c>
      <c r="GJ18" s="102">
        <v>19</v>
      </c>
      <c r="GK18" s="102">
        <v>20</v>
      </c>
      <c r="GL18" s="102">
        <v>21</v>
      </c>
      <c r="GM18" s="102">
        <v>22</v>
      </c>
      <c r="GN18" s="102">
        <v>23</v>
      </c>
      <c r="GO18" s="102">
        <v>24</v>
      </c>
      <c r="GP18" s="102">
        <v>25</v>
      </c>
      <c r="GQ18" s="102">
        <v>26</v>
      </c>
      <c r="GR18" s="102">
        <v>27</v>
      </c>
      <c r="GS18" s="102">
        <v>28</v>
      </c>
      <c r="GT18" s="102">
        <v>29</v>
      </c>
      <c r="GU18" s="102">
        <v>30</v>
      </c>
      <c r="GV18" s="102"/>
      <c r="GW18" s="170" t="s">
        <v>1771</v>
      </c>
      <c r="GX18" s="170" t="s">
        <v>1772</v>
      </c>
      <c r="GY18" s="170" t="s">
        <v>1773</v>
      </c>
      <c r="GZ18" s="170" t="s">
        <v>628</v>
      </c>
      <c r="HA18" s="170" t="s">
        <v>1637</v>
      </c>
      <c r="HB18" s="170" t="s">
        <v>629</v>
      </c>
      <c r="HC18" s="102"/>
      <c r="HD18" s="102"/>
      <c r="HE18" s="102"/>
      <c r="HF18" s="105"/>
      <c r="HG18" s="105"/>
      <c r="HH18" s="105"/>
      <c r="HI18" s="105"/>
    </row>
    <row r="19" spans="1:222" x14ac:dyDescent="0.25">
      <c r="A19" s="39" t="str">
        <f>IF(C14="","",0)</f>
        <v/>
      </c>
      <c r="B19" s="40" t="str">
        <f>IF(D14="","",0)</f>
        <v/>
      </c>
      <c r="C19" s="50"/>
      <c r="D19" s="50"/>
      <c r="E19" s="9"/>
      <c r="F19" s="51"/>
      <c r="G19" s="42" t="str">
        <f>IF(F19&lt;&gt;"",IF(OR(F19="Transition",F19="Transition - Surface Connection"),0,1),"")</f>
        <v/>
      </c>
      <c r="H19" s="56" t="str">
        <f>IFERROR(IF(E20="3","",IF(OR(F19="Hybrid - min 4 swimmers (no DD)",LEFT(F19,5)="Trans"),"No DD",CONCATENATE("BM = ",I20))),"")</f>
        <v/>
      </c>
      <c r="I19" s="57"/>
      <c r="J19" s="124"/>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79"/>
      <c r="AO19" s="43"/>
      <c r="AP19" s="74"/>
      <c r="AQ19" s="74"/>
      <c r="AR19" s="104"/>
      <c r="AS19" s="104"/>
      <c r="AT19" s="104"/>
      <c r="AU19" s="104"/>
      <c r="AV19" s="104"/>
      <c r="AW19" s="105" t="str">
        <f>E20</f>
        <v/>
      </c>
      <c r="AX19" s="108" t="str">
        <f>IF(AY19=0,"",TIME(0,A19,B19))</f>
        <v/>
      </c>
      <c r="AY19" s="108">
        <f>TIME(0,C19,D19)</f>
        <v>0</v>
      </c>
      <c r="AZ19" s="108" t="str">
        <f>IFERROR(AY19-AX19,"")</f>
        <v/>
      </c>
      <c r="BA19" s="276" t="str">
        <f>IF($AX$17=0,"",IF(AND($C$10&lt;&gt;"",AW19="H",AZ19&gt;$AX$17),"X",""))</f>
        <v/>
      </c>
      <c r="BB19" s="104"/>
      <c r="BC19" s="104"/>
      <c r="BD19" s="104"/>
      <c r="BE19" s="104"/>
      <c r="BF19" s="104"/>
      <c r="BG19" s="104" t="str">
        <f>IFERROR(IF(F19&lt;&gt;"",INDEX(Parts_Active,MATCH(F19,Parts_Active,0)),""),"No")</f>
        <v/>
      </c>
      <c r="BH19" s="104"/>
      <c r="BI19" s="104" t="str">
        <f>IF($E20="H",IF($F19="Hybrid - Thrust + 2 connections","Hybrid_Mix_Req",IF($F19="Hybrid - min 4 swimmers (no DD)","Hybrid_ChoHY","HybridDD_Code")),IF($E20=3,"TreDD_Code",IF($E20="PA","AcroPair_Code",IF(LEFT($F19,4)="Acro",CONCATENATE(BI$16,$E20,"_Code"),"Data!$BI$1:$BI$5"))))</f>
        <v>Data!$BI$1:$BI$5</v>
      </c>
      <c r="BJ19" s="104" t="str">
        <f>IF($E20="H",IF($F19="Hybrid - Thrust + 2 connections","Hybrid_Mix_Req",IF($F19="Hybrid - min 4 swimmers (no DD)","Data!$BI$1:$BI$5","HybridDD_Code")),IF($E20=3,"TreDD_Code",IF($E20="PA","AcroPair_Code",IF(LEFT($F19,4)="Acro",CONCATENATE(BJ$16,$E20,"_Code"),"Data!$BI$1:$BI$5"))))</f>
        <v>Data!$BI$1:$BI$5</v>
      </c>
      <c r="BK19" s="104" t="str">
        <f t="shared" ref="BK19:BQ33" si="6">IF($E20="H",IF($F19="Hybrid - Thrust + 2 connections","Hybrid_Mix_Req",IF($F19="Hybrid - min 4 swimmers (no DD)","Data!$BI$1:$BI$5","HybridDD_Code")),IF($E20=3,"TreDD_Code",IF($E20="PA","AcroPair_Code",IF(LEFT($F19,4)="Acro",CONCATENATE(BK$16,$E20,"_Code"),"Data!$BI$1:$BI$5"))))</f>
        <v>Data!$BI$1:$BI$5</v>
      </c>
      <c r="BL19" s="104" t="str">
        <f t="shared" si="6"/>
        <v>Data!$BI$1:$BI$5</v>
      </c>
      <c r="BM19" s="104" t="str">
        <f t="shared" si="6"/>
        <v>Data!$BI$1:$BI$5</v>
      </c>
      <c r="BN19" s="104" t="str">
        <f t="shared" si="6"/>
        <v>Data!$BI$1:$BI$5</v>
      </c>
      <c r="BO19" s="104" t="str">
        <f t="shared" si="6"/>
        <v>Data!$BI$1:$BI$5</v>
      </c>
      <c r="BP19" s="104" t="str">
        <f t="shared" si="6"/>
        <v>Data!$BI$1:$BI$5</v>
      </c>
      <c r="BQ19" s="104" t="str">
        <f t="shared" si="6"/>
        <v>Data!$BI$1:$BI$5</v>
      </c>
      <c r="BR19" s="104" t="str">
        <f>IF($E20="H",IF($F19="Hybrid - Thrust + 2 connections","Data!$BI$1:$BI$5","HybridDD_Code"),"Data!$BI$1:$BI$5")</f>
        <v>Data!$BI$1:$BI$5</v>
      </c>
      <c r="BS19" s="104" t="str">
        <f t="shared" ref="BS19:CH27" si="7">$BR19</f>
        <v>Data!$BI$1:$BI$5</v>
      </c>
      <c r="BT19" s="104" t="str">
        <f t="shared" si="7"/>
        <v>Data!$BI$1:$BI$5</v>
      </c>
      <c r="BU19" s="104" t="str">
        <f t="shared" si="7"/>
        <v>Data!$BI$1:$BI$5</v>
      </c>
      <c r="BV19" s="104" t="str">
        <f t="shared" si="7"/>
        <v>Data!$BI$1:$BI$5</v>
      </c>
      <c r="BW19" s="104" t="str">
        <f t="shared" si="7"/>
        <v>Data!$BI$1:$BI$5</v>
      </c>
      <c r="BX19" s="104" t="str">
        <f t="shared" si="7"/>
        <v>Data!$BI$1:$BI$5</v>
      </c>
      <c r="BY19" s="104" t="str">
        <f t="shared" si="7"/>
        <v>Data!$BI$1:$BI$5</v>
      </c>
      <c r="BZ19" s="104" t="str">
        <f t="shared" si="7"/>
        <v>Data!$BI$1:$BI$5</v>
      </c>
      <c r="CA19" s="104" t="str">
        <f t="shared" si="7"/>
        <v>Data!$BI$1:$BI$5</v>
      </c>
      <c r="CB19" s="104" t="str">
        <f t="shared" si="7"/>
        <v>Data!$BI$1:$BI$5</v>
      </c>
      <c r="CC19" s="104" t="str">
        <f t="shared" si="7"/>
        <v>Data!$BI$1:$BI$5</v>
      </c>
      <c r="CD19" s="104" t="str">
        <f t="shared" si="7"/>
        <v>Data!$BI$1:$BI$5</v>
      </c>
      <c r="CE19" s="104" t="str">
        <f t="shared" si="7"/>
        <v>Data!$BI$1:$BI$5</v>
      </c>
      <c r="CF19" s="104" t="str">
        <f t="shared" si="7"/>
        <v>Data!$BI$1:$BI$5</v>
      </c>
      <c r="CG19" s="104" t="str">
        <f t="shared" si="7"/>
        <v>Data!$BI$1:$BI$5</v>
      </c>
      <c r="CH19" s="104" t="str">
        <f t="shared" si="7"/>
        <v>Data!$BI$1:$BI$5</v>
      </c>
      <c r="CI19" s="104" t="str">
        <f t="shared" ref="CI19:CL33" si="8">$BR19</f>
        <v>Data!$BI$1:$BI$5</v>
      </c>
      <c r="CJ19" s="104" t="str">
        <f t="shared" si="8"/>
        <v>Data!$BI$1:$BI$5</v>
      </c>
      <c r="CK19" s="104" t="str">
        <f t="shared" si="8"/>
        <v>Data!$BI$1:$BI$5</v>
      </c>
      <c r="CL19" s="104" t="str">
        <f t="shared" si="8"/>
        <v>Data!$BI$1:$BI$5</v>
      </c>
      <c r="CM19" s="104"/>
      <c r="CN19" s="104"/>
      <c r="CO19" s="107" t="e">
        <f>TIME(0,A19,B19)</f>
        <v>#VALUE!</v>
      </c>
      <c r="CP19" s="108">
        <f>TIME(0,C19,D19)</f>
        <v>0</v>
      </c>
      <c r="CQ19" s="108" t="str">
        <f>IF(CP19&gt;$D$12,"X","")</f>
        <v/>
      </c>
      <c r="CR19" s="102" t="str">
        <f>IF(AND(F19="Hybrid - Thrust + 2 connections",OR(LEFT(J19,1)="T",LEFT(K19,1)="T",LEFT(L19,1)="T",LEFT(PB19,1)="T",LEFT(M19,1)="T",LEFT(N19,1)="T",LEFT(O19,1)="T",LEFT(P19,1)="T",LEFT(Q19,1)="T",LEFT(R19,1)="T",LEFT(S19,1)="T",LEFT(T19,1)="T",LEFT(U19,1)="T",LEFT(V19,1)="T",LEFT(W19,1)="T",LEFT(X19,1)="T",LEFT(AK19,1)="T",LEFT(AL19,1)="T",LEFT(AM19,1)="T")),IF(OR(LEN(J19)=2,LEN(K19)=2,LEN(L19)=2,LEN(M19)=2,LEN(N19)=2,LEN(O19)=2,LEN(P19)=2,LEN(Q19)=2,LEN(R19)=2,LEN(S19)=2,LEN(T19)=2,LEN(U19)=2,LEN(V19)=2,LEN(W19)=2,LEN(X19)=2,LEN(Y19)=2,LEN(Z19)=2,LEN(AK19)=2,LEN(AL19)=2,LEN(AM19)=2),"X",""),"")</f>
        <v/>
      </c>
      <c r="CT19" s="102" t="str">
        <f>IF(LEFT(F19,4)="Acro",IF(AND(N19&lt;&gt;"",M19=RIGHT(N19,2)),"X","OK"),"")</f>
        <v/>
      </c>
      <c r="CU19" s="104" t="str">
        <f t="shared" ref="CU19:DB19" si="9">IFERROR(IF(AND(LEFT($F19,4)="Acro",INDEX(Requ_App,MATCH(BI19,Requ_Code,0))="No"),"X",""),"")</f>
        <v/>
      </c>
      <c r="CV19" s="104" t="str">
        <f t="shared" si="9"/>
        <v/>
      </c>
      <c r="CW19" s="104" t="str">
        <f t="shared" si="9"/>
        <v/>
      </c>
      <c r="CX19" s="104" t="str">
        <f t="shared" si="9"/>
        <v/>
      </c>
      <c r="CY19" s="104" t="str">
        <f t="shared" si="9"/>
        <v/>
      </c>
      <c r="CZ19" s="104" t="str">
        <f t="shared" si="9"/>
        <v/>
      </c>
      <c r="DA19" s="104" t="str">
        <f t="shared" si="9"/>
        <v/>
      </c>
      <c r="DB19" s="104" t="str">
        <f t="shared" si="9"/>
        <v/>
      </c>
      <c r="DC19" s="104" t="str">
        <f>IFERROR(IF(AND(LEFT($F19,4)="Acro",INDEX(Requ_App,MATCH(BP19,Requ_Code,0))="No"),"X",""),"")</f>
        <v/>
      </c>
      <c r="DD19" s="102" t="str">
        <f t="shared" ref="DD19:DD50" si="10">IF(OR($E20="A",$E20="B",$E20="C",$E20="P"),"Z","")</f>
        <v/>
      </c>
      <c r="DE19" s="102" t="str">
        <f t="shared" ref="DE19:DE50" si="11">IF(OR($E20="B",$E20="P"),"Z","")</f>
        <v/>
      </c>
      <c r="DF19" s="102" t="str">
        <f t="shared" ref="DF19:DF50" si="12">IF(OR($E20="A",$E20="C"),"Z","")</f>
        <v/>
      </c>
      <c r="DG19" s="102" t="str">
        <f t="shared" ref="DG19:DG50" si="13">IF(OR($E20="A",$E20="B",$E20="C",$E20="P"),"Z","")</f>
        <v/>
      </c>
      <c r="DK19" s="102">
        <f>IF(AND(E20="A",OR(Q19="Grip",Q19="Conn",Q19="Catch")),"A1",IF(AND(E20="A",OR(Q19="Hula",Q19="RetSq",Q19="RetPa")),"A2",IF(AND(E20="B",OR(Q19="Twirl",Q19="RotF")),"B1",IF(AND(E20="B",OR(Q19="Moon",Q19="Mov",Q19="Hold")),"B2",IF(AND(E20="P",OR(Q19="Porp",Q19="Splch")),"P1",IF(AND(E20="P",OR(Q19="Diva",Q19="Stand")),"P2",IF(AND(E20="P",OR(Q19="Spider",Q19="Climb")),"P3",IF(AND(E20="P",OR(Q19="Fall",Q19="FTurn")),"P4",IF(AND(E20="C",OR(Q19="Ju",Q19="1P&gt;H",Q19="H&gt;1P",Q19="Jump",Q19="Jump&gt;",Q19="On1Foot",Q19="1F&gt;1F",Q19="1F&gt;1F+",Q19="2F&gt;2F")),"C1",IF(AND(E20="C",OR(Q19="Run",Q19="BRun")),"C2",1))))))))))</f>
        <v>1</v>
      </c>
      <c r="DL19" s="102">
        <f>IF(AND(E20="A",OR(R19="Grip",R19="Conn",R19="Catch")),"A1",IF(AND(E20="A",OR(R19="Hula",R19="RetSq",R19="RetPa")),"A2",IF(AND(E20="B",OR(R19="Twirl",R19="RotF")),"B1",IF(AND(E20="B",OR(R19="Moon",R19="Mov",R19="Hold")),"B2",IF(AND(E20="P",OR(R19="Porp",R19="Spich")),"P1",IF(AND(E20="P",OR(R19="Diva",R19="Stand")),"P2",IF(AND(E20="P",OR(R19="Spider",R19="Climb")),"P3",IF(AND(E20="P",OR(R19="Fall",R19="FTurn")),"P4",IF(AND(E20="C",OR(R19="Ju",R19="1P&gt;H",R19="H&gt;1P",R19="Jump",R19="Jump&gt;",R19="On1Foot",R19="1F&gt;1F",R19="1F&gt;1F+",R19="2F&gt;2F")),"C1",IF(AND(E20="C",OR(R19="Run",R19="BRun")),"C2",2))))))))))</f>
        <v>2</v>
      </c>
      <c r="DM19" s="102" t="str">
        <f>IF(AND(LEFT(F19,4)="Acro",Q19&lt;&gt;"",OR(Q19=R19,DK19=DL19)),IF(R19="C-Roll","","X"),IF(OR(AND(E20="A",Q19="Catch",R19&lt;&gt;"Dbl"),AND(E20="A",R19="Catch",Q19&lt;&gt;"Dbl")),"X",""))</f>
        <v/>
      </c>
      <c r="DN19" s="102" t="str">
        <f>IF(E20="PA",J19,"")</f>
        <v/>
      </c>
      <c r="DO19" s="102">
        <v>1</v>
      </c>
      <c r="DQ19" s="102" t="str">
        <f>IF(AND($E20="A",COUNTIF($DZ$19:$EA$68,DZ19)&gt;1),DZ19,"")</f>
        <v/>
      </c>
      <c r="DR19" s="102" t="str">
        <f>IF(AND($E20="A",COUNTIF($DZ$19:$EA$68,EA19)&gt;1),EA19,"")</f>
        <v/>
      </c>
      <c r="DS19" s="102" t="str">
        <f ca="1">IF(AND($E20="B",COUNTIF($J$19:$J$68,J19)&gt;1),J19,"")</f>
        <v/>
      </c>
      <c r="DT19" s="102" t="str">
        <f ca="1">IF(AND($E20="B",COUNTIF($K$19:$K$68,K19)&gt;1),K19,"")</f>
        <v/>
      </c>
      <c r="DU19" s="102" t="str">
        <f ca="1">IF(AND($E20="C",COUNTIF($J$19:$J$68,J19)&gt;1),J19,"")</f>
        <v/>
      </c>
      <c r="DV19" s="102" t="str">
        <f ca="1">IF(AND($E20="P",COUNTIF($J$19:$J$68,J19)&gt;1),J19,"")</f>
        <v/>
      </c>
      <c r="DW19" s="102" t="str">
        <f ca="1">IF(AND($E20="P",COUNTIF($K$19:$K$68,K19)&gt;1),K19,"")</f>
        <v/>
      </c>
      <c r="DX19" s="102" t="str">
        <f>IF(AND($E20="P",COUNTIF($DZ$19:$EA$68,DZ19)&gt;1),DZ19,"")</f>
        <v/>
      </c>
      <c r="DY19" s="102" t="str">
        <f>IF(AND($E20="P",COUNTIF($DZ$19:$EA$68,EA19)&gt;1),EA19,"")</f>
        <v/>
      </c>
      <c r="DZ19" s="102" t="str">
        <f>IFERROR(IF(OR(E20="A",E20="P"),M19,""),"")</f>
        <v/>
      </c>
      <c r="EA19" s="102" t="str">
        <f>IFERROR(IF(OR(E20="A",E20="P"),RIGHT(N19,2),""),"")</f>
        <v/>
      </c>
      <c r="EB19" s="102" t="str">
        <f>IF(Q19="","",IF(AND($E20="P",COUNTIF($Q$19:$R$68,Q19)&gt;1),Q19,""))</f>
        <v/>
      </c>
      <c r="EC19" s="102" t="str">
        <f>IF(R19="","",IF(AND($E20="P",COUNTIF($Q$19:$R$68,R19)&gt;1),R19,""))</f>
        <v/>
      </c>
      <c r="ED19" s="102" t="str">
        <f t="shared" ref="ED19:ED58" si="14">IF(AND(EB19&lt;&gt;"",COUNTIF(TeamAcro_P_Bonus,EB19)&gt;1),EB19,"")</f>
        <v/>
      </c>
      <c r="EE19" s="102" t="str">
        <f t="shared" ref="EE19:EE58" si="15">IF(AND(EC19&lt;&gt;"",COUNTIF(TeamAcro_P_Bonus,EC19)&gt;1),EC19,"")</f>
        <v/>
      </c>
      <c r="EF19" s="102" t="str">
        <f>IF(AND($F$8="Open Team Acrobatic",LEFT(F19,4)="Acro"),E20,"")</f>
        <v/>
      </c>
      <c r="EG19" s="102" t="str">
        <f>IFERROR(IF(HLOOKUP(EF19,$DQ$12:$DT$13,2,FALSE)&gt;2,"X",""),"")</f>
        <v/>
      </c>
      <c r="EI19" s="102" t="str">
        <f>IF(OR(AND(F19="Hybrid - Thrust + 2 connections",EI20="T"),AND(E20="H",EI20&lt;&gt;"",EI73="X")),"X","")</f>
        <v/>
      </c>
      <c r="EK19" s="102">
        <f>IFERROR(IF(AND($E20="H",J19&lt;&gt;"",J19&lt;&gt;"ChoHY"),IF(OR(LEFT(J19,1)="T",LEFT(J19,1)="S",LEFT(J19,1)="A",LEFT(J19,1)="F",LEFT(J19,1)="C"),LEFT(J19,1),"R"),EK$18),"")</f>
        <v>1</v>
      </c>
      <c r="EL19" s="102">
        <f t="shared" ref="EL19:FB19" si="16">IFERROR(IF(AND($E20="H",K19&lt;&gt;""),IF(OR(LEFT(K19,1)="T",LEFT(K19,1)="S",LEFT(K19,1)="A",LEFT(K19,1)="F",LEFT(K19,1)="C"),LEFT(K19,1),"R"),EL$18),"")</f>
        <v>2</v>
      </c>
      <c r="EM19" s="102">
        <f t="shared" si="16"/>
        <v>3</v>
      </c>
      <c r="EN19" s="102">
        <f t="shared" si="16"/>
        <v>4</v>
      </c>
      <c r="EO19" s="102">
        <f t="shared" si="16"/>
        <v>5</v>
      </c>
      <c r="EP19" s="102">
        <f t="shared" si="16"/>
        <v>6</v>
      </c>
      <c r="EQ19" s="102">
        <f t="shared" si="16"/>
        <v>7</v>
      </c>
      <c r="ER19" s="102">
        <f t="shared" si="16"/>
        <v>8</v>
      </c>
      <c r="ES19" s="102">
        <f t="shared" si="16"/>
        <v>9</v>
      </c>
      <c r="ET19" s="102">
        <f t="shared" si="16"/>
        <v>10</v>
      </c>
      <c r="EU19" s="102">
        <f t="shared" si="16"/>
        <v>11</v>
      </c>
      <c r="EV19" s="102">
        <f t="shared" si="16"/>
        <v>12</v>
      </c>
      <c r="EW19" s="102">
        <f t="shared" si="16"/>
        <v>13</v>
      </c>
      <c r="EX19" s="102">
        <f t="shared" si="16"/>
        <v>14</v>
      </c>
      <c r="EY19" s="102">
        <f t="shared" si="16"/>
        <v>15</v>
      </c>
      <c r="EZ19" s="102">
        <f t="shared" si="16"/>
        <v>16</v>
      </c>
      <c r="FA19" s="102">
        <f t="shared" si="16"/>
        <v>17</v>
      </c>
      <c r="FB19" s="102">
        <f t="shared" si="16"/>
        <v>18</v>
      </c>
      <c r="FC19" s="102">
        <f t="shared" ref="FC19" si="17">IFERROR(IF(AND($E20="H",AB19&lt;&gt;""),IF(OR(LEFT(AB19,1)="T",LEFT(AB19,1)="S",LEFT(AB19,1)="A",LEFT(AB19,1)="F",LEFT(AB19,1)="C"),LEFT(AB19,1),"R"),FC$18),"")</f>
        <v>19</v>
      </c>
      <c r="FD19" s="102">
        <f t="shared" ref="FD19" si="18">IFERROR(IF(AND($E20="H",AC19&lt;&gt;""),IF(OR(LEFT(AC19,1)="T",LEFT(AC19,1)="S",LEFT(AC19,1)="A",LEFT(AC19,1)="F",LEFT(AC19,1)="C"),LEFT(AC19,1),"R"),FD$18),"")</f>
        <v>20</v>
      </c>
      <c r="FE19" s="102">
        <f t="shared" ref="FE19" si="19">IFERROR(IF(AND($E20="H",AD19&lt;&gt;""),IF(OR(LEFT(AD19,1)="T",LEFT(AD19,1)="S",LEFT(AD19,1)="A",LEFT(AD19,1)="F",LEFT(AD19,1)="C"),LEFT(AD19,1),"R"),FE$18),"")</f>
        <v>21</v>
      </c>
      <c r="FF19" s="102">
        <f t="shared" ref="FF19" si="20">IFERROR(IF(AND($E20="H",AE19&lt;&gt;""),IF(OR(LEFT(AE19,1)="T",LEFT(AE19,1)="S",LEFT(AE19,1)="A",LEFT(AE19,1)="F",LEFT(AE19,1)="C"),LEFT(AE19,1),"R"),FF$18),"")</f>
        <v>22</v>
      </c>
      <c r="FG19" s="102">
        <f t="shared" ref="FG19" si="21">IFERROR(IF(AND($E20="H",AF19&lt;&gt;""),IF(OR(LEFT(AF19,1)="T",LEFT(AF19,1)="S",LEFT(AF19,1)="A",LEFT(AF19,1)="F",LEFT(AF19,1)="C"),LEFT(AF19,1),"R"),FG$18),"")</f>
        <v>23</v>
      </c>
      <c r="FH19" s="102">
        <f t="shared" ref="FH19" si="22">IFERROR(IF(AND($E20="H",AG19&lt;&gt;""),IF(OR(LEFT(AG19,1)="T",LEFT(AG19,1)="S",LEFT(AG19,1)="A",LEFT(AG19,1)="F",LEFT(AG19,1)="C"),LEFT(AG19,1),"R"),FH$18),"")</f>
        <v>24</v>
      </c>
      <c r="FI19" s="102">
        <f t="shared" ref="FI19" si="23">IFERROR(IF(AND($E20="H",AH19&lt;&gt;""),IF(OR(LEFT(AH19,1)="T",LEFT(AH19,1)="S",LEFT(AH19,1)="A",LEFT(AH19,1)="F",LEFT(AH19,1)="C"),LEFT(AH19,1),"R"),FI$18),"")</f>
        <v>25</v>
      </c>
      <c r="FJ19" s="102">
        <f t="shared" ref="FJ19" si="24">IFERROR(IF(AND($E20="H",AI19&lt;&gt;""),IF(OR(LEFT(AI19,1)="T",LEFT(AI19,1)="S",LEFT(AI19,1)="A",LEFT(AI19,1)="F",LEFT(AI19,1)="C"),LEFT(AI19,1),"R"),FJ$18),"")</f>
        <v>26</v>
      </c>
      <c r="FK19" s="102">
        <f t="shared" ref="FK19" si="25">IFERROR(IF(AND($E20="H",AJ19&lt;&gt;""),IF(OR(LEFT(AJ19,1)="T",LEFT(AJ19,1)="S",LEFT(AJ19,1)="A",LEFT(AJ19,1)="F",LEFT(AJ19,1)="C"),LEFT(AJ19,1),"R"),FK$18),"")</f>
        <v>27</v>
      </c>
      <c r="FL19" s="102">
        <f t="shared" ref="FL19" si="26">IFERROR(IF(AND($E20="H",AK19&lt;&gt;""),IF(OR(LEFT(AK19,1)="T",LEFT(AK19,1)="S",LEFT(AK19,1)="A",LEFT(AK19,1)="F",LEFT(AK19,1)="C"),LEFT(AK19,1),"R"),FL$18),"")</f>
        <v>28</v>
      </c>
      <c r="FM19" s="102">
        <f t="shared" ref="FM19" si="27">IFERROR(IF(AND($E20="H",AL19&lt;&gt;""),IF(OR(LEFT(AL19,1)="T",LEFT(AL19,1)="S",LEFT(AL19,1)="A",LEFT(AL19,1)="F",LEFT(AL19,1)="C"),LEFT(AL19,1),"R"),FM$18),"")</f>
        <v>29</v>
      </c>
      <c r="FN19" s="102">
        <f t="shared" ref="FN19" si="28">IFERROR(IF(AND($E20="H",AM19&lt;&gt;""),IF(OR(LEFT(AM19,1)="T",LEFT(AM19,1)="S",LEFT(AM19,1)="A",LEFT(AM19,1)="F",LEFT(AM19,1)="C"),LEFT(AM19,1),"R"),FN$18),"")</f>
        <v>30</v>
      </c>
      <c r="FO19" s="102"/>
      <c r="FP19" s="102"/>
      <c r="FQ19" s="102"/>
      <c r="FR19" s="282"/>
      <c r="FS19" s="282"/>
      <c r="FT19" s="282"/>
      <c r="FU19" s="282"/>
      <c r="FV19" s="282"/>
      <c r="FW19" s="282"/>
      <c r="FX19" s="282"/>
      <c r="FY19" s="282"/>
      <c r="FZ19" s="282"/>
      <c r="GA19" s="282"/>
      <c r="GB19" s="282"/>
      <c r="GC19" s="282"/>
      <c r="GD19" s="282"/>
      <c r="GE19" s="282"/>
      <c r="GF19" s="282"/>
      <c r="GG19" s="282"/>
      <c r="GH19" s="282"/>
      <c r="GI19" s="282"/>
      <c r="GJ19" s="282"/>
      <c r="GK19" s="282"/>
      <c r="GL19" s="282"/>
      <c r="GM19" s="282"/>
      <c r="GN19" s="282"/>
      <c r="GO19" s="282"/>
      <c r="GP19" s="282"/>
      <c r="GQ19" s="282"/>
      <c r="GR19" s="282"/>
      <c r="GS19" s="282"/>
      <c r="GT19" s="282"/>
      <c r="GU19" s="282"/>
      <c r="GV19" s="102"/>
      <c r="GW19" s="102">
        <f>COUNTIF($EK19:$FN19,GW$18)</f>
        <v>0</v>
      </c>
      <c r="GX19" s="102">
        <f t="shared" ref="GX19:HB33" si="29">COUNTIF($EK19:$FN19,GX$18)</f>
        <v>0</v>
      </c>
      <c r="GY19" s="102">
        <f t="shared" si="29"/>
        <v>0</v>
      </c>
      <c r="GZ19" s="102">
        <f t="shared" si="29"/>
        <v>0</v>
      </c>
      <c r="HA19" s="102">
        <f t="shared" si="29"/>
        <v>0</v>
      </c>
      <c r="HB19" s="102">
        <f t="shared" si="29"/>
        <v>0</v>
      </c>
      <c r="HC19" s="102"/>
      <c r="HD19" s="102" t="str">
        <f>IF(AND($F19="Hybrid - Thrust + 2 connections",HD20=0,LEFT($J19,1)="C",LEFT($K19,1)="C",LEFT($L19,1)="C"),"X","")</f>
        <v/>
      </c>
      <c r="HE19" s="102"/>
      <c r="HF19" s="105"/>
      <c r="HG19" s="114"/>
      <c r="HH19" s="114"/>
      <c r="HI19" s="105" t="str">
        <f>IF(E20=3,IF(_xlfn.NUMBERVALUE(LEFT(J19,1))&gt;0,_xlfn.NUMBERVALUE(LEFT(J19,1)),""),"")</f>
        <v/>
      </c>
      <c r="HK19" s="105" t="str">
        <f>IF(OR(E20="B",E20="P"),E20,"")</f>
        <v/>
      </c>
      <c r="HL19" s="105" t="str">
        <f>IF(AND(J19&lt;&gt;"",HK19&lt;&gt;""),IF(HK19="B",MATCH(J19,AcroDD!$U$3:$AE$3,0),MATCH(J19,AcroDD!$U$30:$AC$30,0)),"")</f>
        <v/>
      </c>
      <c r="HM19" s="105" t="str">
        <f>IF(AND(K19&lt;&gt;"",HK19&lt;&gt;""),K19,"")</f>
        <v/>
      </c>
      <c r="HN19" s="105" t="str">
        <f ca="1">IF(AND(OR(HK19="B",HK19="P"),HL19&lt;&gt;"",HM19&lt;&gt;""),IF(IFERROR(IF(HK19="B",MATCH(HM19,OFFSET(AcroDD!$T$4,0,HL19,20),0),MATCH(HM19,OFFSET(AcroDD!$T$31,0,HL19,20),0)),"")&lt;&gt;"","OK","X"),"")</f>
        <v/>
      </c>
    </row>
    <row r="20" spans="1:222" x14ac:dyDescent="0.25">
      <c r="A20" s="39"/>
      <c r="B20" s="40"/>
      <c r="C20" s="40"/>
      <c r="D20" s="40"/>
      <c r="E20" s="20" t="str">
        <f>IF(F19="Acrobatic - Pair","PA",IF(F19="Acrobatic Airborn","A",IF(F19="Acrobatic Balance","B",IF(F19="Acrobatic Combined","C",IF(F19="Acrobatic Platform","P",IF(F19="Technical Required Element",3,IF(LEFT(F19,4)="Hybr","H","")))))))</f>
        <v/>
      </c>
      <c r="F20" s="20" t="str">
        <f>IF(AND(F19="Hybrid - Thrust + 2 connections",CR19="X"),"Hybrid - Thrust",IF(OR(E20="A",E20="B",E20="C",E20="P"),"Acrobatic",""))</f>
        <v/>
      </c>
      <c r="G20" s="42"/>
      <c r="H20" s="207" t="str">
        <f>IF(E20="PA",IF(OR(LEFT(J19,1)="L",LEFT(J19,1)="S"),"A-Pair-Lift",IF(OR(LEFT(J19,1)="W",LEFT(J19,1)="T"),"A-Pair-Throw",IF(LEFT(J19,1)="J","A-Pair-Jump","A-Pair"))),IF(OR(E20="A",E20="B",E20="C",E20="P"),CONCATENATE("Acro-",E20),""))</f>
        <v/>
      </c>
      <c r="I20" s="201" t="e">
        <f>IF(OR(F19="Hybrid - min 4 swimmers (no DD)",LEFT(F19,5)="Trans"),0,INDEX($BY$3:$BY$9,MATCH(E20,$BX$3:$BX$9,0)))</f>
        <v>#N/A</v>
      </c>
      <c r="J20" s="196">
        <f ca="1">IFERROR(IF($H19="No DD",IF(J19="ChoHY",1,0),IF(OR(ISBLANK(J19),J19="N/A"),0,INDEX(INDIRECT(BI20),MATCH(J19,INDIRECT(BI19),0)))),0)</f>
        <v>0</v>
      </c>
      <c r="K20" s="196">
        <f t="shared" ref="K20:X20" ca="1" si="30">IFERROR(IF($H19="No DD",0,IF(OR(ISBLANK(K19),K19="N/A"),0,INDEX(INDIRECT(BJ20),MATCH(K19,INDIRECT(BJ19),0)))),0)</f>
        <v>0</v>
      </c>
      <c r="L20" s="196">
        <f t="shared" ca="1" si="30"/>
        <v>0</v>
      </c>
      <c r="M20" s="196">
        <f t="shared" ca="1" si="30"/>
        <v>0</v>
      </c>
      <c r="N20" s="196">
        <f t="shared" ca="1" si="30"/>
        <v>0</v>
      </c>
      <c r="O20" s="196">
        <f t="shared" ca="1" si="30"/>
        <v>0</v>
      </c>
      <c r="P20" s="196">
        <f t="shared" ca="1" si="30"/>
        <v>0</v>
      </c>
      <c r="Q20" s="196">
        <f t="shared" ca="1" si="30"/>
        <v>0</v>
      </c>
      <c r="R20" s="196">
        <f t="shared" ca="1" si="30"/>
        <v>0</v>
      </c>
      <c r="S20" s="196">
        <f t="shared" ca="1" si="30"/>
        <v>0</v>
      </c>
      <c r="T20" s="196">
        <f t="shared" ca="1" si="30"/>
        <v>0</v>
      </c>
      <c r="U20" s="196">
        <f t="shared" ca="1" si="30"/>
        <v>0</v>
      </c>
      <c r="V20" s="196">
        <f t="shared" ca="1" si="30"/>
        <v>0</v>
      </c>
      <c r="W20" s="196">
        <f t="shared" ca="1" si="30"/>
        <v>0</v>
      </c>
      <c r="X20" s="196">
        <f t="shared" ca="1" si="30"/>
        <v>0</v>
      </c>
      <c r="Y20" s="196">
        <f t="shared" ref="Y20" ca="1" si="31">IFERROR(IF($H19="No DD",0,IF(OR(ISBLANK(Y19),Y19="N/A"),0,INDEX(INDIRECT(BX20),MATCH(Y19,INDIRECT(BX19),0)))),0)</f>
        <v>0</v>
      </c>
      <c r="Z20" s="196">
        <f t="shared" ref="Z20" ca="1" si="32">IFERROR(IF($H19="No DD",0,IF(OR(ISBLANK(Z19),Z19="N/A"),0,INDEX(INDIRECT(BY20),MATCH(Z19,INDIRECT(BY19),0)))),0)</f>
        <v>0</v>
      </c>
      <c r="AA20" s="196">
        <f t="shared" ref="AA20" ca="1" si="33">IFERROR(IF($H19="No DD",0,IF(OR(ISBLANK(AA19),AA19="N/A"),0,INDEX(INDIRECT(BZ20),MATCH(AA19,INDIRECT(BZ19),0)))),0)</f>
        <v>0</v>
      </c>
      <c r="AB20" s="196">
        <f t="shared" ref="AB20" ca="1" si="34">IFERROR(IF($H19="No DD",0,IF(OR(ISBLANK(AB19),AB19="N/A"),0,INDEX(INDIRECT(CA20),MATCH(AB19,INDIRECT(CA19),0)))),0)</f>
        <v>0</v>
      </c>
      <c r="AC20" s="196">
        <f t="shared" ref="AC20" ca="1" si="35">IFERROR(IF($H19="No DD",0,IF(OR(ISBLANK(AC19),AC19="N/A"),0,INDEX(INDIRECT(CB20),MATCH(AC19,INDIRECT(CB19),0)))),0)</f>
        <v>0</v>
      </c>
      <c r="AD20" s="196">
        <f t="shared" ref="AD20" ca="1" si="36">IFERROR(IF($H19="No DD",0,IF(OR(ISBLANK(AD19),AD19="N/A"),0,INDEX(INDIRECT(CC20),MATCH(AD19,INDIRECT(CC19),0)))),0)</f>
        <v>0</v>
      </c>
      <c r="AE20" s="196">
        <f t="shared" ref="AE20" ca="1" si="37">IFERROR(IF($H19="No DD",0,IF(OR(ISBLANK(AE19),AE19="N/A"),0,INDEX(INDIRECT(CD20),MATCH(AE19,INDIRECT(CD19),0)))),0)</f>
        <v>0</v>
      </c>
      <c r="AF20" s="196">
        <f t="shared" ref="AF20" ca="1" si="38">IFERROR(IF($H19="No DD",0,IF(OR(ISBLANK(AF19),AF19="N/A"),0,INDEX(INDIRECT(CE20),MATCH(AF19,INDIRECT(CE19),0)))),0)</f>
        <v>0</v>
      </c>
      <c r="AG20" s="196">
        <f t="shared" ref="AG20" ca="1" si="39">IFERROR(IF($H19="No DD",0,IF(OR(ISBLANK(AG19),AG19="N/A"),0,INDEX(INDIRECT(CF20),MATCH(AG19,INDIRECT(CF19),0)))),0)</f>
        <v>0</v>
      </c>
      <c r="AH20" s="196">
        <f t="shared" ref="AH20" ca="1" si="40">IFERROR(IF($H19="No DD",0,IF(OR(ISBLANK(AH19),AH19="N/A"),0,INDEX(INDIRECT(CG20),MATCH(AH19,INDIRECT(CG19),0)))),0)</f>
        <v>0</v>
      </c>
      <c r="AI20" s="196">
        <f t="shared" ref="AI20" ca="1" si="41">IFERROR(IF($H19="No DD",0,IF(OR(ISBLANK(AI19),AI19="N/A"),0,INDEX(INDIRECT(CH20),MATCH(AI19,INDIRECT(CH19),0)))),0)</f>
        <v>0</v>
      </c>
      <c r="AJ20" s="196">
        <f t="shared" ref="AJ20" ca="1" si="42">IFERROR(IF($H19="No DD",0,IF(OR(ISBLANK(AJ19),AJ19="N/A"),0,INDEX(INDIRECT(CI20),MATCH(AJ19,INDIRECT(CI19),0)))),0)</f>
        <v>0</v>
      </c>
      <c r="AK20" s="196">
        <f t="shared" ref="AK20" ca="1" si="43">IFERROR(IF($H19="No DD",0,IF(OR(ISBLANK(AK19),AK19="N/A"),0,INDEX(INDIRECT(CJ20),MATCH(AK19,INDIRECT(CJ19),0)))),0)</f>
        <v>0</v>
      </c>
      <c r="AL20" s="196">
        <f t="shared" ref="AL20" ca="1" si="44">IFERROR(IF($H19="No DD",0,IF(OR(ISBLANK(AL19),AL19="N/A"),0,INDEX(INDIRECT(CK20),MATCH(AL19,INDIRECT(CK19),0)))),0)</f>
        <v>0</v>
      </c>
      <c r="AM20" s="196">
        <f t="shared" ref="AM20" ca="1" si="45">IFERROR(IF($H19="No DD",0,IF(OR(ISBLANK(AM19),AM19="N/A"),0,INDEX(INDIRECT(CL20),MATCH(AM19,INDIRECT(CL19),0)))),0)</f>
        <v>0</v>
      </c>
      <c r="AN20" s="197" t="str">
        <f>IFERROR(IF(E20="H",INDEX(HybridBonus_Value,MATCH(AN19,HybridBonus_Code,0)),""),"")</f>
        <v/>
      </c>
      <c r="AO20" s="195" t="str">
        <f>IFERROR(SUM(I20:AN20),"")</f>
        <v/>
      </c>
      <c r="AP20" s="74"/>
      <c r="AQ20" s="74"/>
      <c r="AR20" s="104"/>
      <c r="AS20" s="104"/>
      <c r="AT20" s="104"/>
      <c r="AU20" s="104"/>
      <c r="AV20" s="104"/>
      <c r="BA20" s="104"/>
      <c r="BB20" s="104"/>
      <c r="BC20" s="104"/>
      <c r="BD20" s="104"/>
      <c r="BE20" s="104"/>
      <c r="BF20" s="104"/>
      <c r="BG20" s="104"/>
      <c r="BH20" s="104"/>
      <c r="BI20" s="105" t="str">
        <f>IF($E20="H",IF($F19="Hybrid - Thrust + 2 connections","Hybrid_Mix_Req_Value","HybridDD_Value"),IF($E20=3,"TreDD_Value",IF($E20="PA","AcroPair_Value",IF(LEFT($F19,4)="Acro",CONCATENATE(BI$16,$E20,"_Value"),""))))</f>
        <v/>
      </c>
      <c r="BJ20" s="105" t="str">
        <f t="shared" ref="BJ20:BQ20" si="46">IF($E20="H",IF($F19="Hybrid - Thrust + 2 connections","Hybrid_Mix_Req_Value","HybridDD_Value"),IF($E20=3,"TreDD_Value",IF($E20="PA","AcroPair_Value",IF(LEFT($F19,4)="Acro",CONCATENATE(BJ$16,$E20,"_Value"),""))))</f>
        <v/>
      </c>
      <c r="BK20" s="105" t="str">
        <f t="shared" si="46"/>
        <v/>
      </c>
      <c r="BL20" s="105" t="str">
        <f t="shared" si="46"/>
        <v/>
      </c>
      <c r="BM20" s="105" t="str">
        <f t="shared" si="46"/>
        <v/>
      </c>
      <c r="BN20" s="105" t="str">
        <f t="shared" si="46"/>
        <v/>
      </c>
      <c r="BO20" s="105" t="str">
        <f t="shared" si="46"/>
        <v/>
      </c>
      <c r="BP20" s="105" t="str">
        <f t="shared" si="46"/>
        <v/>
      </c>
      <c r="BQ20" s="105" t="str">
        <f t="shared" si="46"/>
        <v/>
      </c>
      <c r="BR20" s="104" t="str">
        <f>IF($E20="H",IF($F19="Hybrid - Thrust + 2 connections","Data!$BI$1:$BI$5","HybridDD_Value"),"Data!$BI$1:$BI$5")</f>
        <v>Data!$BI$1:$BI$5</v>
      </c>
      <c r="BS20" s="104" t="str">
        <f t="shared" ref="BS20:CL20" si="47">IF($E20="H",IF($F19="Hybrid - Thrust + 2 connections","Data!$BI$1:$BI$5","HybridDD_Value"),"Data!$BI$1:$BI$5")</f>
        <v>Data!$BI$1:$BI$5</v>
      </c>
      <c r="BT20" s="104" t="str">
        <f t="shared" si="47"/>
        <v>Data!$BI$1:$BI$5</v>
      </c>
      <c r="BU20" s="104" t="str">
        <f t="shared" si="47"/>
        <v>Data!$BI$1:$BI$5</v>
      </c>
      <c r="BV20" s="104" t="str">
        <f t="shared" si="47"/>
        <v>Data!$BI$1:$BI$5</v>
      </c>
      <c r="BW20" s="104" t="str">
        <f t="shared" si="47"/>
        <v>Data!$BI$1:$BI$5</v>
      </c>
      <c r="BX20" s="104" t="str">
        <f t="shared" si="47"/>
        <v>Data!$BI$1:$BI$5</v>
      </c>
      <c r="BY20" s="104" t="str">
        <f t="shared" si="47"/>
        <v>Data!$BI$1:$BI$5</v>
      </c>
      <c r="BZ20" s="104" t="str">
        <f t="shared" si="47"/>
        <v>Data!$BI$1:$BI$5</v>
      </c>
      <c r="CA20" s="104" t="str">
        <f t="shared" si="47"/>
        <v>Data!$BI$1:$BI$5</v>
      </c>
      <c r="CB20" s="104" t="str">
        <f t="shared" si="47"/>
        <v>Data!$BI$1:$BI$5</v>
      </c>
      <c r="CC20" s="104" t="str">
        <f t="shared" si="47"/>
        <v>Data!$BI$1:$BI$5</v>
      </c>
      <c r="CD20" s="104" t="str">
        <f t="shared" si="47"/>
        <v>Data!$BI$1:$BI$5</v>
      </c>
      <c r="CE20" s="104" t="str">
        <f t="shared" si="47"/>
        <v>Data!$BI$1:$BI$5</v>
      </c>
      <c r="CF20" s="104" t="str">
        <f t="shared" si="47"/>
        <v>Data!$BI$1:$BI$5</v>
      </c>
      <c r="CG20" s="104" t="str">
        <f t="shared" si="47"/>
        <v>Data!$BI$1:$BI$5</v>
      </c>
      <c r="CH20" s="104" t="str">
        <f t="shared" si="47"/>
        <v>Data!$BI$1:$BI$5</v>
      </c>
      <c r="CI20" s="104" t="str">
        <f t="shared" si="47"/>
        <v>Data!$BI$1:$BI$5</v>
      </c>
      <c r="CJ20" s="104" t="str">
        <f t="shared" si="47"/>
        <v>Data!$BI$1:$BI$5</v>
      </c>
      <c r="CK20" s="104" t="str">
        <f t="shared" si="47"/>
        <v>Data!$BI$1:$BI$5</v>
      </c>
      <c r="CL20" s="104" t="str">
        <f t="shared" si="47"/>
        <v>Data!$BI$1:$BI$5</v>
      </c>
      <c r="CN20" s="115"/>
      <c r="CO20" s="116" t="str">
        <f>IFERROR(IF(AND($BV$6="T",$BV$8="T",LEFT(F19,4)="Acro",AO20&gt;3),"X",IF($N$7="X",IF(AND(E20="C",AO20&gt;$CN$6),"X",IF(AND(E20="A",AO20&gt;$CN$4),"X",IF(AND(E20="B",AO20&gt;$CN$5),"X",IF(AND(E20="P",AO20&gt;$CN$7),"X","")))),"")),"")</f>
        <v/>
      </c>
      <c r="CP20" s="108"/>
      <c r="CQ20" s="105"/>
      <c r="CS20" s="105"/>
      <c r="CT20" s="105"/>
      <c r="CU20" s="105"/>
      <c r="CV20" s="105"/>
      <c r="CW20" s="105"/>
      <c r="CX20" s="105"/>
      <c r="CY20" s="105"/>
      <c r="CZ20" s="105"/>
      <c r="DD20" s="102" t="str">
        <f t="shared" si="10"/>
        <v/>
      </c>
      <c r="DE20" s="102" t="str">
        <f t="shared" si="11"/>
        <v/>
      </c>
      <c r="DF20" s="102" t="str">
        <f t="shared" si="12"/>
        <v/>
      </c>
      <c r="DG20" s="102" t="str">
        <f t="shared" si="13"/>
        <v/>
      </c>
      <c r="DO20" s="102">
        <v>2</v>
      </c>
      <c r="ED20" s="102" t="str">
        <f t="shared" si="14"/>
        <v/>
      </c>
      <c r="EE20" s="102" t="str">
        <f t="shared" si="15"/>
        <v/>
      </c>
      <c r="EI20" s="102" t="str" cm="1">
        <f t="array" ref="EI20">IFERROR(INDEX(EK20:FN20,MATCH(TRUE,INDEX((EK20:FN20&lt;&gt;""),),0)),"")</f>
        <v/>
      </c>
      <c r="EK20" s="102" t="str">
        <f t="shared" ref="EK20:FN20" si="48">IF(F19="Hybrid - Thrust + 2 connections",IF(COUNTIF($EK19:$FD19,EK19)&gt;1,EK19,""),IF(COUNTIF($EK19:$FD19,EK19)&gt;5,EK19,""))</f>
        <v/>
      </c>
      <c r="EL20" s="102" t="str">
        <f t="shared" si="48"/>
        <v/>
      </c>
      <c r="EM20" s="102" t="str">
        <f t="shared" si="48"/>
        <v/>
      </c>
      <c r="EN20" s="102" t="str">
        <f t="shared" si="48"/>
        <v/>
      </c>
      <c r="EO20" s="102" t="str">
        <f t="shared" si="48"/>
        <v/>
      </c>
      <c r="EP20" s="102" t="str">
        <f t="shared" si="48"/>
        <v/>
      </c>
      <c r="EQ20" s="102" t="str">
        <f t="shared" si="48"/>
        <v/>
      </c>
      <c r="ER20" s="102" t="str">
        <f t="shared" si="48"/>
        <v/>
      </c>
      <c r="ES20" s="102" t="str">
        <f t="shared" si="48"/>
        <v/>
      </c>
      <c r="ET20" s="102" t="str">
        <f t="shared" si="48"/>
        <v/>
      </c>
      <c r="EU20" s="102" t="str">
        <f t="shared" si="48"/>
        <v/>
      </c>
      <c r="EV20" s="102" t="str">
        <f t="shared" si="48"/>
        <v/>
      </c>
      <c r="EW20" s="102" t="str">
        <f t="shared" si="48"/>
        <v/>
      </c>
      <c r="EX20" s="102" t="str">
        <f t="shared" si="48"/>
        <v/>
      </c>
      <c r="EY20" s="102" t="str">
        <f t="shared" si="48"/>
        <v/>
      </c>
      <c r="EZ20" s="102" t="str">
        <f t="shared" si="48"/>
        <v/>
      </c>
      <c r="FA20" s="102" t="str">
        <f t="shared" si="48"/>
        <v/>
      </c>
      <c r="FB20" s="102" t="str">
        <f t="shared" si="48"/>
        <v/>
      </c>
      <c r="FC20" s="102" t="str">
        <f t="shared" si="48"/>
        <v/>
      </c>
      <c r="FD20" s="102" t="str">
        <f t="shared" si="48"/>
        <v/>
      </c>
      <c r="FE20" s="102" t="str">
        <f t="shared" si="48"/>
        <v/>
      </c>
      <c r="FF20" s="102" t="str">
        <f t="shared" si="48"/>
        <v/>
      </c>
      <c r="FG20" s="102" t="str">
        <f t="shared" si="48"/>
        <v/>
      </c>
      <c r="FH20" s="102" t="str">
        <f t="shared" si="48"/>
        <v/>
      </c>
      <c r="FI20" s="102" t="str">
        <f t="shared" si="48"/>
        <v/>
      </c>
      <c r="FJ20" s="102" t="str">
        <f t="shared" si="48"/>
        <v/>
      </c>
      <c r="FK20" s="102" t="str">
        <f t="shared" si="48"/>
        <v/>
      </c>
      <c r="FL20" s="102" t="str">
        <f t="shared" si="48"/>
        <v/>
      </c>
      <c r="FM20" s="102" t="str">
        <f t="shared" si="48"/>
        <v/>
      </c>
      <c r="FN20" s="102" t="str">
        <f t="shared" si="48"/>
        <v/>
      </c>
      <c r="FO20" s="102">
        <v>0</v>
      </c>
      <c r="FP20" s="102" t="str">
        <f ca="1">OFFSET($FP$75,FO20,0)</f>
        <v/>
      </c>
      <c r="FQ20" s="102" t="str">
        <f ca="1">OFFSET($FQ$75,FO20,0)</f>
        <v/>
      </c>
      <c r="FR20" s="282"/>
      <c r="FS20" s="282"/>
      <c r="FT20" s="282"/>
      <c r="FU20" s="282"/>
      <c r="FV20" s="282"/>
      <c r="FW20" s="282"/>
      <c r="FX20" s="282"/>
      <c r="FY20" s="282"/>
      <c r="FZ20" s="282"/>
      <c r="GA20" s="282"/>
      <c r="GB20" s="282"/>
      <c r="GC20" s="282"/>
      <c r="GD20" s="282"/>
      <c r="GE20" s="282"/>
      <c r="GF20" s="282"/>
      <c r="GG20" s="282"/>
      <c r="GH20" s="282"/>
      <c r="GI20" s="282"/>
      <c r="GJ20" s="282"/>
      <c r="GK20" s="282"/>
      <c r="GL20" s="282"/>
      <c r="GM20" s="282"/>
      <c r="GN20" s="282"/>
      <c r="GO20" s="282"/>
      <c r="GP20" s="282"/>
      <c r="GQ20" s="282"/>
      <c r="GR20" s="282"/>
      <c r="GS20" s="282"/>
      <c r="GT20" s="282"/>
      <c r="GU20" s="282"/>
      <c r="GV20" s="102"/>
      <c r="GW20" s="102"/>
      <c r="GX20" s="102"/>
      <c r="GY20" s="102"/>
      <c r="GZ20" s="102"/>
      <c r="HA20" s="102"/>
      <c r="HB20" s="102"/>
      <c r="HC20" s="102"/>
      <c r="HD20" s="102" t="str">
        <f>IF($F19="Hybrid - Thrust + 2 connections",COUNTBLANK(J19:L19),"")</f>
        <v/>
      </c>
      <c r="HE20" s="102"/>
      <c r="HF20" s="105"/>
      <c r="HG20" s="105"/>
      <c r="HH20" s="105"/>
      <c r="HI20" s="105"/>
    </row>
    <row r="21" spans="1:222" x14ac:dyDescent="0.25">
      <c r="A21" s="39" t="str">
        <f>IF(AND(E19="",A19&lt;&gt;""),IF(CP19=$CP$18,"",IF(C19&lt;&gt;"",IF(D19=59,MINUTE(CP19)+1,MINUTE(CP19)),"")),"")</f>
        <v/>
      </c>
      <c r="B21" s="40" t="str">
        <f>IF(AND(E19="",B19&lt;&gt;""),IF(CP19=$CP$18,"",IF(C19&lt;&gt;"",IF(D19=59,0,SECOND(CP19)+1),"")),"")</f>
        <v/>
      </c>
      <c r="C21" s="50"/>
      <c r="D21" s="50"/>
      <c r="E21" s="9"/>
      <c r="F21" s="51"/>
      <c r="G21" s="42" t="str">
        <f>IF(F21&lt;&gt;"",IF(OR(F21="Transition",F21="Transition - Surface Connection"),0,MAX($G$19:G20)+1),"")</f>
        <v/>
      </c>
      <c r="H21" s="56" t="str">
        <f t="shared" ref="H21" si="49">IFERROR(IF(E22="3","",IF(OR(F21="Hybrid - min 4 swimmers (no DD)",LEFT(F21,5)="Trans"),"No DD",CONCATENATE("BM = ",I22))),"")</f>
        <v/>
      </c>
      <c r="I21" s="57"/>
      <c r="J21" s="124"/>
      <c r="K21" s="129"/>
      <c r="L21" s="129"/>
      <c r="M21" s="129"/>
      <c r="N21" s="129"/>
      <c r="O21" s="129"/>
      <c r="P21" s="129"/>
      <c r="Q21" s="129"/>
      <c r="R21" s="129"/>
      <c r="S21" s="129"/>
      <c r="T21" s="129"/>
      <c r="U21" s="129"/>
      <c r="V21" s="129"/>
      <c r="W21" s="129"/>
      <c r="X21" s="129"/>
      <c r="Y21" s="129"/>
      <c r="Z21" s="129"/>
      <c r="AA21" s="129"/>
      <c r="AB21" s="129"/>
      <c r="AC21" s="129"/>
      <c r="AD21" s="129"/>
      <c r="AE21" s="129"/>
      <c r="AF21" s="129"/>
      <c r="AG21" s="129"/>
      <c r="AH21" s="129"/>
      <c r="AI21" s="129"/>
      <c r="AJ21" s="129"/>
      <c r="AK21" s="129"/>
      <c r="AL21" s="129"/>
      <c r="AM21" s="129"/>
      <c r="AN21" s="179"/>
      <c r="AO21" s="43"/>
      <c r="AP21" s="74"/>
      <c r="AQ21" s="74"/>
      <c r="AR21" s="104"/>
      <c r="AS21" s="104"/>
      <c r="AT21" s="104"/>
      <c r="AU21" s="104"/>
      <c r="AV21" s="104"/>
      <c r="AW21" s="105" t="str">
        <f t="shared" ref="AW21" si="50">E22</f>
        <v/>
      </c>
      <c r="AX21" s="108" t="str">
        <f t="shared" ref="AX21" si="51">IF(AY21=0,"",TIME(0,A21,B21))</f>
        <v/>
      </c>
      <c r="AY21" s="108">
        <f t="shared" ref="AY21" si="52">TIME(0,C21,D21)</f>
        <v>0</v>
      </c>
      <c r="AZ21" s="108" t="str">
        <f t="shared" ref="AZ21" si="53">IFERROR(AY21-AX21,"")</f>
        <v/>
      </c>
      <c r="BA21" s="276" t="str">
        <f t="shared" ref="BA21" si="54">IF($AX$17=0,"",IF(AND($C$10&lt;&gt;"",AW21="H",AZ21&gt;$AX$17),"X",""))</f>
        <v/>
      </c>
      <c r="BB21" s="104"/>
      <c r="BC21" s="104"/>
      <c r="BD21" s="104"/>
      <c r="BE21" s="104"/>
      <c r="BF21" s="104"/>
      <c r="BG21" s="104" t="str">
        <f>IFERROR(IF(F21&lt;&gt;"",INDEX(Parts_Active,MATCH(F21,Parts_Active,0)),""),"No")</f>
        <v/>
      </c>
      <c r="BH21" s="104"/>
      <c r="BI21" s="104" t="str">
        <f t="shared" ref="BI21" si="55">IF($E22="H",IF($F21="Hybrid - Thrust + 2 connections","Hybrid_Mix_Req",IF($F21="Hybrid - min 4 swimmers (no DD)","Hybrid_ChoHY","HybridDD_Code")),IF($E22=3,"TreDD_Code",IF($E22="PA","AcroPair_Code",IF(LEFT($F21,4)="Acro",CONCATENATE(BI$16,$E22,"_Code"),"Data!$BI$1:$BI$5"))))</f>
        <v>Data!$BI$1:$BI$5</v>
      </c>
      <c r="BJ21" s="104" t="str">
        <f t="shared" ref="BJ21" si="56">IF($E22="H",IF($F21="Hybrid - Thrust + 2 connections","Hybrid_Mix_Req",IF($F21="Hybrid - min 4 swimmers (no DD)","Data!$BI$1:$BI$5","HybridDD_Code")),IF($E22=3,"TreDD_Code",IF($E22="PA","AcroPair_Code",IF(LEFT($F21,4)="Acro",CONCATENATE(BJ$16,$E22,"_Code"),"Data!$BI$1:$BI$5"))))</f>
        <v>Data!$BI$1:$BI$5</v>
      </c>
      <c r="BK21" s="104" t="str">
        <f t="shared" si="6"/>
        <v>Data!$BI$1:$BI$5</v>
      </c>
      <c r="BL21" s="104" t="str">
        <f t="shared" si="6"/>
        <v>Data!$BI$1:$BI$5</v>
      </c>
      <c r="BM21" s="104" t="str">
        <f t="shared" si="6"/>
        <v>Data!$BI$1:$BI$5</v>
      </c>
      <c r="BN21" s="104" t="str">
        <f t="shared" si="6"/>
        <v>Data!$BI$1:$BI$5</v>
      </c>
      <c r="BO21" s="104" t="str">
        <f t="shared" si="6"/>
        <v>Data!$BI$1:$BI$5</v>
      </c>
      <c r="BP21" s="104" t="str">
        <f t="shared" si="6"/>
        <v>Data!$BI$1:$BI$5</v>
      </c>
      <c r="BQ21" s="104" t="str">
        <f t="shared" si="6"/>
        <v>Data!$BI$1:$BI$5</v>
      </c>
      <c r="BR21" s="104" t="str">
        <f t="shared" ref="BR21" si="57">IF($E22="H",IF($F21="Hybrid - Thrust + 2 connections","Data!$BI$1:$BI$5","HybridDD_Code"),"Data!$BI$1:$BI$5")</f>
        <v>Data!$BI$1:$BI$5</v>
      </c>
      <c r="BS21" s="104" t="str">
        <f t="shared" si="7"/>
        <v>Data!$BI$1:$BI$5</v>
      </c>
      <c r="BT21" s="104" t="str">
        <f t="shared" si="7"/>
        <v>Data!$BI$1:$BI$5</v>
      </c>
      <c r="BU21" s="104" t="str">
        <f t="shared" si="7"/>
        <v>Data!$BI$1:$BI$5</v>
      </c>
      <c r="BV21" s="104" t="str">
        <f t="shared" si="7"/>
        <v>Data!$BI$1:$BI$5</v>
      </c>
      <c r="BW21" s="104" t="str">
        <f t="shared" si="7"/>
        <v>Data!$BI$1:$BI$5</v>
      </c>
      <c r="BX21" s="104" t="str">
        <f t="shared" si="7"/>
        <v>Data!$BI$1:$BI$5</v>
      </c>
      <c r="BY21" s="104" t="str">
        <f t="shared" si="7"/>
        <v>Data!$BI$1:$BI$5</v>
      </c>
      <c r="BZ21" s="104" t="str">
        <f t="shared" si="7"/>
        <v>Data!$BI$1:$BI$5</v>
      </c>
      <c r="CA21" s="104" t="str">
        <f t="shared" si="7"/>
        <v>Data!$BI$1:$BI$5</v>
      </c>
      <c r="CB21" s="104" t="str">
        <f t="shared" si="7"/>
        <v>Data!$BI$1:$BI$5</v>
      </c>
      <c r="CC21" s="104" t="str">
        <f t="shared" si="7"/>
        <v>Data!$BI$1:$BI$5</v>
      </c>
      <c r="CD21" s="104" t="str">
        <f t="shared" si="7"/>
        <v>Data!$BI$1:$BI$5</v>
      </c>
      <c r="CE21" s="104" t="str">
        <f t="shared" si="7"/>
        <v>Data!$BI$1:$BI$5</v>
      </c>
      <c r="CF21" s="104" t="str">
        <f t="shared" si="7"/>
        <v>Data!$BI$1:$BI$5</v>
      </c>
      <c r="CG21" s="104" t="str">
        <f t="shared" si="7"/>
        <v>Data!$BI$1:$BI$5</v>
      </c>
      <c r="CH21" s="104" t="str">
        <f t="shared" si="7"/>
        <v>Data!$BI$1:$BI$5</v>
      </c>
      <c r="CI21" s="104" t="str">
        <f t="shared" si="8"/>
        <v>Data!$BI$1:$BI$5</v>
      </c>
      <c r="CJ21" s="104" t="str">
        <f t="shared" si="8"/>
        <v>Data!$BI$1:$BI$5</v>
      </c>
      <c r="CK21" s="104" t="str">
        <f t="shared" si="8"/>
        <v>Data!$BI$1:$BI$5</v>
      </c>
      <c r="CL21" s="104" t="str">
        <f t="shared" si="8"/>
        <v>Data!$BI$1:$BI$5</v>
      </c>
      <c r="CM21" s="104"/>
      <c r="CN21" s="104"/>
      <c r="CO21" s="107" t="str">
        <f>IFERROR(TIME(0,A21,B21),"")</f>
        <v/>
      </c>
      <c r="CP21" s="108">
        <f>IFERROR(TIME(0,C21,D21),"")</f>
        <v>0</v>
      </c>
      <c r="CQ21" s="108" t="str">
        <f t="shared" ref="CQ21" si="58">IF(CP21&gt;$D$12,"X","")</f>
        <v/>
      </c>
      <c r="CR21" s="102" t="str">
        <f>IF(AND(F21="Hybrid - Thrust + 2 connections",OR(LEFT(J21,1)="T",LEFT(K21,1)="T",LEFT(L21,1)="T",LEFT(PB21,1)="T",LEFT(M21,1)="T",LEFT(N21,1)="T",LEFT(O21,1)="T",LEFT(P21,1)="T",LEFT(Q21,1)="T",LEFT(R21,1)="T",LEFT(S21,1)="T",LEFT(T21,1)="T",LEFT(U21,1)="T",LEFT(V21,1)="T",LEFT(W21,1)="T",LEFT(X21,1)="T",LEFT(AK21,1)="T",LEFT(AL21,1)="T",LEFT(AM21,1)="T")),IF(OR(LEN(J21)=2,LEN(K21)=2,LEN(L21)=2,LEN(M21)=2,LEN(N21)=2,LEN(O21)=2,LEN(P21)=2,LEN(Q21)=2,LEN(R21)=2,LEN(S21)=2,LEN(T21)=2,LEN(U21)=2,LEN(V21)=2,LEN(W21)=2,LEN(X21)=2,LEN(Y21)=2,LEN(Z21)=2,LEN(AK21)=2,LEN(AL21)=2,LEN(AM21)=2),"X",""),"")</f>
        <v/>
      </c>
      <c r="CT21" s="102" t="str">
        <f>IF(LEFT(F21,4)="Acro",IF(AND(N21&lt;&gt;"",M21=RIGHT(N21,2)),"X","OK"),"")</f>
        <v/>
      </c>
      <c r="CU21" s="104" t="str">
        <f t="shared" ref="CU21:DB21" si="59">IFERROR(IF(AND(LEFT($F21,4)="Acro",INDEX(Requ_App,MATCH(BI21,Requ_Code,0))="No"),"X",""),"")</f>
        <v/>
      </c>
      <c r="CV21" s="104" t="str">
        <f t="shared" si="59"/>
        <v/>
      </c>
      <c r="CW21" s="104" t="str">
        <f t="shared" si="59"/>
        <v/>
      </c>
      <c r="CX21" s="104" t="str">
        <f t="shared" si="59"/>
        <v/>
      </c>
      <c r="CY21" s="104" t="str">
        <f t="shared" si="59"/>
        <v/>
      </c>
      <c r="CZ21" s="104" t="str">
        <f t="shared" si="59"/>
        <v/>
      </c>
      <c r="DA21" s="104" t="str">
        <f t="shared" si="59"/>
        <v/>
      </c>
      <c r="DB21" s="104" t="str">
        <f t="shared" si="59"/>
        <v/>
      </c>
      <c r="DC21" s="104" t="str">
        <f>IFERROR(IF(AND(LEFT($F21,4)="Acro",INDEX(Requ_App,MATCH(BP21,Requ_Code,0))="No"),"X",""),"")</f>
        <v/>
      </c>
      <c r="DD21" s="102" t="str">
        <f t="shared" si="10"/>
        <v/>
      </c>
      <c r="DE21" s="102" t="str">
        <f t="shared" si="11"/>
        <v/>
      </c>
      <c r="DF21" s="102" t="str">
        <f t="shared" si="12"/>
        <v/>
      </c>
      <c r="DG21" s="102" t="str">
        <f t="shared" si="13"/>
        <v/>
      </c>
      <c r="DK21" s="102">
        <f t="shared" ref="DK21" si="60">IF(AND(E22="A",OR(Q21="Grip",Q21="Conn",Q21="Catch")),"A1",IF(AND(E22="A",OR(Q21="Hula",Q21="RetSq",Q21="RetPa")),"A2",IF(AND(E22="B",OR(Q21="Twirl",Q21="RotF")),"B1",IF(AND(E22="B",OR(Q21="Moon",Q21="Mov",Q21="Hold")),"B2",IF(AND(E22="P",OR(Q21="Porp",Q21="Splch")),"P1",IF(AND(E22="P",OR(Q21="Diva",Q21="Stand")),"P2",IF(AND(E22="P",OR(Q21="Spider",Q21="Climb")),"P3",IF(AND(E22="P",OR(Q21="Fall",Q21="FTurn")),"P4",IF(AND(E22="C",OR(Q21="Jump",Q21="Jump&gt;",Q21="On1Foot",Q21="1F&gt;1F")),"C1",IF(AND(E22="C",OR(Q21="Run",Q21="BRun")),"C2",1))))))))))</f>
        <v>1</v>
      </c>
      <c r="DL21" s="102">
        <f t="shared" ref="DL21" si="61">IF(AND(E22="A",OR(R21="Grip",R21="Conn",R21="Catch")),"A1",IF(AND(E22="A",OR(R21="Hula",R21="RetSq",R21="RetPa")),"A2",IF(AND(E22="B",OR(R21="Twirl",R21="RotF")),"B1",IF(AND(E22="B",OR(R21="Moon",R21="Mov",R21="Hold")),"B2",IF(AND(E22="P",OR(R21="Porp",R21="Spich")),"P1",IF(AND(E22="P",OR(R21="Diva",R21="Stand")),"P2",IF(AND(E22="P",OR(R21="Spider",R21="Climb")),"P3",IF(AND(E22="P",OR(R21="Fall",R21="FTurn")),"P4",IF(AND(E22="C",OR(R21="Jump",R21="Jump&gt;",R21="On1Foot",R21="1F&gt;1F")),"C1",IF(AND(E22="C",OR(R21="Run",R21="BRun")),"C2",2))))))))))</f>
        <v>2</v>
      </c>
      <c r="DM21" s="102" t="str">
        <f>IF(AND(LEFT(F21,4)="Acro",Q21&lt;&gt;"",OR(Q21=R21,DK21=DL21)),IF(R21="C-Roll","","X"),IF(OR(AND(E22="A",Q21="Catch",R21&lt;&gt;"Dbl"),AND(E22="A",R21="Catch",Q21&lt;&gt;"Dbl")),"X",""))</f>
        <v/>
      </c>
      <c r="DN21" s="102" t="str">
        <f>IF(E22="PA",J21,"")</f>
        <v/>
      </c>
      <c r="DO21" s="102">
        <v>3</v>
      </c>
      <c r="DQ21" s="102" t="str">
        <f>IF(AND($E22="A",COUNTIF($DZ$19:$EA$68,DZ21)&gt;1),DZ21,"")</f>
        <v/>
      </c>
      <c r="DR21" s="102" t="str">
        <f>IF(AND($E22="A",COUNTIF($DZ$19:$EA$68,EA21)&gt;1),EA21,"")</f>
        <v/>
      </c>
      <c r="DS21" s="102" t="str">
        <f ca="1">IF(AND($E22="B",COUNTIF($J$19:$J$68,J21)&gt;1),J21,"")</f>
        <v/>
      </c>
      <c r="DT21" s="102" t="str">
        <f ca="1">IF(AND($E22="B",COUNTIF($K$19:$K$68,K21)&gt;1),K21,"")</f>
        <v/>
      </c>
      <c r="DU21" s="102" t="str">
        <f ca="1">IF(AND($E22="C",COUNTIF($J$19:$J$68,J21)&gt;1),J21,"")</f>
        <v/>
      </c>
      <c r="DV21" s="102" t="str">
        <f ca="1">IF(AND($E22="P",COUNTIF($J$19:$J$68,J21)&gt;1),J21,"")</f>
        <v/>
      </c>
      <c r="DW21" s="102" t="str">
        <f ca="1">IF(AND($E22="P",COUNTIF($K$19:$K$68,K21)&gt;1),K21,"")</f>
        <v/>
      </c>
      <c r="DX21" s="102" t="str">
        <f>IF(AND($E22="P",COUNTIF($DZ$19:$EA$68,DZ21)&gt;1),DZ21,"")</f>
        <v/>
      </c>
      <c r="DY21" s="102" t="str">
        <f>IF(AND($E22="P",COUNTIF($DZ$19:$EA$68,EA21)&gt;1),EA21,"")</f>
        <v/>
      </c>
      <c r="DZ21" s="102" t="str">
        <f>IFERROR(IF(OR(E22="A",E22="P"),M21,""),"")</f>
        <v/>
      </c>
      <c r="EA21" s="102" t="str">
        <f>IFERROR(IF(OR(E22="A",E22="P"),RIGHT(N21,2),""),"")</f>
        <v/>
      </c>
      <c r="EB21" s="102" t="str">
        <f t="shared" ref="EB21" si="62">IF(Q21="","",IF(AND($E22="P",COUNTIF($Q$19:$R$68,Q21)&gt;1),Q21,""))</f>
        <v/>
      </c>
      <c r="EC21" s="102" t="str">
        <f t="shared" ref="EC21" si="63">IF(R21="","",IF(AND($E22="P",COUNTIF($Q$19:$R$68,R21)&gt;1),R21,""))</f>
        <v/>
      </c>
      <c r="ED21" s="102" t="str">
        <f t="shared" si="14"/>
        <v/>
      </c>
      <c r="EE21" s="102" t="str">
        <f t="shared" si="15"/>
        <v/>
      </c>
      <c r="EF21" s="102" t="str">
        <f>IF(AND($F$8="Open Team Acrobatic",LEFT(F21,4)="Acro"),E22,"")</f>
        <v/>
      </c>
      <c r="EG21" s="102" t="str">
        <f t="shared" ref="EG21" si="64">IFERROR(IF(HLOOKUP(EF21,$DQ$12:$DT$13,2,FALSE)&gt;2,"X",""),"")</f>
        <v/>
      </c>
      <c r="EI21" s="102" t="str">
        <f t="shared" ref="EI21" si="65">IF(OR(AND(F21="Hybrid - Thrust + 2 connections",EI22="T"),AND(E22="H",EI22&lt;&gt;"",EI75="X")),"X","")</f>
        <v/>
      </c>
      <c r="EK21" s="102">
        <f t="shared" ref="EK21" si="66">IFERROR(IF(AND($E22="H",J21&lt;&gt;"",J21&lt;&gt;"ChoHY"),IF(OR(LEFT(J21,1)="T",LEFT(J21,1)="S",LEFT(J21,1)="A",LEFT(J21,1)="F",LEFT(J21,1)="C"),LEFT(J21,1),"R"),EK$18),"")</f>
        <v>1</v>
      </c>
      <c r="EL21" s="102">
        <f t="shared" ref="EL21:EZ21" si="67">IFERROR(IF(AND($E22="H",K21&lt;&gt;""),IF(OR(LEFT(K21,1)="T",LEFT(K21,1)="S",LEFT(K21,1)="A",LEFT(K21,1)="F",LEFT(K21,1)="C"),LEFT(K21,1),"R"),EL$18),"")</f>
        <v>2</v>
      </c>
      <c r="EM21" s="102">
        <f t="shared" si="67"/>
        <v>3</v>
      </c>
      <c r="EN21" s="102">
        <f t="shared" si="67"/>
        <v>4</v>
      </c>
      <c r="EO21" s="102">
        <f t="shared" si="67"/>
        <v>5</v>
      </c>
      <c r="EP21" s="102">
        <f t="shared" si="67"/>
        <v>6</v>
      </c>
      <c r="EQ21" s="102">
        <f t="shared" si="67"/>
        <v>7</v>
      </c>
      <c r="ER21" s="102">
        <f t="shared" si="67"/>
        <v>8</v>
      </c>
      <c r="ES21" s="102">
        <f t="shared" si="67"/>
        <v>9</v>
      </c>
      <c r="ET21" s="102">
        <f t="shared" si="67"/>
        <v>10</v>
      </c>
      <c r="EU21" s="102">
        <f t="shared" si="67"/>
        <v>11</v>
      </c>
      <c r="EV21" s="102">
        <f t="shared" si="67"/>
        <v>12</v>
      </c>
      <c r="EW21" s="102">
        <f t="shared" si="67"/>
        <v>13</v>
      </c>
      <c r="EX21" s="102">
        <f t="shared" si="67"/>
        <v>14</v>
      </c>
      <c r="EY21" s="102">
        <f t="shared" si="67"/>
        <v>15</v>
      </c>
      <c r="EZ21" s="102">
        <f t="shared" si="67"/>
        <v>16</v>
      </c>
      <c r="FA21" s="102">
        <f t="shared" ref="FA21" si="68">IFERROR(IF(AND($E22="H",Z21&lt;&gt;""),IF(OR(LEFT(Z21,1)="T",LEFT(Z21,1)="S",LEFT(Z21,1)="A",LEFT(Z21,1)="F",LEFT(Z21,1)="C"),LEFT(Z21,1),"R"),FA$18),"")</f>
        <v>17</v>
      </c>
      <c r="FB21" s="102">
        <f t="shared" ref="FB21" si="69">IFERROR(IF(AND($E22="H",AA21&lt;&gt;""),IF(OR(LEFT(AA21,1)="T",LEFT(AA21,1)="S",LEFT(AA21,1)="A",LEFT(AA21,1)="F",LEFT(AA21,1)="C"),LEFT(AA21,1),"R"),FB$18),"")</f>
        <v>18</v>
      </c>
      <c r="FC21" s="102">
        <f t="shared" ref="FC21" si="70">IFERROR(IF(AND($E22="H",AB21&lt;&gt;""),IF(OR(LEFT(AB21,1)="T",LEFT(AB21,1)="S",LEFT(AB21,1)="A",LEFT(AB21,1)="F",LEFT(AB21,1)="C"),LEFT(AB21,1),"R"),FC$18),"")</f>
        <v>19</v>
      </c>
      <c r="FD21" s="102">
        <f t="shared" ref="FD21" si="71">IFERROR(IF(AND($E22="H",AC21&lt;&gt;""),IF(OR(LEFT(AC21,1)="T",LEFT(AC21,1)="S",LEFT(AC21,1)="A",LEFT(AC21,1)="F",LEFT(AC21,1)="C"),LEFT(AC21,1),"R"),FD$18),"")</f>
        <v>20</v>
      </c>
      <c r="FE21" s="102">
        <f t="shared" ref="FE21" si="72">IFERROR(IF(AND($E22="H",AD21&lt;&gt;""),IF(OR(LEFT(AD21,1)="T",LEFT(AD21,1)="S",LEFT(AD21,1)="A",LEFT(AD21,1)="F",LEFT(AD21,1)="C"),LEFT(AD21,1),"R"),FE$18),"")</f>
        <v>21</v>
      </c>
      <c r="FF21" s="102">
        <f t="shared" ref="FF21" si="73">IFERROR(IF(AND($E22="H",AE21&lt;&gt;""),IF(OR(LEFT(AE21,1)="T",LEFT(AE21,1)="S",LEFT(AE21,1)="A",LEFT(AE21,1)="F",LEFT(AE21,1)="C"),LEFT(AE21,1),"R"),FF$18),"")</f>
        <v>22</v>
      </c>
      <c r="FG21" s="102">
        <f t="shared" ref="FG21" si="74">IFERROR(IF(AND($E22="H",AF21&lt;&gt;""),IF(OR(LEFT(AF21,1)="T",LEFT(AF21,1)="S",LEFT(AF21,1)="A",LEFT(AF21,1)="F",LEFT(AF21,1)="C"),LEFT(AF21,1),"R"),FG$18),"")</f>
        <v>23</v>
      </c>
      <c r="FH21" s="102">
        <f t="shared" ref="FH21" si="75">IFERROR(IF(AND($E22="H",AG21&lt;&gt;""),IF(OR(LEFT(AG21,1)="T",LEFT(AG21,1)="S",LEFT(AG21,1)="A",LEFT(AG21,1)="F",LEFT(AG21,1)="C"),LEFT(AG21,1),"R"),FH$18),"")</f>
        <v>24</v>
      </c>
      <c r="FI21" s="102">
        <f t="shared" ref="FI21" si="76">IFERROR(IF(AND($E22="H",AH21&lt;&gt;""),IF(OR(LEFT(AH21,1)="T",LEFT(AH21,1)="S",LEFT(AH21,1)="A",LEFT(AH21,1)="F",LEFT(AH21,1)="C"),LEFT(AH21,1),"R"),FI$18),"")</f>
        <v>25</v>
      </c>
      <c r="FJ21" s="102">
        <f t="shared" ref="FJ21" si="77">IFERROR(IF(AND($E22="H",AI21&lt;&gt;""),IF(OR(LEFT(AI21,1)="T",LEFT(AI21,1)="S",LEFT(AI21,1)="A",LEFT(AI21,1)="F",LEFT(AI21,1)="C"),LEFT(AI21,1),"R"),FJ$18),"")</f>
        <v>26</v>
      </c>
      <c r="FK21" s="102">
        <f t="shared" ref="FK21" si="78">IFERROR(IF(AND($E22="H",AJ21&lt;&gt;""),IF(OR(LEFT(AJ21,1)="T",LEFT(AJ21,1)="S",LEFT(AJ21,1)="A",LEFT(AJ21,1)="F",LEFT(AJ21,1)="C"),LEFT(AJ21,1),"R"),FK$18),"")</f>
        <v>27</v>
      </c>
      <c r="FL21" s="102">
        <f t="shared" ref="FL21" si="79">IFERROR(IF(AND($E22="H",AK21&lt;&gt;""),IF(OR(LEFT(AK21,1)="T",LEFT(AK21,1)="S",LEFT(AK21,1)="A",LEFT(AK21,1)="F",LEFT(AK21,1)="C"),LEFT(AK21,1),"R"),FL$18),"")</f>
        <v>28</v>
      </c>
      <c r="FM21" s="102">
        <f t="shared" ref="FM21" si="80">IFERROR(IF(AND($E22="H",AL21&lt;&gt;""),IF(OR(LEFT(AL21,1)="T",LEFT(AL21,1)="S",LEFT(AL21,1)="A",LEFT(AL21,1)="F",LEFT(AL21,1)="C"),LEFT(AL21,1),"R"),FM$18),"")</f>
        <v>29</v>
      </c>
      <c r="FN21" s="102">
        <f t="shared" ref="FN21" si="81">IFERROR(IF(AND($E22="H",AM21&lt;&gt;""),IF(OR(LEFT(AM21,1)="T",LEFT(AM21,1)="S",LEFT(AM21,1)="A",LEFT(AM21,1)="F",LEFT(AM21,1)="C"),LEFT(AM21,1),"R"),FN$18),"")</f>
        <v>30</v>
      </c>
      <c r="FO21" s="102"/>
      <c r="FP21" s="102"/>
      <c r="FQ21" s="102"/>
      <c r="FR21" s="282"/>
      <c r="FS21" s="282"/>
      <c r="FT21" s="282"/>
      <c r="FU21" s="282"/>
      <c r="FV21" s="282"/>
      <c r="FW21" s="282"/>
      <c r="FX21" s="282"/>
      <c r="FY21" s="282"/>
      <c r="FZ21" s="282"/>
      <c r="GA21" s="282"/>
      <c r="GB21" s="282"/>
      <c r="GC21" s="282"/>
      <c r="GD21" s="282"/>
      <c r="GE21" s="282"/>
      <c r="GF21" s="282"/>
      <c r="GG21" s="282"/>
      <c r="GH21" s="282"/>
      <c r="GI21" s="282"/>
      <c r="GJ21" s="282"/>
      <c r="GK21" s="282"/>
      <c r="GL21" s="282"/>
      <c r="GM21" s="282"/>
      <c r="GN21" s="282"/>
      <c r="GO21" s="282"/>
      <c r="GP21" s="282"/>
      <c r="GQ21" s="282"/>
      <c r="GR21" s="282"/>
      <c r="GS21" s="282"/>
      <c r="GT21" s="282"/>
      <c r="GU21" s="282"/>
      <c r="GV21" s="102"/>
      <c r="GW21" s="102">
        <f t="shared" ref="GW21" si="82">COUNTIF($EK21:$FN21,GW$18)</f>
        <v>0</v>
      </c>
      <c r="GX21" s="102">
        <f t="shared" si="29"/>
        <v>0</v>
      </c>
      <c r="GY21" s="102">
        <f t="shared" si="29"/>
        <v>0</v>
      </c>
      <c r="GZ21" s="102">
        <f t="shared" si="29"/>
        <v>0</v>
      </c>
      <c r="HA21" s="102">
        <f t="shared" si="29"/>
        <v>0</v>
      </c>
      <c r="HB21" s="102">
        <f t="shared" si="29"/>
        <v>0</v>
      </c>
      <c r="HC21" s="102"/>
      <c r="HD21" s="102" t="str">
        <f t="shared" ref="HD21" si="83">IF(AND($F21="Hybrid - Thrust + 2 connections",HD22=0,LEFT($J21,1)="C",LEFT($K21,1)="C",LEFT($L21,1)="C"),"X","")</f>
        <v/>
      </c>
      <c r="HE21" s="102"/>
      <c r="HF21" s="105"/>
      <c r="HG21" s="114"/>
      <c r="HH21" s="114"/>
      <c r="HI21" s="105" t="str">
        <f t="shared" ref="HI21" si="84">IF(E22=3,IF(_xlfn.NUMBERVALUE(LEFT(J21,1))&gt;0,_xlfn.NUMBERVALUE(LEFT(J21,1)),""),"")</f>
        <v/>
      </c>
      <c r="HK21" s="105" t="str">
        <f t="shared" ref="HK21" si="85">IF(OR(E22="B",E22="P"),E22,"")</f>
        <v/>
      </c>
      <c r="HL21" s="105" t="str">
        <f>IF(AND(J21&lt;&gt;"",HK21&lt;&gt;""),IF(HK21="B",MATCH(J21,AcroDD!$U$3:$AE$3,0),MATCH(J21,AcroDD!$U$30:$AC$30,0)),"")</f>
        <v/>
      </c>
      <c r="HM21" s="105" t="str">
        <f t="shared" ref="HM21" si="86">IF(AND(K21&lt;&gt;"",HK21&lt;&gt;""),K21,"")</f>
        <v/>
      </c>
      <c r="HN21" s="105" t="str">
        <f ca="1">IF(AND(OR(HK21="B",HK21="P"),HL21&lt;&gt;"",HM21&lt;&gt;""),IF(IFERROR(IF(HK21="B",MATCH(HM21,OFFSET(AcroDD!$T$4,0,HL21,20),0),MATCH(HM21,OFFSET(AcroDD!$T$31,0,HL21,20),0)),"")&lt;&gt;"","OK","X"),"")</f>
        <v/>
      </c>
    </row>
    <row r="22" spans="1:222" x14ac:dyDescent="0.25">
      <c r="A22" s="39"/>
      <c r="B22" s="40"/>
      <c r="C22" s="40"/>
      <c r="D22" s="40"/>
      <c r="E22" s="20" t="str">
        <f>IF(F21="Acrobatic - Pair","PA",IF(F21="Acrobatic Airborn","A",IF(F21="Acrobatic Balance","B",IF(F21="Acrobatic Combined","C",IF(F21="Acrobatic Platform","P",IF(F21="Technical Required Element",3,IF(LEFT(F21,4)="Hybr","H","")))))))</f>
        <v/>
      </c>
      <c r="F22" s="20" t="str">
        <f>IF(AND(F21="Hybrid - Thrust + 2 connections",CR21="X"),"Hybrid - Thrust",IF(OR(E22="A",E22="B",E22="C",E22="P"),"Acrobatic",""))</f>
        <v/>
      </c>
      <c r="G22" s="42"/>
      <c r="H22" s="207" t="str">
        <f t="shared" ref="H22" si="87">IF(E22="PA",IF(OR(LEFT(J21,1)="L",LEFT(J21,1)="S"),"A-Pair-Lift",IF(OR(LEFT(J21,1)="W",LEFT(J21,1)="T"),"A-Pair-Throw",IF(LEFT(J21,1)="J","A-Pair-Jump","A-Pair"))),IF(OR(E22="A",E22="B",E22="C",E22="P"),CONCATENATE("Acro-",E22),""))</f>
        <v/>
      </c>
      <c r="I22" s="201" t="e">
        <f t="shared" ref="I22" si="88">IF(OR(F21="Hybrid - min 4 swimmers (no DD)",LEFT(F21,5)="Trans"),0,INDEX($BY$3:$BY$9,MATCH(E22,$BX$3:$BX$9,0)))</f>
        <v>#N/A</v>
      </c>
      <c r="J22" s="196">
        <f ca="1">IFERROR(IF($H21="No DD",IF(J21="ChoHY",1,0),IF(OR(ISBLANK(J21),J21="N/A"),0,INDEX(INDIRECT(BI22),MATCH(J21,INDIRECT(BI21),0)))),0)</f>
        <v>0</v>
      </c>
      <c r="K22" s="196">
        <f t="shared" ref="K22:Y22" ca="1" si="89">IFERROR(IF($H21="No DD",0,IF(OR(ISBLANK(K21),K21="N/A"),0,INDEX(INDIRECT(BJ22),MATCH(K21,INDIRECT(BJ21),0)))),0)</f>
        <v>0</v>
      </c>
      <c r="L22" s="196">
        <f t="shared" ca="1" si="89"/>
        <v>0</v>
      </c>
      <c r="M22" s="196">
        <f t="shared" ca="1" si="89"/>
        <v>0</v>
      </c>
      <c r="N22" s="196">
        <f t="shared" ca="1" si="89"/>
        <v>0</v>
      </c>
      <c r="O22" s="196">
        <f t="shared" ca="1" si="89"/>
        <v>0</v>
      </c>
      <c r="P22" s="196">
        <f t="shared" ca="1" si="89"/>
        <v>0</v>
      </c>
      <c r="Q22" s="196">
        <f t="shared" ca="1" si="89"/>
        <v>0</v>
      </c>
      <c r="R22" s="196">
        <f t="shared" ca="1" si="89"/>
        <v>0</v>
      </c>
      <c r="S22" s="196">
        <f t="shared" ca="1" si="89"/>
        <v>0</v>
      </c>
      <c r="T22" s="196">
        <f t="shared" ca="1" si="89"/>
        <v>0</v>
      </c>
      <c r="U22" s="196">
        <f t="shared" ca="1" si="89"/>
        <v>0</v>
      </c>
      <c r="V22" s="196">
        <f t="shared" ca="1" si="89"/>
        <v>0</v>
      </c>
      <c r="W22" s="196">
        <f t="shared" ca="1" si="89"/>
        <v>0</v>
      </c>
      <c r="X22" s="196">
        <f t="shared" ca="1" si="89"/>
        <v>0</v>
      </c>
      <c r="Y22" s="196">
        <f t="shared" ca="1" si="89"/>
        <v>0</v>
      </c>
      <c r="Z22" s="196">
        <f t="shared" ref="Z22" ca="1" si="90">IFERROR(IF($H21="No DD",0,IF(OR(ISBLANK(Z21),Z21="N/A"),0,INDEX(INDIRECT(BY22),MATCH(Z21,INDIRECT(BY21),0)))),0)</f>
        <v>0</v>
      </c>
      <c r="AA22" s="196">
        <f t="shared" ref="AA22" ca="1" si="91">IFERROR(IF($H21="No DD",0,IF(OR(ISBLANK(AA21),AA21="N/A"),0,INDEX(INDIRECT(BZ22),MATCH(AA21,INDIRECT(BZ21),0)))),0)</f>
        <v>0</v>
      </c>
      <c r="AB22" s="196">
        <f t="shared" ref="AB22" ca="1" si="92">IFERROR(IF($H21="No DD",0,IF(OR(ISBLANK(AB21),AB21="N/A"),0,INDEX(INDIRECT(CA22),MATCH(AB21,INDIRECT(CA21),0)))),0)</f>
        <v>0</v>
      </c>
      <c r="AC22" s="196">
        <f t="shared" ref="AC22" ca="1" si="93">IFERROR(IF($H21="No DD",0,IF(OR(ISBLANK(AC21),AC21="N/A"),0,INDEX(INDIRECT(CB22),MATCH(AC21,INDIRECT(CB21),0)))),0)</f>
        <v>0</v>
      </c>
      <c r="AD22" s="196">
        <f t="shared" ref="AD22" ca="1" si="94">IFERROR(IF($H21="No DD",0,IF(OR(ISBLANK(AD21),AD21="N/A"),0,INDEX(INDIRECT(CC22),MATCH(AD21,INDIRECT(CC21),0)))),0)</f>
        <v>0</v>
      </c>
      <c r="AE22" s="196">
        <f t="shared" ref="AE22" ca="1" si="95">IFERROR(IF($H21="No DD",0,IF(OR(ISBLANK(AE21),AE21="N/A"),0,INDEX(INDIRECT(CD22),MATCH(AE21,INDIRECT(CD21),0)))),0)</f>
        <v>0</v>
      </c>
      <c r="AF22" s="196">
        <f t="shared" ref="AF22" ca="1" si="96">IFERROR(IF($H21="No DD",0,IF(OR(ISBLANK(AF21),AF21="N/A"),0,INDEX(INDIRECT(CE22),MATCH(AF21,INDIRECT(CE21),0)))),0)</f>
        <v>0</v>
      </c>
      <c r="AG22" s="196">
        <f t="shared" ref="AG22" ca="1" si="97">IFERROR(IF($H21="No DD",0,IF(OR(ISBLANK(AG21),AG21="N/A"),0,INDEX(INDIRECT(CF22),MATCH(AG21,INDIRECT(CF21),0)))),0)</f>
        <v>0</v>
      </c>
      <c r="AH22" s="196">
        <f t="shared" ref="AH22" ca="1" si="98">IFERROR(IF($H21="No DD",0,IF(OR(ISBLANK(AH21),AH21="N/A"),0,INDEX(INDIRECT(CG22),MATCH(AH21,INDIRECT(CG21),0)))),0)</f>
        <v>0</v>
      </c>
      <c r="AI22" s="196">
        <f t="shared" ref="AI22" ca="1" si="99">IFERROR(IF($H21="No DD",0,IF(OR(ISBLANK(AI21),AI21="N/A"),0,INDEX(INDIRECT(CH22),MATCH(AI21,INDIRECT(CH21),0)))),0)</f>
        <v>0</v>
      </c>
      <c r="AJ22" s="196">
        <f t="shared" ref="AJ22" ca="1" si="100">IFERROR(IF($H21="No DD",0,IF(OR(ISBLANK(AJ21),AJ21="N/A"),0,INDEX(INDIRECT(CI22),MATCH(AJ21,INDIRECT(CI21),0)))),0)</f>
        <v>0</v>
      </c>
      <c r="AK22" s="196">
        <f t="shared" ref="AK22" ca="1" si="101">IFERROR(IF($H21="No DD",0,IF(OR(ISBLANK(AK21),AK21="N/A"),0,INDEX(INDIRECT(CJ22),MATCH(AK21,INDIRECT(CJ21),0)))),0)</f>
        <v>0</v>
      </c>
      <c r="AL22" s="196">
        <f t="shared" ref="AL22" ca="1" si="102">IFERROR(IF($H21="No DD",0,IF(OR(ISBLANK(AL21),AL21="N/A"),0,INDEX(INDIRECT(CK22),MATCH(AL21,INDIRECT(CK21),0)))),0)</f>
        <v>0</v>
      </c>
      <c r="AM22" s="196">
        <f t="shared" ref="AM22" ca="1" si="103">IFERROR(IF($H21="No DD",0,IF(OR(ISBLANK(AM21),AM21="N/A"),0,INDEX(INDIRECT(CL22),MATCH(AM21,INDIRECT(CL21),0)))),0)</f>
        <v>0</v>
      </c>
      <c r="AN22" s="197" t="str">
        <f>IFERROR(IF(E22="H",INDEX(HybridBonus_Value,MATCH(AN21,HybridBonus_Code,0)),""),"")</f>
        <v/>
      </c>
      <c r="AO22" s="195" t="str">
        <f t="shared" ref="AO22" si="104">IFERROR(SUM(I22:AN22),"")</f>
        <v/>
      </c>
      <c r="AP22" s="75"/>
      <c r="AQ22" s="75"/>
      <c r="AR22" s="115"/>
      <c r="AS22" s="115"/>
      <c r="AT22" s="115"/>
      <c r="AU22" s="115"/>
      <c r="AV22" s="115"/>
      <c r="BA22" s="104"/>
      <c r="BB22" s="115"/>
      <c r="BC22" s="115"/>
      <c r="BD22" s="115"/>
      <c r="BE22" s="115"/>
      <c r="BF22" s="115"/>
      <c r="BG22" s="104"/>
      <c r="BH22" s="115"/>
      <c r="BI22" s="105" t="str">
        <f t="shared" ref="BI22" si="105">IF($E22="H",IF($F21="Hybrid - Thrust + 2 connections","Hybrid_Mix_Req_Value","HybridDD_Value"),IF($E22=3,"TreDD_Value",IF($E22="PA","AcroPair_Value",IF(LEFT($F21,4)="Acro",CONCATENATE(BI$16,$E22,"_Value"),""))))</f>
        <v/>
      </c>
      <c r="BJ22" s="105" t="str">
        <f t="shared" ref="BJ22" si="106">IF($E22="H",IF($F21="Hybrid - Thrust + 2 connections","Hybrid_Mix_Req_Value","HybridDD_Value"),IF($E22=3,"TreDD_Value",IF($E22="PA","AcroPair_Value",IF(LEFT($F21,4)="Acro",CONCATENATE(BJ$16,$E22,"_Value"),""))))</f>
        <v/>
      </c>
      <c r="BK22" s="105" t="str">
        <f t="shared" ref="BK22" si="107">IF($E22="H",IF($F21="Hybrid - Thrust + 2 connections","Hybrid_Mix_Req_Value","HybridDD_Value"),IF($E22=3,"TreDD_Value",IF($E22="PA","AcroPair_Value",IF(LEFT($F21,4)="Acro",CONCATENATE(BK$16,$E22,"_Value"),""))))</f>
        <v/>
      </c>
      <c r="BL22" s="105" t="str">
        <f t="shared" ref="BL22" si="108">IF($E22="H",IF($F21="Hybrid - Thrust + 2 connections","Hybrid_Mix_Req_Value","HybridDD_Value"),IF($E22=3,"TreDD_Value",IF($E22="PA","AcroPair_Value",IF(LEFT($F21,4)="Acro",CONCATENATE(BL$16,$E22,"_Value"),""))))</f>
        <v/>
      </c>
      <c r="BM22" s="105" t="str">
        <f t="shared" ref="BM22" si="109">IF($E22="H",IF($F21="Hybrid - Thrust + 2 connections","Hybrid_Mix_Req_Value","HybridDD_Value"),IF($E22=3,"TreDD_Value",IF($E22="PA","AcroPair_Value",IF(LEFT($F21,4)="Acro",CONCATENATE(BM$16,$E22,"_Value"),""))))</f>
        <v/>
      </c>
      <c r="BN22" s="105" t="str">
        <f t="shared" ref="BN22" si="110">IF($E22="H",IF($F21="Hybrid - Thrust + 2 connections","Hybrid_Mix_Req_Value","HybridDD_Value"),IF($E22=3,"TreDD_Value",IF($E22="PA","AcroPair_Value",IF(LEFT($F21,4)="Acro",CONCATENATE(BN$16,$E22,"_Value"),""))))</f>
        <v/>
      </c>
      <c r="BO22" s="105" t="str">
        <f t="shared" ref="BO22" si="111">IF($E22="H",IF($F21="Hybrid - Thrust + 2 connections","Hybrid_Mix_Req_Value","HybridDD_Value"),IF($E22=3,"TreDD_Value",IF($E22="PA","AcroPair_Value",IF(LEFT($F21,4)="Acro",CONCATENATE(BO$16,$E22,"_Value"),""))))</f>
        <v/>
      </c>
      <c r="BP22" s="105" t="str">
        <f t="shared" ref="BP22" si="112">IF($E22="H",IF($F21="Hybrid - Thrust + 2 connections","Hybrid_Mix_Req_Value","HybridDD_Value"),IF($E22=3,"TreDD_Value",IF($E22="PA","AcroPair_Value",IF(LEFT($F21,4)="Acro",CONCATENATE(BP$16,$E22,"_Value"),""))))</f>
        <v/>
      </c>
      <c r="BQ22" s="105" t="str">
        <f t="shared" ref="BQ22" si="113">IF($E22="H",IF($F21="Hybrid - Thrust + 2 connections","Hybrid_Mix_Req_Value","HybridDD_Value"),IF($E22=3,"TreDD_Value",IF($E22="PA","AcroPair_Value",IF(LEFT($F21,4)="Acro",CONCATENATE(BQ$16,$E22,"_Value"),""))))</f>
        <v/>
      </c>
      <c r="BR22" s="104" t="str">
        <f t="shared" ref="BR22" si="114">IF($E22="H",IF($F21="Hybrid - Thrust + 2 connections","Data!$BI$1:$BI$5","HybridDD_Value"),"Data!$BI$1:$BI$5")</f>
        <v>Data!$BI$1:$BI$5</v>
      </c>
      <c r="BS22" s="104" t="str">
        <f t="shared" ref="BS22" si="115">IF($E22="H",IF($F21="Hybrid - Thrust + 2 connections","Data!$BI$1:$BI$5","HybridDD_Value"),"Data!$BI$1:$BI$5")</f>
        <v>Data!$BI$1:$BI$5</v>
      </c>
      <c r="BT22" s="104" t="str">
        <f t="shared" ref="BT22" si="116">IF($E22="H",IF($F21="Hybrid - Thrust + 2 connections","Data!$BI$1:$BI$5","HybridDD_Value"),"Data!$BI$1:$BI$5")</f>
        <v>Data!$BI$1:$BI$5</v>
      </c>
      <c r="BU22" s="104" t="str">
        <f t="shared" ref="BU22" si="117">IF($E22="H",IF($F21="Hybrid - Thrust + 2 connections","Data!$BI$1:$BI$5","HybridDD_Value"),"Data!$BI$1:$BI$5")</f>
        <v>Data!$BI$1:$BI$5</v>
      </c>
      <c r="BV22" s="104" t="str">
        <f t="shared" ref="BV22" si="118">IF($E22="H",IF($F21="Hybrid - Thrust + 2 connections","Data!$BI$1:$BI$5","HybridDD_Value"),"Data!$BI$1:$BI$5")</f>
        <v>Data!$BI$1:$BI$5</v>
      </c>
      <c r="BW22" s="104" t="str">
        <f t="shared" ref="BW22" si="119">IF($E22="H",IF($F21="Hybrid - Thrust + 2 connections","Data!$BI$1:$BI$5","HybridDD_Value"),"Data!$BI$1:$BI$5")</f>
        <v>Data!$BI$1:$BI$5</v>
      </c>
      <c r="BX22" s="104" t="str">
        <f t="shared" ref="BX22" si="120">IF($E22="H",IF($F21="Hybrid - Thrust + 2 connections","Data!$BI$1:$BI$5","HybridDD_Value"),"Data!$BI$1:$BI$5")</f>
        <v>Data!$BI$1:$BI$5</v>
      </c>
      <c r="BY22" s="104" t="str">
        <f t="shared" ref="BY22" si="121">IF($E22="H",IF($F21="Hybrid - Thrust + 2 connections","Data!$BI$1:$BI$5","HybridDD_Value"),"Data!$BI$1:$BI$5")</f>
        <v>Data!$BI$1:$BI$5</v>
      </c>
      <c r="BZ22" s="104" t="str">
        <f t="shared" ref="BZ22" si="122">IF($E22="H",IF($F21="Hybrid - Thrust + 2 connections","Data!$BI$1:$BI$5","HybridDD_Value"),"Data!$BI$1:$BI$5")</f>
        <v>Data!$BI$1:$BI$5</v>
      </c>
      <c r="CA22" s="104" t="str">
        <f t="shared" ref="CA22" si="123">IF($E22="H",IF($F21="Hybrid - Thrust + 2 connections","Data!$BI$1:$BI$5","HybridDD_Value"),"Data!$BI$1:$BI$5")</f>
        <v>Data!$BI$1:$BI$5</v>
      </c>
      <c r="CB22" s="104" t="str">
        <f t="shared" ref="CB22" si="124">IF($E22="H",IF($F21="Hybrid - Thrust + 2 connections","Data!$BI$1:$BI$5","HybridDD_Value"),"Data!$BI$1:$BI$5")</f>
        <v>Data!$BI$1:$BI$5</v>
      </c>
      <c r="CC22" s="104" t="str">
        <f t="shared" ref="CC22" si="125">IF($E22="H",IF($F21="Hybrid - Thrust + 2 connections","Data!$BI$1:$BI$5","HybridDD_Value"),"Data!$BI$1:$BI$5")</f>
        <v>Data!$BI$1:$BI$5</v>
      </c>
      <c r="CD22" s="104" t="str">
        <f t="shared" ref="CD22" si="126">IF($E22="H",IF($F21="Hybrid - Thrust + 2 connections","Data!$BI$1:$BI$5","HybridDD_Value"),"Data!$BI$1:$BI$5")</f>
        <v>Data!$BI$1:$BI$5</v>
      </c>
      <c r="CE22" s="104" t="str">
        <f t="shared" ref="CE22" si="127">IF($E22="H",IF($F21="Hybrid - Thrust + 2 connections","Data!$BI$1:$BI$5","HybridDD_Value"),"Data!$BI$1:$BI$5")</f>
        <v>Data!$BI$1:$BI$5</v>
      </c>
      <c r="CF22" s="104" t="str">
        <f t="shared" ref="CF22" si="128">IF($E22="H",IF($F21="Hybrid - Thrust + 2 connections","Data!$BI$1:$BI$5","HybridDD_Value"),"Data!$BI$1:$BI$5")</f>
        <v>Data!$BI$1:$BI$5</v>
      </c>
      <c r="CG22" s="104" t="str">
        <f t="shared" ref="CG22" si="129">IF($E22="H",IF($F21="Hybrid - Thrust + 2 connections","Data!$BI$1:$BI$5","HybridDD_Value"),"Data!$BI$1:$BI$5")</f>
        <v>Data!$BI$1:$BI$5</v>
      </c>
      <c r="CH22" s="104" t="str">
        <f t="shared" ref="CH22" si="130">IF($E22="H",IF($F21="Hybrid - Thrust + 2 connections","Data!$BI$1:$BI$5","HybridDD_Value"),"Data!$BI$1:$BI$5")</f>
        <v>Data!$BI$1:$BI$5</v>
      </c>
      <c r="CI22" s="104" t="str">
        <f t="shared" ref="CI22" si="131">IF($E22="H",IF($F21="Hybrid - Thrust + 2 connections","Data!$BI$1:$BI$5","HybridDD_Value"),"Data!$BI$1:$BI$5")</f>
        <v>Data!$BI$1:$BI$5</v>
      </c>
      <c r="CJ22" s="104" t="str">
        <f t="shared" ref="CJ22" si="132">IF($E22="H",IF($F21="Hybrid - Thrust + 2 connections","Data!$BI$1:$BI$5","HybridDD_Value"),"Data!$BI$1:$BI$5")</f>
        <v>Data!$BI$1:$BI$5</v>
      </c>
      <c r="CK22" s="104" t="str">
        <f t="shared" ref="CK22" si="133">IF($E22="H",IF($F21="Hybrid - Thrust + 2 connections","Data!$BI$1:$BI$5","HybridDD_Value"),"Data!$BI$1:$BI$5")</f>
        <v>Data!$BI$1:$BI$5</v>
      </c>
      <c r="CL22" s="104" t="str">
        <f t="shared" ref="CL22" si="134">IF($E22="H",IF($F21="Hybrid - Thrust + 2 connections","Data!$BI$1:$BI$5","HybridDD_Value"),"Data!$BI$1:$BI$5")</f>
        <v>Data!$BI$1:$BI$5</v>
      </c>
      <c r="CM22" s="115"/>
      <c r="CN22" s="115"/>
      <c r="CO22" s="116" t="str">
        <f>IFERROR(IF(AND($BV$6="T",$BV$8="T",LEFT(F21,4)="Acro",AO22&gt;3),"X",IF($N$7="X",IF(AND(E22="C",AO22&gt;$CN$6),"X",IF(AND(E22="A",AO22&gt;$CN$4),"X",IF(AND(E22="B",AO22&gt;$CN$5),"X",IF(AND(E22="P",AO22&gt;$CN$7),"X","")))),"")),"")</f>
        <v/>
      </c>
      <c r="CP22" s="108"/>
      <c r="CQ22" s="105"/>
      <c r="CS22" s="105"/>
      <c r="CT22" s="105"/>
      <c r="CU22" s="105"/>
      <c r="CV22" s="105"/>
      <c r="CW22" s="105"/>
      <c r="CX22" s="105"/>
      <c r="CY22" s="105"/>
      <c r="CZ22" s="105"/>
      <c r="DD22" s="102" t="str">
        <f t="shared" si="10"/>
        <v/>
      </c>
      <c r="DE22" s="102" t="str">
        <f t="shared" si="11"/>
        <v/>
      </c>
      <c r="DF22" s="102" t="str">
        <f t="shared" si="12"/>
        <v/>
      </c>
      <c r="DG22" s="102" t="str">
        <f t="shared" si="13"/>
        <v/>
      </c>
      <c r="DO22" s="102">
        <v>4</v>
      </c>
      <c r="ED22" s="102" t="str">
        <f t="shared" si="14"/>
        <v/>
      </c>
      <c r="EE22" s="102" t="str">
        <f t="shared" si="15"/>
        <v/>
      </c>
      <c r="EI22" s="102" t="str" cm="1">
        <f t="array" ref="EI22">IFERROR(INDEX(EK22:FN22,MATCH(TRUE,INDEX((EK22:FN22&lt;&gt;""),),0)),"")</f>
        <v/>
      </c>
      <c r="EK22" s="102" t="str">
        <f t="shared" ref="EK22:EZ22" si="135">IF(F21="Hybrid - Thrust + 2 connections",IF(COUNTIF($EK21:$FD21,EK21)&gt;1,EK21,""),IF(COUNTIF($EK21:$FD21,EK21)&gt;5,EK21,""))</f>
        <v/>
      </c>
      <c r="EL22" s="102" t="str">
        <f t="shared" si="135"/>
        <v/>
      </c>
      <c r="EM22" s="102" t="str">
        <f t="shared" si="135"/>
        <v/>
      </c>
      <c r="EN22" s="102" t="str">
        <f t="shared" si="135"/>
        <v/>
      </c>
      <c r="EO22" s="102" t="str">
        <f t="shared" si="135"/>
        <v/>
      </c>
      <c r="EP22" s="102" t="str">
        <f t="shared" si="135"/>
        <v/>
      </c>
      <c r="EQ22" s="102" t="str">
        <f t="shared" si="135"/>
        <v/>
      </c>
      <c r="ER22" s="102" t="str">
        <f t="shared" si="135"/>
        <v/>
      </c>
      <c r="ES22" s="102" t="str">
        <f t="shared" si="135"/>
        <v/>
      </c>
      <c r="ET22" s="102" t="str">
        <f t="shared" si="135"/>
        <v/>
      </c>
      <c r="EU22" s="102" t="str">
        <f t="shared" si="135"/>
        <v/>
      </c>
      <c r="EV22" s="102" t="str">
        <f t="shared" si="135"/>
        <v/>
      </c>
      <c r="EW22" s="102" t="str">
        <f t="shared" si="135"/>
        <v/>
      </c>
      <c r="EX22" s="102" t="str">
        <f t="shared" si="135"/>
        <v/>
      </c>
      <c r="EY22" s="102" t="str">
        <f t="shared" si="135"/>
        <v/>
      </c>
      <c r="EZ22" s="102" t="str">
        <f t="shared" si="135"/>
        <v/>
      </c>
      <c r="FA22" s="102" t="str">
        <f t="shared" ref="FA22" si="136">IF(V21="Hybrid - Thrust + 2 connections",IF(COUNTIF($EK21:$FD21,FA21)&gt;1,FA21,""),IF(COUNTIF($EK21:$FD21,FA21)&gt;5,FA21,""))</f>
        <v/>
      </c>
      <c r="FB22" s="102" t="str">
        <f t="shared" ref="FB22" si="137">IF(W21="Hybrid - Thrust + 2 connections",IF(COUNTIF($EK21:$FD21,FB21)&gt;1,FB21,""),IF(COUNTIF($EK21:$FD21,FB21)&gt;5,FB21,""))</f>
        <v/>
      </c>
      <c r="FC22" s="102" t="str">
        <f t="shared" ref="FC22" si="138">IF(X21="Hybrid - Thrust + 2 connections",IF(COUNTIF($EK21:$FD21,FC21)&gt;1,FC21,""),IF(COUNTIF($EK21:$FD21,FC21)&gt;5,FC21,""))</f>
        <v/>
      </c>
      <c r="FD22" s="102" t="str">
        <f t="shared" ref="FD22" si="139">IF(Y21="Hybrid - Thrust + 2 connections",IF(COUNTIF($EK21:$FD21,FD21)&gt;1,FD21,""),IF(COUNTIF($EK21:$FD21,FD21)&gt;5,FD21,""))</f>
        <v/>
      </c>
      <c r="FE22" s="102" t="str">
        <f t="shared" ref="FE22" si="140">IF(Z21="Hybrid - Thrust + 2 connections",IF(COUNTIF($EK21:$FD21,FE21)&gt;1,FE21,""),IF(COUNTIF($EK21:$FD21,FE21)&gt;5,FE21,""))</f>
        <v/>
      </c>
      <c r="FF22" s="102" t="str">
        <f t="shared" ref="FF22" si="141">IF(AA21="Hybrid - Thrust + 2 connections",IF(COUNTIF($EK21:$FD21,FF21)&gt;1,FF21,""),IF(COUNTIF($EK21:$FD21,FF21)&gt;5,FF21,""))</f>
        <v/>
      </c>
      <c r="FG22" s="102" t="str">
        <f t="shared" ref="FG22" si="142">IF(AB21="Hybrid - Thrust + 2 connections",IF(COUNTIF($EK21:$FD21,FG21)&gt;1,FG21,""),IF(COUNTIF($EK21:$FD21,FG21)&gt;5,FG21,""))</f>
        <v/>
      </c>
      <c r="FH22" s="102" t="str">
        <f t="shared" ref="FH22" si="143">IF(AC21="Hybrid - Thrust + 2 connections",IF(COUNTIF($EK21:$FD21,FH21)&gt;1,FH21,""),IF(COUNTIF($EK21:$FD21,FH21)&gt;5,FH21,""))</f>
        <v/>
      </c>
      <c r="FI22" s="102" t="str">
        <f t="shared" ref="FI22" si="144">IF(AD21="Hybrid - Thrust + 2 connections",IF(COUNTIF($EK21:$FD21,FI21)&gt;1,FI21,""),IF(COUNTIF($EK21:$FD21,FI21)&gt;5,FI21,""))</f>
        <v/>
      </c>
      <c r="FJ22" s="102" t="str">
        <f t="shared" ref="FJ22" si="145">IF(AE21="Hybrid - Thrust + 2 connections",IF(COUNTIF($EK21:$FD21,FJ21)&gt;1,FJ21,""),IF(COUNTIF($EK21:$FD21,FJ21)&gt;5,FJ21,""))</f>
        <v/>
      </c>
      <c r="FK22" s="102" t="str">
        <f t="shared" ref="FK22" si="146">IF(AF21="Hybrid - Thrust + 2 connections",IF(COUNTIF($EK21:$FD21,FK21)&gt;1,FK21,""),IF(COUNTIF($EK21:$FD21,FK21)&gt;5,FK21,""))</f>
        <v/>
      </c>
      <c r="FL22" s="102" t="str">
        <f t="shared" ref="FL22" si="147">IF(AG21="Hybrid - Thrust + 2 connections",IF(COUNTIF($EK21:$FD21,FL21)&gt;1,FL21,""),IF(COUNTIF($EK21:$FD21,FL21)&gt;5,FL21,""))</f>
        <v/>
      </c>
      <c r="FM22" s="102" t="str">
        <f t="shared" ref="FM22" si="148">IF(AH21="Hybrid - Thrust + 2 connections",IF(COUNTIF($EK21:$FD21,FM21)&gt;1,FM21,""),IF(COUNTIF($EK21:$FD21,FM21)&gt;5,FM21,""))</f>
        <v/>
      </c>
      <c r="FN22" s="102" t="str">
        <f t="shared" ref="FN22" si="149">IF(AI21="Hybrid - Thrust + 2 connections",IF(COUNTIF($EK21:$FD21,FN21)&gt;1,FN21,""),IF(COUNTIF($EK21:$FD21,FN21)&gt;5,FN21,""))</f>
        <v/>
      </c>
      <c r="FO22" s="102">
        <f>FO20+5</f>
        <v>5</v>
      </c>
      <c r="FP22" s="102" t="str">
        <f t="shared" ref="FP22" ca="1" si="150">OFFSET($FP$75,FO22,0)</f>
        <v/>
      </c>
      <c r="FQ22" s="102" t="str">
        <f t="shared" ref="FQ22" ca="1" si="151">OFFSET($FQ$75,FO22,0)</f>
        <v/>
      </c>
      <c r="FR22" s="282"/>
      <c r="FS22" s="282"/>
      <c r="FT22" s="282"/>
      <c r="FU22" s="282"/>
      <c r="FV22" s="282"/>
      <c r="FW22" s="282"/>
      <c r="FX22" s="282"/>
      <c r="FY22" s="282"/>
      <c r="FZ22" s="282"/>
      <c r="GA22" s="282"/>
      <c r="GB22" s="282"/>
      <c r="GC22" s="282"/>
      <c r="GD22" s="282"/>
      <c r="GE22" s="282"/>
      <c r="GF22" s="282"/>
      <c r="GG22" s="282"/>
      <c r="GH22" s="282"/>
      <c r="GI22" s="282"/>
      <c r="GJ22" s="282"/>
      <c r="GK22" s="282"/>
      <c r="GL22" s="282"/>
      <c r="GM22" s="282"/>
      <c r="GN22" s="282"/>
      <c r="GO22" s="282"/>
      <c r="GP22" s="282"/>
      <c r="GQ22" s="282"/>
      <c r="GR22" s="282"/>
      <c r="GS22" s="282"/>
      <c r="GT22" s="282"/>
      <c r="GU22" s="282"/>
      <c r="GV22" s="102"/>
      <c r="GW22" s="102"/>
      <c r="GX22" s="102"/>
      <c r="GY22" s="102"/>
      <c r="GZ22" s="102"/>
      <c r="HA22" s="102"/>
      <c r="HB22" s="102"/>
      <c r="HC22" s="102"/>
      <c r="HD22" s="102" t="str">
        <f>IF($F21="Hybrid - Thrust + 2 connections",COUNTBLANK(J21:L21),"")</f>
        <v/>
      </c>
      <c r="HE22" s="102"/>
      <c r="HF22" s="105"/>
      <c r="HG22" s="105"/>
      <c r="HH22" s="105"/>
      <c r="HI22" s="105"/>
    </row>
    <row r="23" spans="1:222" x14ac:dyDescent="0.25">
      <c r="A23" s="39" t="str">
        <f>IF(AND(E21="",A21&lt;&gt;""),IF(CP21=$CP$18,"",IF(C21&lt;&gt;"",IF(D21=59,MINUTE(CP21)+1,MINUTE(CP21)),"")),"")</f>
        <v/>
      </c>
      <c r="B23" s="40" t="str">
        <f>IF(AND(E21="",B21&lt;&gt;""),IF(CP21=$CP$18,"",IF(C21&lt;&gt;"",IF(D21=59,0,SECOND(CP21)+1),"")),"")</f>
        <v/>
      </c>
      <c r="C23" s="50"/>
      <c r="D23" s="50"/>
      <c r="E23" s="9"/>
      <c r="F23" s="51"/>
      <c r="G23" s="42" t="str">
        <f>IF(F23&lt;&gt;"",IF(OR(F23="Transition",F23="Transition - Surface Connection"),0,MAX($G$19:G22)+1),"")</f>
        <v/>
      </c>
      <c r="H23" s="56" t="str">
        <f t="shared" ref="H23" si="152">IFERROR(IF(E24="3","",IF(OR(F23="Hybrid - min 4 swimmers (no DD)",LEFT(F23,5)="Trans"),"No DD",CONCATENATE("BM = ",I24))),"")</f>
        <v/>
      </c>
      <c r="I23" s="57"/>
      <c r="J23" s="124"/>
      <c r="K23" s="129"/>
      <c r="L23" s="129"/>
      <c r="M23" s="129"/>
      <c r="N23" s="129"/>
      <c r="O23" s="129"/>
      <c r="P23" s="129"/>
      <c r="Q23" s="129"/>
      <c r="R23" s="129"/>
      <c r="S23" s="129"/>
      <c r="T23" s="129"/>
      <c r="U23" s="129"/>
      <c r="V23" s="129"/>
      <c r="W23" s="129"/>
      <c r="X23" s="129"/>
      <c r="Y23" s="129"/>
      <c r="Z23" s="129"/>
      <c r="AA23" s="129"/>
      <c r="AB23" s="129"/>
      <c r="AC23" s="129"/>
      <c r="AD23" s="129"/>
      <c r="AE23" s="129"/>
      <c r="AF23" s="129"/>
      <c r="AG23" s="129"/>
      <c r="AH23" s="129"/>
      <c r="AI23" s="129"/>
      <c r="AJ23" s="129"/>
      <c r="AK23" s="129"/>
      <c r="AL23" s="129"/>
      <c r="AM23" s="129"/>
      <c r="AN23" s="179"/>
      <c r="AO23" s="43"/>
      <c r="AP23" s="74"/>
      <c r="AQ23" s="74"/>
      <c r="AR23" s="104"/>
      <c r="AS23" s="104"/>
      <c r="AT23" s="104"/>
      <c r="AU23" s="104"/>
      <c r="AV23" s="104"/>
      <c r="AW23" s="105" t="str">
        <f t="shared" ref="AW23" si="153">E24</f>
        <v/>
      </c>
      <c r="AX23" s="108" t="str">
        <f t="shared" ref="AX23" si="154">IF(AY23=0,"",TIME(0,A23,B23))</f>
        <v/>
      </c>
      <c r="AY23" s="108">
        <f t="shared" ref="AY23" si="155">TIME(0,C23,D23)</f>
        <v>0</v>
      </c>
      <c r="AZ23" s="108" t="str">
        <f t="shared" ref="AZ23" si="156">IFERROR(AY23-AX23,"")</f>
        <v/>
      </c>
      <c r="BA23" s="276" t="str">
        <f t="shared" ref="BA23" si="157">IF($AX$17=0,"",IF(AND($C$10&lt;&gt;"",AW23="H",AZ23&gt;$AX$17),"X",""))</f>
        <v/>
      </c>
      <c r="BB23" s="104"/>
      <c r="BC23" s="104"/>
      <c r="BD23" s="104"/>
      <c r="BE23" s="104"/>
      <c r="BF23" s="104"/>
      <c r="BG23" s="104" t="str">
        <f>IFERROR(IF(F23&lt;&gt;"",INDEX(Parts_Active,MATCH(F23,Parts_Active,0)),""),"No")</f>
        <v/>
      </c>
      <c r="BH23" s="104"/>
      <c r="BI23" s="104" t="str">
        <f t="shared" ref="BI23" si="158">IF($E24="H",IF($F23="Hybrid - Thrust + 2 connections","Hybrid_Mix_Req",IF($F23="Hybrid - min 4 swimmers (no DD)","Hybrid_ChoHY","HybridDD_Code")),IF($E24=3,"TreDD_Code",IF($E24="PA","AcroPair_Code",IF(LEFT($F23,4)="Acro",CONCATENATE(BI$16,$E24,"_Code"),"Data!$BI$1:$BI$5"))))</f>
        <v>Data!$BI$1:$BI$5</v>
      </c>
      <c r="BJ23" s="104" t="str">
        <f t="shared" ref="BJ23" si="159">IF($E24="H",IF($F23="Hybrid - Thrust + 2 connections","Hybrid_Mix_Req",IF($F23="Hybrid - min 4 swimmers (no DD)","Data!$BI$1:$BI$5","HybridDD_Code")),IF($E24=3,"TreDD_Code",IF($E24="PA","AcroPair_Code",IF(LEFT($F23,4)="Acro",CONCATENATE(BJ$16,$E24,"_Code"),"Data!$BI$1:$BI$5"))))</f>
        <v>Data!$BI$1:$BI$5</v>
      </c>
      <c r="BK23" s="104" t="str">
        <f t="shared" si="6"/>
        <v>Data!$BI$1:$BI$5</v>
      </c>
      <c r="BL23" s="104" t="str">
        <f t="shared" si="6"/>
        <v>Data!$BI$1:$BI$5</v>
      </c>
      <c r="BM23" s="104" t="str">
        <f t="shared" si="6"/>
        <v>Data!$BI$1:$BI$5</v>
      </c>
      <c r="BN23" s="104" t="str">
        <f t="shared" si="6"/>
        <v>Data!$BI$1:$BI$5</v>
      </c>
      <c r="BO23" s="104" t="str">
        <f t="shared" si="6"/>
        <v>Data!$BI$1:$BI$5</v>
      </c>
      <c r="BP23" s="104" t="str">
        <f t="shared" si="6"/>
        <v>Data!$BI$1:$BI$5</v>
      </c>
      <c r="BQ23" s="104" t="str">
        <f t="shared" si="6"/>
        <v>Data!$BI$1:$BI$5</v>
      </c>
      <c r="BR23" s="104" t="str">
        <f t="shared" ref="BR23" si="160">IF($E24="H",IF($F23="Hybrid - Thrust + 2 connections","Data!$BI$1:$BI$5","HybridDD_Code"),"Data!$BI$1:$BI$5")</f>
        <v>Data!$BI$1:$BI$5</v>
      </c>
      <c r="BS23" s="104" t="str">
        <f t="shared" si="7"/>
        <v>Data!$BI$1:$BI$5</v>
      </c>
      <c r="BT23" s="104" t="str">
        <f t="shared" si="7"/>
        <v>Data!$BI$1:$BI$5</v>
      </c>
      <c r="BU23" s="104" t="str">
        <f t="shared" si="7"/>
        <v>Data!$BI$1:$BI$5</v>
      </c>
      <c r="BV23" s="104" t="str">
        <f t="shared" si="7"/>
        <v>Data!$BI$1:$BI$5</v>
      </c>
      <c r="BW23" s="104" t="str">
        <f t="shared" si="7"/>
        <v>Data!$BI$1:$BI$5</v>
      </c>
      <c r="BX23" s="104" t="str">
        <f t="shared" si="7"/>
        <v>Data!$BI$1:$BI$5</v>
      </c>
      <c r="BY23" s="104" t="str">
        <f t="shared" si="7"/>
        <v>Data!$BI$1:$BI$5</v>
      </c>
      <c r="BZ23" s="104" t="str">
        <f t="shared" si="7"/>
        <v>Data!$BI$1:$BI$5</v>
      </c>
      <c r="CA23" s="104" t="str">
        <f t="shared" si="7"/>
        <v>Data!$BI$1:$BI$5</v>
      </c>
      <c r="CB23" s="104" t="str">
        <f t="shared" si="7"/>
        <v>Data!$BI$1:$BI$5</v>
      </c>
      <c r="CC23" s="104" t="str">
        <f t="shared" si="7"/>
        <v>Data!$BI$1:$BI$5</v>
      </c>
      <c r="CD23" s="104" t="str">
        <f t="shared" si="7"/>
        <v>Data!$BI$1:$BI$5</v>
      </c>
      <c r="CE23" s="104" t="str">
        <f t="shared" si="7"/>
        <v>Data!$BI$1:$BI$5</v>
      </c>
      <c r="CF23" s="104" t="str">
        <f t="shared" si="7"/>
        <v>Data!$BI$1:$BI$5</v>
      </c>
      <c r="CG23" s="104" t="str">
        <f t="shared" si="7"/>
        <v>Data!$BI$1:$BI$5</v>
      </c>
      <c r="CH23" s="104" t="str">
        <f t="shared" si="7"/>
        <v>Data!$BI$1:$BI$5</v>
      </c>
      <c r="CI23" s="104" t="str">
        <f t="shared" si="8"/>
        <v>Data!$BI$1:$BI$5</v>
      </c>
      <c r="CJ23" s="104" t="str">
        <f t="shared" si="8"/>
        <v>Data!$BI$1:$BI$5</v>
      </c>
      <c r="CK23" s="104" t="str">
        <f t="shared" si="8"/>
        <v>Data!$BI$1:$BI$5</v>
      </c>
      <c r="CL23" s="104" t="str">
        <f t="shared" si="8"/>
        <v>Data!$BI$1:$BI$5</v>
      </c>
      <c r="CM23" s="104"/>
      <c r="CN23" s="104"/>
      <c r="CO23" s="107" t="str">
        <f>IFERROR(TIME(0,A23,B23),"")</f>
        <v/>
      </c>
      <c r="CP23" s="108">
        <f>IFERROR(TIME(0,C23,D23),"")</f>
        <v>0</v>
      </c>
      <c r="CQ23" s="108" t="str">
        <f t="shared" ref="CQ23" si="161">IF(CP23&gt;$D$12,"X","")</f>
        <v/>
      </c>
      <c r="CR23" s="102" t="str">
        <f>IF(AND(F23="Hybrid - Thrust + 2 connections",OR(LEFT(J23,1)="T",LEFT(K23,1)="T",LEFT(L23,1)="T",LEFT(PB23,1)="T",LEFT(M23,1)="T",LEFT(N23,1)="T",LEFT(O23,1)="T",LEFT(P23,1)="T",LEFT(Q23,1)="T",LEFT(R23,1)="T",LEFT(S23,1)="T",LEFT(T23,1)="T",LEFT(U23,1)="T",LEFT(V23,1)="T",LEFT(W23,1)="T",LEFT(X23,1)="T",LEFT(AK23,1)="T",LEFT(AL23,1)="T",LEFT(AM23,1)="T")),IF(OR(LEN(J23)=2,LEN(K23)=2,LEN(L23)=2,LEN(M23)=2,LEN(N23)=2,LEN(O23)=2,LEN(P23)=2,LEN(Q23)=2,LEN(R23)=2,LEN(S23)=2,LEN(T23)=2,LEN(U23)=2,LEN(V23)=2,LEN(W23)=2,LEN(X23)=2,LEN(Y23)=2,LEN(Z23)=2,LEN(AK23)=2,LEN(AL23)=2,LEN(AM23)=2),"X",""),"")</f>
        <v/>
      </c>
      <c r="CS23" s="105"/>
      <c r="CT23" s="102" t="str">
        <f>IF(LEFT(F23,4)="Acro",IF(AND(N23&lt;&gt;"",M23=RIGHT(N23,2)),"X","OK"),"")</f>
        <v/>
      </c>
      <c r="CU23" s="104" t="str">
        <f t="shared" ref="CU23:DB23" si="162">IFERROR(IF(AND(LEFT($F23,4)="Acro",INDEX(Requ_App,MATCH(BI23,Requ_Code,0))="No"),"X",""),"")</f>
        <v/>
      </c>
      <c r="CV23" s="104" t="str">
        <f t="shared" si="162"/>
        <v/>
      </c>
      <c r="CW23" s="104" t="str">
        <f t="shared" si="162"/>
        <v/>
      </c>
      <c r="CX23" s="104" t="str">
        <f t="shared" si="162"/>
        <v/>
      </c>
      <c r="CY23" s="104" t="str">
        <f t="shared" si="162"/>
        <v/>
      </c>
      <c r="CZ23" s="104" t="str">
        <f t="shared" si="162"/>
        <v/>
      </c>
      <c r="DA23" s="104" t="str">
        <f t="shared" si="162"/>
        <v/>
      </c>
      <c r="DB23" s="104" t="str">
        <f t="shared" si="162"/>
        <v/>
      </c>
      <c r="DC23" s="104" t="str">
        <f>IFERROR(IF(AND(LEFT($F23,4)="Acro",INDEX(Requ_App,MATCH(BP23,Requ_Code,0))="No"),"X",""),"")</f>
        <v/>
      </c>
      <c r="DD23" s="102" t="str">
        <f t="shared" si="10"/>
        <v/>
      </c>
      <c r="DE23" s="102" t="str">
        <f t="shared" si="11"/>
        <v/>
      </c>
      <c r="DF23" s="102" t="str">
        <f t="shared" si="12"/>
        <v/>
      </c>
      <c r="DG23" s="102" t="str">
        <f t="shared" si="13"/>
        <v/>
      </c>
      <c r="DK23" s="102">
        <f t="shared" ref="DK23" si="163">IF(AND(E24="A",OR(Q23="Grip",Q23="Conn",Q23="Catch")),"A1",IF(AND(E24="A",OR(Q23="Hula",Q23="RetSq",Q23="RetPa")),"A2",IF(AND(E24="B",OR(Q23="Twirl",Q23="RotF")),"B1",IF(AND(E24="B",OR(Q23="Moon",Q23="Mov",Q23="Hold")),"B2",IF(AND(E24="P",OR(Q23="Porp",Q23="Splch")),"P1",IF(AND(E24="P",OR(Q23="Diva",Q23="Stand")),"P2",IF(AND(E24="P",OR(Q23="Spider",Q23="Climb")),"P3",IF(AND(E24="P",OR(Q23="Fall",Q23="FTurn")),"P4",IF(AND(E24="C",OR(Q23="Jump",Q23="Jump&gt;",Q23="On1Foot",Q23="1F&gt;1F")),"C1",IF(AND(E24="C",OR(Q23="Run",Q23="BRun")),"C2",1))))))))))</f>
        <v>1</v>
      </c>
      <c r="DL23" s="102">
        <f t="shared" ref="DL23" si="164">IF(AND(E24="A",OR(R23="Grip",R23="Conn",R23="Catch")),"A1",IF(AND(E24="A",OR(R23="Hula",R23="RetSq",R23="RetPa")),"A2",IF(AND(E24="B",OR(R23="Twirl",R23="RotF")),"B1",IF(AND(E24="B",OR(R23="Moon",R23="Mov",R23="Hold")),"B2",IF(AND(E24="P",OR(R23="Porp",R23="Spich")),"P1",IF(AND(E24="P",OR(R23="Diva",R23="Stand")),"P2",IF(AND(E24="P",OR(R23="Spider",R23="Climb")),"P3",IF(AND(E24="P",OR(R23="Fall",R23="FTurn")),"P4",IF(AND(E24="C",OR(R23="Jump",R23="Jump&gt;",R23="On1Foot",R23="1F&gt;1F")),"C1",IF(AND(E24="C",OR(R23="Run",R23="BRun")),"C2",2))))))))))</f>
        <v>2</v>
      </c>
      <c r="DM23" s="102" t="str">
        <f>IF(AND(LEFT(F23,4)="Acro",Q23&lt;&gt;"",OR(Q23=R23,DK23=DL23)),IF(R23="C-Roll","","X"),IF(OR(AND(E24="A",Q23="Catch",R23&lt;&gt;"Dbl"),AND(E24="A",R23="Catch",Q23&lt;&gt;"Dbl")),"X",""))</f>
        <v/>
      </c>
      <c r="DN23" s="102" t="str">
        <f>IF(E24="PA",J23,"")</f>
        <v/>
      </c>
      <c r="DO23" s="102">
        <v>5</v>
      </c>
      <c r="DQ23" s="102" t="str">
        <f>IF(AND($E24="A",COUNTIF($DZ$19:$EA$68,DZ23)&gt;1),DZ23,"")</f>
        <v/>
      </c>
      <c r="DR23" s="102" t="str">
        <f>IF(AND($E24="A",COUNTIF($DZ$19:$EA$68,EA23)&gt;1),EA23,"")</f>
        <v/>
      </c>
      <c r="DS23" s="102" t="str">
        <f ca="1">IF(AND($E24="B",COUNTIF($J$19:$J$68,J23)&gt;1),J23,"")</f>
        <v/>
      </c>
      <c r="DT23" s="102" t="str">
        <f ca="1">IF(AND($E24="B",COUNTIF($K$19:$K$68,K23)&gt;1),K23,"")</f>
        <v/>
      </c>
      <c r="DU23" s="102" t="str">
        <f ca="1">IF(AND($E24="C",COUNTIF($J$19:$J$68,J23)&gt;1),J23,"")</f>
        <v/>
      </c>
      <c r="DV23" s="102" t="str">
        <f ca="1">IF(AND($E24="P",COUNTIF($J$19:$J$68,J23)&gt;1),J23,"")</f>
        <v/>
      </c>
      <c r="DW23" s="102" t="str">
        <f ca="1">IF(AND($E24="P",COUNTIF($K$19:$K$68,K23)&gt;1),K23,"")</f>
        <v/>
      </c>
      <c r="DX23" s="102" t="str">
        <f>IF(AND($E24="P",COUNTIF($DZ$19:$EA$68,DZ23)&gt;1),DZ23,"")</f>
        <v/>
      </c>
      <c r="DY23" s="102" t="str">
        <f>IF(AND($E24="P",COUNTIF($DZ$19:$EA$68,EA23)&gt;1),EA23,"")</f>
        <v/>
      </c>
      <c r="DZ23" s="102" t="str">
        <f>IFERROR(IF(OR(E24="A",E24="P"),M23,""),"")</f>
        <v/>
      </c>
      <c r="EA23" s="102" t="str">
        <f>IFERROR(IF(OR(E24="A",E24="P"),RIGHT(N23,2),""),"")</f>
        <v/>
      </c>
      <c r="EB23" s="102" t="str">
        <f t="shared" ref="EB23" si="165">IF(Q23="","",IF(AND($E24="P",COUNTIF($Q$19:$R$68,Q23)&gt;1),Q23,""))</f>
        <v/>
      </c>
      <c r="EC23" s="102" t="str">
        <f t="shared" ref="EC23" si="166">IF(R23="","",IF(AND($E24="P",COUNTIF($Q$19:$R$68,R23)&gt;1),R23,""))</f>
        <v/>
      </c>
      <c r="ED23" s="102" t="str">
        <f t="shared" si="14"/>
        <v/>
      </c>
      <c r="EE23" s="102" t="str">
        <f t="shared" si="15"/>
        <v/>
      </c>
      <c r="EF23" s="102" t="str">
        <f>IF(AND($F$8="Open Team Acrobatic",LEFT(F23,4)="Acro"),E24,"")</f>
        <v/>
      </c>
      <c r="EG23" s="102" t="str">
        <f t="shared" ref="EG23" si="167">IFERROR(IF(HLOOKUP(EF23,$DQ$12:$DT$13,2,FALSE)&gt;2,"X",""),"")</f>
        <v/>
      </c>
      <c r="EI23" s="102" t="str">
        <f t="shared" ref="EI23" si="168">IF(OR(AND(F23="Hybrid - Thrust + 2 connections",EI24="T"),AND(E24="H",EI24&lt;&gt;"",EI77="X")),"X","")</f>
        <v/>
      </c>
      <c r="EK23" s="102">
        <f t="shared" ref="EK23" si="169">IFERROR(IF(AND($E24="H",J23&lt;&gt;"",J23&lt;&gt;"ChoHY"),IF(OR(LEFT(J23,1)="T",LEFT(J23,1)="S",LEFT(J23,1)="A",LEFT(J23,1)="F",LEFT(J23,1)="C"),LEFT(J23,1),"R"),EK$18),"")</f>
        <v>1</v>
      </c>
      <c r="EL23" s="102">
        <f t="shared" ref="EL23:EZ23" si="170">IFERROR(IF(AND($E24="H",K23&lt;&gt;""),IF(OR(LEFT(K23,1)="T",LEFT(K23,1)="S",LEFT(K23,1)="A",LEFT(K23,1)="F",LEFT(K23,1)="C"),LEFT(K23,1),"R"),EL$18),"")</f>
        <v>2</v>
      </c>
      <c r="EM23" s="102">
        <f t="shared" si="170"/>
        <v>3</v>
      </c>
      <c r="EN23" s="102">
        <f t="shared" si="170"/>
        <v>4</v>
      </c>
      <c r="EO23" s="102">
        <f t="shared" si="170"/>
        <v>5</v>
      </c>
      <c r="EP23" s="102">
        <f t="shared" si="170"/>
        <v>6</v>
      </c>
      <c r="EQ23" s="102">
        <f t="shared" si="170"/>
        <v>7</v>
      </c>
      <c r="ER23" s="102">
        <f t="shared" si="170"/>
        <v>8</v>
      </c>
      <c r="ES23" s="102">
        <f t="shared" si="170"/>
        <v>9</v>
      </c>
      <c r="ET23" s="102">
        <f t="shared" si="170"/>
        <v>10</v>
      </c>
      <c r="EU23" s="102">
        <f t="shared" si="170"/>
        <v>11</v>
      </c>
      <c r="EV23" s="102">
        <f t="shared" si="170"/>
        <v>12</v>
      </c>
      <c r="EW23" s="102">
        <f t="shared" si="170"/>
        <v>13</v>
      </c>
      <c r="EX23" s="102">
        <f t="shared" si="170"/>
        <v>14</v>
      </c>
      <c r="EY23" s="102">
        <f t="shared" si="170"/>
        <v>15</v>
      </c>
      <c r="EZ23" s="102">
        <f t="shared" si="170"/>
        <v>16</v>
      </c>
      <c r="FA23" s="102">
        <f t="shared" ref="FA23" si="171">IFERROR(IF(AND($E24="H",Z23&lt;&gt;""),IF(OR(LEFT(Z23,1)="T",LEFT(Z23,1)="S",LEFT(Z23,1)="A",LEFT(Z23,1)="F",LEFT(Z23,1)="C"),LEFT(Z23,1),"R"),FA$18),"")</f>
        <v>17</v>
      </c>
      <c r="FB23" s="102">
        <f t="shared" ref="FB23" si="172">IFERROR(IF(AND($E24="H",AA23&lt;&gt;""),IF(OR(LEFT(AA23,1)="T",LEFT(AA23,1)="S",LEFT(AA23,1)="A",LEFT(AA23,1)="F",LEFT(AA23,1)="C"),LEFT(AA23,1),"R"),FB$18),"")</f>
        <v>18</v>
      </c>
      <c r="FC23" s="102">
        <f t="shared" ref="FC23" si="173">IFERROR(IF(AND($E24="H",AB23&lt;&gt;""),IF(OR(LEFT(AB23,1)="T",LEFT(AB23,1)="S",LEFT(AB23,1)="A",LEFT(AB23,1)="F",LEFT(AB23,1)="C"),LEFT(AB23,1),"R"),FC$18),"")</f>
        <v>19</v>
      </c>
      <c r="FD23" s="102">
        <f t="shared" ref="FD23" si="174">IFERROR(IF(AND($E24="H",AC23&lt;&gt;""),IF(OR(LEFT(AC23,1)="T",LEFT(AC23,1)="S",LEFT(AC23,1)="A",LEFT(AC23,1)="F",LEFT(AC23,1)="C"),LEFT(AC23,1),"R"),FD$18),"")</f>
        <v>20</v>
      </c>
      <c r="FE23" s="102">
        <f t="shared" ref="FE23" si="175">IFERROR(IF(AND($E24="H",AD23&lt;&gt;""),IF(OR(LEFT(AD23,1)="T",LEFT(AD23,1)="S",LEFT(AD23,1)="A",LEFT(AD23,1)="F",LEFT(AD23,1)="C"),LEFT(AD23,1),"R"),FE$18),"")</f>
        <v>21</v>
      </c>
      <c r="FF23" s="102">
        <f t="shared" ref="FF23" si="176">IFERROR(IF(AND($E24="H",AE23&lt;&gt;""),IF(OR(LEFT(AE23,1)="T",LEFT(AE23,1)="S",LEFT(AE23,1)="A",LEFT(AE23,1)="F",LEFT(AE23,1)="C"),LEFT(AE23,1),"R"),FF$18),"")</f>
        <v>22</v>
      </c>
      <c r="FG23" s="102">
        <f t="shared" ref="FG23" si="177">IFERROR(IF(AND($E24="H",AF23&lt;&gt;""),IF(OR(LEFT(AF23,1)="T",LEFT(AF23,1)="S",LEFT(AF23,1)="A",LEFT(AF23,1)="F",LEFT(AF23,1)="C"),LEFT(AF23,1),"R"),FG$18),"")</f>
        <v>23</v>
      </c>
      <c r="FH23" s="102">
        <f t="shared" ref="FH23" si="178">IFERROR(IF(AND($E24="H",AG23&lt;&gt;""),IF(OR(LEFT(AG23,1)="T",LEFT(AG23,1)="S",LEFT(AG23,1)="A",LEFT(AG23,1)="F",LEFT(AG23,1)="C"),LEFT(AG23,1),"R"),FH$18),"")</f>
        <v>24</v>
      </c>
      <c r="FI23" s="102">
        <f t="shared" ref="FI23" si="179">IFERROR(IF(AND($E24="H",AH23&lt;&gt;""),IF(OR(LEFT(AH23,1)="T",LEFT(AH23,1)="S",LEFT(AH23,1)="A",LEFT(AH23,1)="F",LEFT(AH23,1)="C"),LEFT(AH23,1),"R"),FI$18),"")</f>
        <v>25</v>
      </c>
      <c r="FJ23" s="102">
        <f t="shared" ref="FJ23" si="180">IFERROR(IF(AND($E24="H",AI23&lt;&gt;""),IF(OR(LEFT(AI23,1)="T",LEFT(AI23,1)="S",LEFT(AI23,1)="A",LEFT(AI23,1)="F",LEFT(AI23,1)="C"),LEFT(AI23,1),"R"),FJ$18),"")</f>
        <v>26</v>
      </c>
      <c r="FK23" s="102">
        <f t="shared" ref="FK23" si="181">IFERROR(IF(AND($E24="H",AJ23&lt;&gt;""),IF(OR(LEFT(AJ23,1)="T",LEFT(AJ23,1)="S",LEFT(AJ23,1)="A",LEFT(AJ23,1)="F",LEFT(AJ23,1)="C"),LEFT(AJ23,1),"R"),FK$18),"")</f>
        <v>27</v>
      </c>
      <c r="FL23" s="102">
        <f t="shared" ref="FL23" si="182">IFERROR(IF(AND($E24="H",AK23&lt;&gt;""),IF(OR(LEFT(AK23,1)="T",LEFT(AK23,1)="S",LEFT(AK23,1)="A",LEFT(AK23,1)="F",LEFT(AK23,1)="C"),LEFT(AK23,1),"R"),FL$18),"")</f>
        <v>28</v>
      </c>
      <c r="FM23" s="102">
        <f t="shared" ref="FM23" si="183">IFERROR(IF(AND($E24="H",AL23&lt;&gt;""),IF(OR(LEFT(AL23,1)="T",LEFT(AL23,1)="S",LEFT(AL23,1)="A",LEFT(AL23,1)="F",LEFT(AL23,1)="C"),LEFT(AL23,1),"R"),FM$18),"")</f>
        <v>29</v>
      </c>
      <c r="FN23" s="102">
        <f t="shared" ref="FN23" si="184">IFERROR(IF(AND($E24="H",AM23&lt;&gt;""),IF(OR(LEFT(AM23,1)="T",LEFT(AM23,1)="S",LEFT(AM23,1)="A",LEFT(AM23,1)="F",LEFT(AM23,1)="C"),LEFT(AM23,1),"R"),FN$18),"")</f>
        <v>30</v>
      </c>
      <c r="FO23" s="102"/>
      <c r="FP23" s="102"/>
      <c r="FQ23" s="102"/>
      <c r="FR23" s="282"/>
      <c r="FS23" s="282"/>
      <c r="FT23" s="282"/>
      <c r="FU23" s="282"/>
      <c r="FV23" s="282"/>
      <c r="FW23" s="282"/>
      <c r="FX23" s="282"/>
      <c r="FY23" s="282"/>
      <c r="FZ23" s="282"/>
      <c r="GA23" s="282"/>
      <c r="GB23" s="282"/>
      <c r="GC23" s="282"/>
      <c r="GD23" s="282"/>
      <c r="GE23" s="282"/>
      <c r="GF23" s="282"/>
      <c r="GG23" s="282"/>
      <c r="GH23" s="282"/>
      <c r="GI23" s="282"/>
      <c r="GJ23" s="282"/>
      <c r="GK23" s="282"/>
      <c r="GL23" s="282"/>
      <c r="GM23" s="282"/>
      <c r="GN23" s="282"/>
      <c r="GO23" s="282"/>
      <c r="GP23" s="282"/>
      <c r="GQ23" s="282"/>
      <c r="GR23" s="282"/>
      <c r="GS23" s="282"/>
      <c r="GT23" s="282"/>
      <c r="GU23" s="282"/>
      <c r="GV23" s="102"/>
      <c r="GW23" s="102">
        <f t="shared" ref="GW23" si="185">COUNTIF($EK23:$FN23,GW$18)</f>
        <v>0</v>
      </c>
      <c r="GX23" s="102">
        <f t="shared" si="29"/>
        <v>0</v>
      </c>
      <c r="GY23" s="102">
        <f t="shared" si="29"/>
        <v>0</v>
      </c>
      <c r="GZ23" s="102">
        <f t="shared" si="29"/>
        <v>0</v>
      </c>
      <c r="HA23" s="102">
        <f t="shared" si="29"/>
        <v>0</v>
      </c>
      <c r="HB23" s="102">
        <f t="shared" si="29"/>
        <v>0</v>
      </c>
      <c r="HC23" s="102"/>
      <c r="HD23" s="102" t="str">
        <f t="shared" ref="HD23" si="186">IF(AND($F23="Hybrid - Thrust + 2 connections",HD24=0,LEFT($J23,1)="C",LEFT($K23,1)="C",LEFT($L23,1)="C"),"X","")</f>
        <v/>
      </c>
      <c r="HE23" s="102"/>
      <c r="HF23" s="105"/>
      <c r="HG23" s="114"/>
      <c r="HH23" s="114"/>
      <c r="HI23" s="105" t="str">
        <f t="shared" ref="HI23" si="187">IF(E24=3,IF(_xlfn.NUMBERVALUE(LEFT(J23,1))&gt;0,_xlfn.NUMBERVALUE(LEFT(J23,1)),""),"")</f>
        <v/>
      </c>
      <c r="HK23" s="105" t="str">
        <f t="shared" ref="HK23" si="188">IF(OR(E24="B",E24="P"),E24,"")</f>
        <v/>
      </c>
      <c r="HL23" s="105" t="str">
        <f>IF(AND(J23&lt;&gt;"",HK23&lt;&gt;""),IF(HK23="B",MATCH(J23,AcroDD!$U$3:$AE$3,0),MATCH(J23,AcroDD!$U$30:$AC$30,0)),"")</f>
        <v/>
      </c>
      <c r="HM23" s="105" t="str">
        <f t="shared" ref="HM23" si="189">IF(AND(K23&lt;&gt;"",HK23&lt;&gt;""),K23,"")</f>
        <v/>
      </c>
      <c r="HN23" s="105" t="str">
        <f ca="1">IF(AND(OR(HK23="B",HK23="P"),HL23&lt;&gt;"",HM23&lt;&gt;""),IF(IFERROR(IF(HK23="B",MATCH(HM23,OFFSET(AcroDD!$T$4,0,HL23,20),0),MATCH(HM23,OFFSET(AcroDD!$T$31,0,HL23,20),0)),"")&lt;&gt;"","OK","X"),"")</f>
        <v/>
      </c>
    </row>
    <row r="24" spans="1:222" x14ac:dyDescent="0.25">
      <c r="A24" s="39"/>
      <c r="B24" s="40"/>
      <c r="C24" s="40"/>
      <c r="D24" s="40"/>
      <c r="E24" s="20" t="str">
        <f>IF(F23="Acrobatic - Pair","PA",IF(F23="Acrobatic Airborn","A",IF(F23="Acrobatic Balance","B",IF(F23="Acrobatic Combined","C",IF(F23="Acrobatic Platform","P",IF(F23="Technical Required Element",3,IF(LEFT(F23,4)="Hybr","H","")))))))</f>
        <v/>
      </c>
      <c r="F24" s="20" t="str">
        <f>IF(AND(F23="Hybrid - Thrust + 2 connections",CR23="X"),"Hybrid - Thrust",IF(OR(E24="A",E24="B",E24="C",E24="P"),"Acrobatic",""))</f>
        <v/>
      </c>
      <c r="G24" s="42"/>
      <c r="H24" s="207" t="str">
        <f t="shared" ref="H24" si="190">IF(E24="PA",IF(OR(LEFT(J23,1)="L",LEFT(J23,1)="S"),"A-Pair-Lift",IF(OR(LEFT(J23,1)="W",LEFT(J23,1)="T"),"A-Pair-Throw",IF(LEFT(J23,1)="J","A-Pair-Jump","A-Pair"))),IF(OR(E24="A",E24="B",E24="C",E24="P"),CONCATENATE("Acro-",E24),""))</f>
        <v/>
      </c>
      <c r="I24" s="201" t="e">
        <f t="shared" ref="I24" si="191">IF(OR(F23="Hybrid - min 4 swimmers (no DD)",LEFT(F23,5)="Trans"),0,INDEX($BY$3:$BY$9,MATCH(E24,$BX$3:$BX$9,0)))</f>
        <v>#N/A</v>
      </c>
      <c r="J24" s="196">
        <f ca="1">IFERROR(IF($H23="No DD",IF(J23="ChoHY",1,0),IF(OR(ISBLANK(J23),J23="N/A"),0,INDEX(INDIRECT(BI24),MATCH(J23,INDIRECT(BI23),0)))),0)</f>
        <v>0</v>
      </c>
      <c r="K24" s="196">
        <f t="shared" ref="K24:Y24" ca="1" si="192">IFERROR(IF($H23="No DD",0,IF(OR(ISBLANK(K23),K23="N/A"),0,INDEX(INDIRECT(BJ24),MATCH(K23,INDIRECT(BJ23),0)))),0)</f>
        <v>0</v>
      </c>
      <c r="L24" s="196">
        <f t="shared" ca="1" si="192"/>
        <v>0</v>
      </c>
      <c r="M24" s="196">
        <f t="shared" ca="1" si="192"/>
        <v>0</v>
      </c>
      <c r="N24" s="196">
        <f t="shared" ca="1" si="192"/>
        <v>0</v>
      </c>
      <c r="O24" s="196">
        <f t="shared" ca="1" si="192"/>
        <v>0</v>
      </c>
      <c r="P24" s="196">
        <f t="shared" ca="1" si="192"/>
        <v>0</v>
      </c>
      <c r="Q24" s="196">
        <f t="shared" ca="1" si="192"/>
        <v>0</v>
      </c>
      <c r="R24" s="196">
        <f t="shared" ca="1" si="192"/>
        <v>0</v>
      </c>
      <c r="S24" s="196">
        <f t="shared" ca="1" si="192"/>
        <v>0</v>
      </c>
      <c r="T24" s="196">
        <f t="shared" ca="1" si="192"/>
        <v>0</v>
      </c>
      <c r="U24" s="196">
        <f t="shared" ca="1" si="192"/>
        <v>0</v>
      </c>
      <c r="V24" s="196">
        <f t="shared" ca="1" si="192"/>
        <v>0</v>
      </c>
      <c r="W24" s="196">
        <f t="shared" ca="1" si="192"/>
        <v>0</v>
      </c>
      <c r="X24" s="196">
        <f t="shared" ca="1" si="192"/>
        <v>0</v>
      </c>
      <c r="Y24" s="196">
        <f t="shared" ca="1" si="192"/>
        <v>0</v>
      </c>
      <c r="Z24" s="196">
        <f t="shared" ref="Z24" ca="1" si="193">IFERROR(IF($H23="No DD",0,IF(OR(ISBLANK(Z23),Z23="N/A"),0,INDEX(INDIRECT(BY24),MATCH(Z23,INDIRECT(BY23),0)))),0)</f>
        <v>0</v>
      </c>
      <c r="AA24" s="196">
        <f t="shared" ref="AA24" ca="1" si="194">IFERROR(IF($H23="No DD",0,IF(OR(ISBLANK(AA23),AA23="N/A"),0,INDEX(INDIRECT(BZ24),MATCH(AA23,INDIRECT(BZ23),0)))),0)</f>
        <v>0</v>
      </c>
      <c r="AB24" s="196">
        <f t="shared" ref="AB24" ca="1" si="195">IFERROR(IF($H23="No DD",0,IF(OR(ISBLANK(AB23),AB23="N/A"),0,INDEX(INDIRECT(CA24),MATCH(AB23,INDIRECT(CA23),0)))),0)</f>
        <v>0</v>
      </c>
      <c r="AC24" s="196">
        <f t="shared" ref="AC24" ca="1" si="196">IFERROR(IF($H23="No DD",0,IF(OR(ISBLANK(AC23),AC23="N/A"),0,INDEX(INDIRECT(CB24),MATCH(AC23,INDIRECT(CB23),0)))),0)</f>
        <v>0</v>
      </c>
      <c r="AD24" s="196">
        <f t="shared" ref="AD24" ca="1" si="197">IFERROR(IF($H23="No DD",0,IF(OR(ISBLANK(AD23),AD23="N/A"),0,INDEX(INDIRECT(CC24),MATCH(AD23,INDIRECT(CC23),0)))),0)</f>
        <v>0</v>
      </c>
      <c r="AE24" s="196">
        <f t="shared" ref="AE24" ca="1" si="198">IFERROR(IF($H23="No DD",0,IF(OR(ISBLANK(AE23),AE23="N/A"),0,INDEX(INDIRECT(CD24),MATCH(AE23,INDIRECT(CD23),0)))),0)</f>
        <v>0</v>
      </c>
      <c r="AF24" s="196">
        <f t="shared" ref="AF24" ca="1" si="199">IFERROR(IF($H23="No DD",0,IF(OR(ISBLANK(AF23),AF23="N/A"),0,INDEX(INDIRECT(CE24),MATCH(AF23,INDIRECT(CE23),0)))),0)</f>
        <v>0</v>
      </c>
      <c r="AG24" s="196">
        <f t="shared" ref="AG24" ca="1" si="200">IFERROR(IF($H23="No DD",0,IF(OR(ISBLANK(AG23),AG23="N/A"),0,INDEX(INDIRECT(CF24),MATCH(AG23,INDIRECT(CF23),0)))),0)</f>
        <v>0</v>
      </c>
      <c r="AH24" s="196">
        <f t="shared" ref="AH24" ca="1" si="201">IFERROR(IF($H23="No DD",0,IF(OR(ISBLANK(AH23),AH23="N/A"),0,INDEX(INDIRECT(CG24),MATCH(AH23,INDIRECT(CG23),0)))),0)</f>
        <v>0</v>
      </c>
      <c r="AI24" s="196">
        <f t="shared" ref="AI24" ca="1" si="202">IFERROR(IF($H23="No DD",0,IF(OR(ISBLANK(AI23),AI23="N/A"),0,INDEX(INDIRECT(CH24),MATCH(AI23,INDIRECT(CH23),0)))),0)</f>
        <v>0</v>
      </c>
      <c r="AJ24" s="196">
        <f t="shared" ref="AJ24" ca="1" si="203">IFERROR(IF($H23="No DD",0,IF(OR(ISBLANK(AJ23),AJ23="N/A"),0,INDEX(INDIRECT(CI24),MATCH(AJ23,INDIRECT(CI23),0)))),0)</f>
        <v>0</v>
      </c>
      <c r="AK24" s="196">
        <f t="shared" ref="AK24" ca="1" si="204">IFERROR(IF($H23="No DD",0,IF(OR(ISBLANK(AK23),AK23="N/A"),0,INDEX(INDIRECT(CJ24),MATCH(AK23,INDIRECT(CJ23),0)))),0)</f>
        <v>0</v>
      </c>
      <c r="AL24" s="196">
        <f t="shared" ref="AL24" ca="1" si="205">IFERROR(IF($H23="No DD",0,IF(OR(ISBLANK(AL23),AL23="N/A"),0,INDEX(INDIRECT(CK24),MATCH(AL23,INDIRECT(CK23),0)))),0)</f>
        <v>0</v>
      </c>
      <c r="AM24" s="196">
        <f t="shared" ref="AM24" ca="1" si="206">IFERROR(IF($H23="No DD",0,IF(OR(ISBLANK(AM23),AM23="N/A"),0,INDEX(INDIRECT(CL24),MATCH(AM23,INDIRECT(CL23),0)))),0)</f>
        <v>0</v>
      </c>
      <c r="AN24" s="197" t="str">
        <f>IFERROR(IF(E24="H",INDEX(HybridBonus_Value,MATCH(AN23,HybridBonus_Code,0)),""),"")</f>
        <v/>
      </c>
      <c r="AO24" s="195" t="str">
        <f t="shared" ref="AO24" si="207">IFERROR(SUM(I24:AN24),"")</f>
        <v/>
      </c>
      <c r="AP24" s="75"/>
      <c r="AQ24" s="75"/>
      <c r="AR24" s="115"/>
      <c r="AS24" s="115"/>
      <c r="AT24" s="115"/>
      <c r="AU24" s="115"/>
      <c r="AV24" s="115"/>
      <c r="BA24" s="104"/>
      <c r="BB24" s="115"/>
      <c r="BC24" s="115"/>
      <c r="BD24" s="115"/>
      <c r="BE24" s="115"/>
      <c r="BF24" s="115"/>
      <c r="BG24" s="104"/>
      <c r="BH24" s="115"/>
      <c r="BI24" s="105" t="str">
        <f t="shared" ref="BI24" si="208">IF($E24="H",IF($F23="Hybrid - Thrust + 2 connections","Hybrid_Mix_Req_Value","HybridDD_Value"),IF($E24=3,"TreDD_Value",IF($E24="PA","AcroPair_Value",IF(LEFT($F23,4)="Acro",CONCATENATE(BI$16,$E24,"_Value"),""))))</f>
        <v/>
      </c>
      <c r="BJ24" s="105" t="str">
        <f t="shared" ref="BJ24" si="209">IF($E24="H",IF($F23="Hybrid - Thrust + 2 connections","Hybrid_Mix_Req_Value","HybridDD_Value"),IF($E24=3,"TreDD_Value",IF($E24="PA","AcroPair_Value",IF(LEFT($F23,4)="Acro",CONCATENATE(BJ$16,$E24,"_Value"),""))))</f>
        <v/>
      </c>
      <c r="BK24" s="105" t="str">
        <f t="shared" ref="BK24" si="210">IF($E24="H",IF($F23="Hybrid - Thrust + 2 connections","Hybrid_Mix_Req_Value","HybridDD_Value"),IF($E24=3,"TreDD_Value",IF($E24="PA","AcroPair_Value",IF(LEFT($F23,4)="Acro",CONCATENATE(BK$16,$E24,"_Value"),""))))</f>
        <v/>
      </c>
      <c r="BL24" s="105" t="str">
        <f t="shared" ref="BL24" si="211">IF($E24="H",IF($F23="Hybrid - Thrust + 2 connections","Hybrid_Mix_Req_Value","HybridDD_Value"),IF($E24=3,"TreDD_Value",IF($E24="PA","AcroPair_Value",IF(LEFT($F23,4)="Acro",CONCATENATE(BL$16,$E24,"_Value"),""))))</f>
        <v/>
      </c>
      <c r="BM24" s="105" t="str">
        <f t="shared" ref="BM24" si="212">IF($E24="H",IF($F23="Hybrid - Thrust + 2 connections","Hybrid_Mix_Req_Value","HybridDD_Value"),IF($E24=3,"TreDD_Value",IF($E24="PA","AcroPair_Value",IF(LEFT($F23,4)="Acro",CONCATENATE(BM$16,$E24,"_Value"),""))))</f>
        <v/>
      </c>
      <c r="BN24" s="105" t="str">
        <f t="shared" ref="BN24" si="213">IF($E24="H",IF($F23="Hybrid - Thrust + 2 connections","Hybrid_Mix_Req_Value","HybridDD_Value"),IF($E24=3,"TreDD_Value",IF($E24="PA","AcroPair_Value",IF(LEFT($F23,4)="Acro",CONCATENATE(BN$16,$E24,"_Value"),""))))</f>
        <v/>
      </c>
      <c r="BO24" s="105" t="str">
        <f t="shared" ref="BO24" si="214">IF($E24="H",IF($F23="Hybrid - Thrust + 2 connections","Hybrid_Mix_Req_Value","HybridDD_Value"),IF($E24=3,"TreDD_Value",IF($E24="PA","AcroPair_Value",IF(LEFT($F23,4)="Acro",CONCATENATE(BO$16,$E24,"_Value"),""))))</f>
        <v/>
      </c>
      <c r="BP24" s="105" t="str">
        <f t="shared" ref="BP24" si="215">IF($E24="H",IF($F23="Hybrid - Thrust + 2 connections","Hybrid_Mix_Req_Value","HybridDD_Value"),IF($E24=3,"TreDD_Value",IF($E24="PA","AcroPair_Value",IF(LEFT($F23,4)="Acro",CONCATENATE(BP$16,$E24,"_Value"),""))))</f>
        <v/>
      </c>
      <c r="BQ24" s="105" t="str">
        <f t="shared" ref="BQ24" si="216">IF($E24="H",IF($F23="Hybrid - Thrust + 2 connections","Hybrid_Mix_Req_Value","HybridDD_Value"),IF($E24=3,"TreDD_Value",IF($E24="PA","AcroPair_Value",IF(LEFT($F23,4)="Acro",CONCATENATE(BQ$16,$E24,"_Value"),""))))</f>
        <v/>
      </c>
      <c r="BR24" s="104" t="str">
        <f t="shared" ref="BR24" si="217">IF($E24="H",IF($F23="Hybrid - Thrust + 2 connections","Data!$BI$1:$BI$5","HybridDD_Value"),"Data!$BI$1:$BI$5")</f>
        <v>Data!$BI$1:$BI$5</v>
      </c>
      <c r="BS24" s="104" t="str">
        <f t="shared" ref="BS24" si="218">IF($E24="H",IF($F23="Hybrid - Thrust + 2 connections","Data!$BI$1:$BI$5","HybridDD_Value"),"Data!$BI$1:$BI$5")</f>
        <v>Data!$BI$1:$BI$5</v>
      </c>
      <c r="BT24" s="104" t="str">
        <f t="shared" ref="BT24" si="219">IF($E24="H",IF($F23="Hybrid - Thrust + 2 connections","Data!$BI$1:$BI$5","HybridDD_Value"),"Data!$BI$1:$BI$5")</f>
        <v>Data!$BI$1:$BI$5</v>
      </c>
      <c r="BU24" s="104" t="str">
        <f t="shared" ref="BU24" si="220">IF($E24="H",IF($F23="Hybrid - Thrust + 2 connections","Data!$BI$1:$BI$5","HybridDD_Value"),"Data!$BI$1:$BI$5")</f>
        <v>Data!$BI$1:$BI$5</v>
      </c>
      <c r="BV24" s="104" t="str">
        <f t="shared" ref="BV24" si="221">IF($E24="H",IF($F23="Hybrid - Thrust + 2 connections","Data!$BI$1:$BI$5","HybridDD_Value"),"Data!$BI$1:$BI$5")</f>
        <v>Data!$BI$1:$BI$5</v>
      </c>
      <c r="BW24" s="104" t="str">
        <f t="shared" ref="BW24" si="222">IF($E24="H",IF($F23="Hybrid - Thrust + 2 connections","Data!$BI$1:$BI$5","HybridDD_Value"),"Data!$BI$1:$BI$5")</f>
        <v>Data!$BI$1:$BI$5</v>
      </c>
      <c r="BX24" s="104" t="str">
        <f t="shared" ref="BX24" si="223">IF($E24="H",IF($F23="Hybrid - Thrust + 2 connections","Data!$BI$1:$BI$5","HybridDD_Value"),"Data!$BI$1:$BI$5")</f>
        <v>Data!$BI$1:$BI$5</v>
      </c>
      <c r="BY24" s="104" t="str">
        <f t="shared" ref="BY24" si="224">IF($E24="H",IF($F23="Hybrid - Thrust + 2 connections","Data!$BI$1:$BI$5","HybridDD_Value"),"Data!$BI$1:$BI$5")</f>
        <v>Data!$BI$1:$BI$5</v>
      </c>
      <c r="BZ24" s="104" t="str">
        <f t="shared" ref="BZ24" si="225">IF($E24="H",IF($F23="Hybrid - Thrust + 2 connections","Data!$BI$1:$BI$5","HybridDD_Value"),"Data!$BI$1:$BI$5")</f>
        <v>Data!$BI$1:$BI$5</v>
      </c>
      <c r="CA24" s="104" t="str">
        <f t="shared" ref="CA24" si="226">IF($E24="H",IF($F23="Hybrid - Thrust + 2 connections","Data!$BI$1:$BI$5","HybridDD_Value"),"Data!$BI$1:$BI$5")</f>
        <v>Data!$BI$1:$BI$5</v>
      </c>
      <c r="CB24" s="104" t="str">
        <f t="shared" ref="CB24" si="227">IF($E24="H",IF($F23="Hybrid - Thrust + 2 connections","Data!$BI$1:$BI$5","HybridDD_Value"),"Data!$BI$1:$BI$5")</f>
        <v>Data!$BI$1:$BI$5</v>
      </c>
      <c r="CC24" s="104" t="str">
        <f t="shared" ref="CC24" si="228">IF($E24="H",IF($F23="Hybrid - Thrust + 2 connections","Data!$BI$1:$BI$5","HybridDD_Value"),"Data!$BI$1:$BI$5")</f>
        <v>Data!$BI$1:$BI$5</v>
      </c>
      <c r="CD24" s="104" t="str">
        <f t="shared" ref="CD24" si="229">IF($E24="H",IF($F23="Hybrid - Thrust + 2 connections","Data!$BI$1:$BI$5","HybridDD_Value"),"Data!$BI$1:$BI$5")</f>
        <v>Data!$BI$1:$BI$5</v>
      </c>
      <c r="CE24" s="104" t="str">
        <f t="shared" ref="CE24" si="230">IF($E24="H",IF($F23="Hybrid - Thrust + 2 connections","Data!$BI$1:$BI$5","HybridDD_Value"),"Data!$BI$1:$BI$5")</f>
        <v>Data!$BI$1:$BI$5</v>
      </c>
      <c r="CF24" s="104" t="str">
        <f t="shared" ref="CF24" si="231">IF($E24="H",IF($F23="Hybrid - Thrust + 2 connections","Data!$BI$1:$BI$5","HybridDD_Value"),"Data!$BI$1:$BI$5")</f>
        <v>Data!$BI$1:$BI$5</v>
      </c>
      <c r="CG24" s="104" t="str">
        <f t="shared" ref="CG24" si="232">IF($E24="H",IF($F23="Hybrid - Thrust + 2 connections","Data!$BI$1:$BI$5","HybridDD_Value"),"Data!$BI$1:$BI$5")</f>
        <v>Data!$BI$1:$BI$5</v>
      </c>
      <c r="CH24" s="104" t="str">
        <f t="shared" ref="CH24" si="233">IF($E24="H",IF($F23="Hybrid - Thrust + 2 connections","Data!$BI$1:$BI$5","HybridDD_Value"),"Data!$BI$1:$BI$5")</f>
        <v>Data!$BI$1:$BI$5</v>
      </c>
      <c r="CI24" s="104" t="str">
        <f t="shared" ref="CI24" si="234">IF($E24="H",IF($F23="Hybrid - Thrust + 2 connections","Data!$BI$1:$BI$5","HybridDD_Value"),"Data!$BI$1:$BI$5")</f>
        <v>Data!$BI$1:$BI$5</v>
      </c>
      <c r="CJ24" s="104" t="str">
        <f t="shared" ref="CJ24" si="235">IF($E24="H",IF($F23="Hybrid - Thrust + 2 connections","Data!$BI$1:$BI$5","HybridDD_Value"),"Data!$BI$1:$BI$5")</f>
        <v>Data!$BI$1:$BI$5</v>
      </c>
      <c r="CK24" s="104" t="str">
        <f t="shared" ref="CK24" si="236">IF($E24="H",IF($F23="Hybrid - Thrust + 2 connections","Data!$BI$1:$BI$5","HybridDD_Value"),"Data!$BI$1:$BI$5")</f>
        <v>Data!$BI$1:$BI$5</v>
      </c>
      <c r="CL24" s="104" t="str">
        <f t="shared" ref="CL24" si="237">IF($E24="H",IF($F23="Hybrid - Thrust + 2 connections","Data!$BI$1:$BI$5","HybridDD_Value"),"Data!$BI$1:$BI$5")</f>
        <v>Data!$BI$1:$BI$5</v>
      </c>
      <c r="CM24" s="115"/>
      <c r="CN24" s="115"/>
      <c r="CO24" s="116" t="str">
        <f>IFERROR(IF(AND($BV$6="T",$BV$8="T",LEFT(F23,4)="Acro",AO24&gt;3),"X",IF($N$7="X",IF(AND(E24="C",AO24&gt;$CN$6),"X",IF(AND(E24="A",AO24&gt;$CN$4),"X",IF(AND(E24="B",AO24&gt;$CN$5),"X",IF(AND(E24="P",AO24&gt;$CN$7),"X","")))),"")),"")</f>
        <v/>
      </c>
      <c r="CP24" s="108"/>
      <c r="CQ24" s="105"/>
      <c r="CS24" s="105"/>
      <c r="CT24" s="105"/>
      <c r="CU24" s="105"/>
      <c r="CV24" s="105"/>
      <c r="CW24" s="105"/>
      <c r="CX24" s="105"/>
      <c r="CY24" s="105"/>
      <c r="CZ24" s="105"/>
      <c r="DD24" s="102" t="str">
        <f t="shared" si="10"/>
        <v/>
      </c>
      <c r="DE24" s="102" t="str">
        <f t="shared" si="11"/>
        <v/>
      </c>
      <c r="DF24" s="102" t="str">
        <f t="shared" si="12"/>
        <v/>
      </c>
      <c r="DG24" s="102" t="str">
        <f t="shared" si="13"/>
        <v/>
      </c>
      <c r="DO24" s="102">
        <v>6</v>
      </c>
      <c r="ED24" s="102" t="str">
        <f t="shared" si="14"/>
        <v/>
      </c>
      <c r="EE24" s="102" t="str">
        <f t="shared" si="15"/>
        <v/>
      </c>
      <c r="EI24" s="102" t="str" cm="1">
        <f t="array" ref="EI24">IFERROR(INDEX(EK24:FN24,MATCH(TRUE,INDEX((EK24:FN24&lt;&gt;""),),0)),"")</f>
        <v/>
      </c>
      <c r="EK24" s="102" t="str">
        <f t="shared" ref="EK24:EZ24" si="238">IF(F23="Hybrid - Thrust + 2 connections",IF(COUNTIF($EK23:$FD23,EK23)&gt;1,EK23,""),IF(COUNTIF($EK23:$FD23,EK23)&gt;5,EK23,""))</f>
        <v/>
      </c>
      <c r="EL24" s="102" t="str">
        <f t="shared" si="238"/>
        <v/>
      </c>
      <c r="EM24" s="102" t="str">
        <f t="shared" si="238"/>
        <v/>
      </c>
      <c r="EN24" s="102" t="str">
        <f t="shared" si="238"/>
        <v/>
      </c>
      <c r="EO24" s="102" t="str">
        <f t="shared" si="238"/>
        <v/>
      </c>
      <c r="EP24" s="102" t="str">
        <f t="shared" si="238"/>
        <v/>
      </c>
      <c r="EQ24" s="102" t="str">
        <f t="shared" si="238"/>
        <v/>
      </c>
      <c r="ER24" s="102" t="str">
        <f t="shared" si="238"/>
        <v/>
      </c>
      <c r="ES24" s="102" t="str">
        <f t="shared" si="238"/>
        <v/>
      </c>
      <c r="ET24" s="102" t="str">
        <f t="shared" si="238"/>
        <v/>
      </c>
      <c r="EU24" s="102" t="str">
        <f t="shared" si="238"/>
        <v/>
      </c>
      <c r="EV24" s="102" t="str">
        <f t="shared" si="238"/>
        <v/>
      </c>
      <c r="EW24" s="102" t="str">
        <f t="shared" si="238"/>
        <v/>
      </c>
      <c r="EX24" s="102" t="str">
        <f t="shared" si="238"/>
        <v/>
      </c>
      <c r="EY24" s="102" t="str">
        <f t="shared" si="238"/>
        <v/>
      </c>
      <c r="EZ24" s="102" t="str">
        <f t="shared" si="238"/>
        <v/>
      </c>
      <c r="FA24" s="102" t="str">
        <f t="shared" ref="FA24" si="239">IF(V23="Hybrid - Thrust + 2 connections",IF(COUNTIF($EK23:$FD23,FA23)&gt;1,FA23,""),IF(COUNTIF($EK23:$FD23,FA23)&gt;5,FA23,""))</f>
        <v/>
      </c>
      <c r="FB24" s="102" t="str">
        <f t="shared" ref="FB24" si="240">IF(W23="Hybrid - Thrust + 2 connections",IF(COUNTIF($EK23:$FD23,FB23)&gt;1,FB23,""),IF(COUNTIF($EK23:$FD23,FB23)&gt;5,FB23,""))</f>
        <v/>
      </c>
      <c r="FC24" s="102" t="str">
        <f t="shared" ref="FC24" si="241">IF(X23="Hybrid - Thrust + 2 connections",IF(COUNTIF($EK23:$FD23,FC23)&gt;1,FC23,""),IF(COUNTIF($EK23:$FD23,FC23)&gt;5,FC23,""))</f>
        <v/>
      </c>
      <c r="FD24" s="102" t="str">
        <f t="shared" ref="FD24" si="242">IF(Y23="Hybrid - Thrust + 2 connections",IF(COUNTIF($EK23:$FD23,FD23)&gt;1,FD23,""),IF(COUNTIF($EK23:$FD23,FD23)&gt;5,FD23,""))</f>
        <v/>
      </c>
      <c r="FE24" s="102" t="str">
        <f t="shared" ref="FE24" si="243">IF(Z23="Hybrid - Thrust + 2 connections",IF(COUNTIF($EK23:$FD23,FE23)&gt;1,FE23,""),IF(COUNTIF($EK23:$FD23,FE23)&gt;5,FE23,""))</f>
        <v/>
      </c>
      <c r="FF24" s="102" t="str">
        <f t="shared" ref="FF24" si="244">IF(AA23="Hybrid - Thrust + 2 connections",IF(COUNTIF($EK23:$FD23,FF23)&gt;1,FF23,""),IF(COUNTIF($EK23:$FD23,FF23)&gt;5,FF23,""))</f>
        <v/>
      </c>
      <c r="FG24" s="102" t="str">
        <f t="shared" ref="FG24" si="245">IF(AB23="Hybrid - Thrust + 2 connections",IF(COUNTIF($EK23:$FD23,FG23)&gt;1,FG23,""),IF(COUNTIF($EK23:$FD23,FG23)&gt;5,FG23,""))</f>
        <v/>
      </c>
      <c r="FH24" s="102" t="str">
        <f t="shared" ref="FH24" si="246">IF(AC23="Hybrid - Thrust + 2 connections",IF(COUNTIF($EK23:$FD23,FH23)&gt;1,FH23,""),IF(COUNTIF($EK23:$FD23,FH23)&gt;5,FH23,""))</f>
        <v/>
      </c>
      <c r="FI24" s="102" t="str">
        <f t="shared" ref="FI24" si="247">IF(AD23="Hybrid - Thrust + 2 connections",IF(COUNTIF($EK23:$FD23,FI23)&gt;1,FI23,""),IF(COUNTIF($EK23:$FD23,FI23)&gt;5,FI23,""))</f>
        <v/>
      </c>
      <c r="FJ24" s="102" t="str">
        <f t="shared" ref="FJ24" si="248">IF(AE23="Hybrid - Thrust + 2 connections",IF(COUNTIF($EK23:$FD23,FJ23)&gt;1,FJ23,""),IF(COUNTIF($EK23:$FD23,FJ23)&gt;5,FJ23,""))</f>
        <v/>
      </c>
      <c r="FK24" s="102" t="str">
        <f t="shared" ref="FK24" si="249">IF(AF23="Hybrid - Thrust + 2 connections",IF(COUNTIF($EK23:$FD23,FK23)&gt;1,FK23,""),IF(COUNTIF($EK23:$FD23,FK23)&gt;5,FK23,""))</f>
        <v/>
      </c>
      <c r="FL24" s="102" t="str">
        <f t="shared" ref="FL24" si="250">IF(AG23="Hybrid - Thrust + 2 connections",IF(COUNTIF($EK23:$FD23,FL23)&gt;1,FL23,""),IF(COUNTIF($EK23:$FD23,FL23)&gt;5,FL23,""))</f>
        <v/>
      </c>
      <c r="FM24" s="102" t="str">
        <f t="shared" ref="FM24" si="251">IF(AH23="Hybrid - Thrust + 2 connections",IF(COUNTIF($EK23:$FD23,FM23)&gt;1,FM23,""),IF(COUNTIF($EK23:$FD23,FM23)&gt;5,FM23,""))</f>
        <v/>
      </c>
      <c r="FN24" s="102" t="str">
        <f t="shared" ref="FN24" si="252">IF(AI23="Hybrid - Thrust + 2 connections",IF(COUNTIF($EK23:$FD23,FN23)&gt;1,FN23,""),IF(COUNTIF($EK23:$FD23,FN23)&gt;5,FN23,""))</f>
        <v/>
      </c>
      <c r="FO24" s="102">
        <f t="shared" ref="FO24" si="253">FO22+5</f>
        <v>10</v>
      </c>
      <c r="FP24" s="102" t="str">
        <f t="shared" ref="FP24" ca="1" si="254">OFFSET($FP$75,FO24,0)</f>
        <v/>
      </c>
      <c r="FQ24" s="102" t="str">
        <f t="shared" ref="FQ24" ca="1" si="255">OFFSET($FQ$75,FO24,0)</f>
        <v/>
      </c>
      <c r="FR24" s="282"/>
      <c r="FS24" s="282"/>
      <c r="FT24" s="282"/>
      <c r="FU24" s="282"/>
      <c r="FV24" s="282"/>
      <c r="FW24" s="282"/>
      <c r="FX24" s="282"/>
      <c r="FY24" s="282"/>
      <c r="FZ24" s="282"/>
      <c r="GA24" s="282"/>
      <c r="GB24" s="282"/>
      <c r="GC24" s="282"/>
      <c r="GD24" s="282"/>
      <c r="GE24" s="282"/>
      <c r="GF24" s="282"/>
      <c r="GG24" s="282"/>
      <c r="GH24" s="282"/>
      <c r="GI24" s="282"/>
      <c r="GJ24" s="282"/>
      <c r="GK24" s="282"/>
      <c r="GL24" s="282"/>
      <c r="GM24" s="282"/>
      <c r="GN24" s="282"/>
      <c r="GO24" s="282"/>
      <c r="GP24" s="282"/>
      <c r="GQ24" s="282"/>
      <c r="GR24" s="282"/>
      <c r="GS24" s="282"/>
      <c r="GT24" s="282"/>
      <c r="GU24" s="282"/>
      <c r="GV24" s="102"/>
      <c r="GW24" s="102"/>
      <c r="GX24" s="102"/>
      <c r="GY24" s="102"/>
      <c r="GZ24" s="102"/>
      <c r="HA24" s="102"/>
      <c r="HB24" s="102"/>
      <c r="HC24" s="102"/>
      <c r="HD24" s="102" t="str">
        <f>IF($F23="Hybrid - Thrust + 2 connections",COUNTBLANK(J23:L23),"")</f>
        <v/>
      </c>
      <c r="HE24" s="102"/>
      <c r="HF24" s="105"/>
      <c r="HG24" s="105"/>
      <c r="HH24" s="105"/>
      <c r="HI24" s="105"/>
    </row>
    <row r="25" spans="1:222" x14ac:dyDescent="0.25">
      <c r="A25" s="39" t="str">
        <f>IF(AND(E23="",A23&lt;&gt;""),IF(CP23=$CP$18,"",IF(C23&lt;&gt;"",IF(D23=59,MINUTE(CP23)+1,MINUTE(CP23)),"")),"")</f>
        <v/>
      </c>
      <c r="B25" s="40" t="str">
        <f>IF(AND(E23="",B23&lt;&gt;""),IF(CP23=$CP$18,"",IF(C23&lt;&gt;"",IF(D23=59,0,SECOND(CP23)+1),"")),"")</f>
        <v/>
      </c>
      <c r="C25" s="50"/>
      <c r="D25" s="50"/>
      <c r="E25" s="9"/>
      <c r="F25" s="51"/>
      <c r="G25" s="42" t="str">
        <f>IF(F25&lt;&gt;"",IF(OR(F25="Transition",F25="Transition - Surface Connection"),0,MAX($G$19:G24)+1),"")</f>
        <v/>
      </c>
      <c r="H25" s="56" t="str">
        <f t="shared" ref="H25" si="256">IFERROR(IF(E26="3","",IF(OR(F25="Hybrid - min 4 swimmers (no DD)",LEFT(F25,5)="Trans"),"No DD",CONCATENATE("BM = ",I26))),"")</f>
        <v/>
      </c>
      <c r="I25" s="57"/>
      <c r="J25" s="124"/>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29"/>
      <c r="AL25" s="129"/>
      <c r="AM25" s="129"/>
      <c r="AN25" s="179"/>
      <c r="AO25" s="43"/>
      <c r="AP25" s="74"/>
      <c r="AQ25" s="74"/>
      <c r="AR25" s="104"/>
      <c r="AS25" s="104"/>
      <c r="AT25" s="104"/>
      <c r="AU25" s="104"/>
      <c r="AV25" s="104"/>
      <c r="AW25" s="105" t="str">
        <f t="shared" ref="AW25" si="257">E26</f>
        <v/>
      </c>
      <c r="AX25" s="108" t="str">
        <f t="shared" ref="AX25" si="258">IF(AY25=0,"",TIME(0,A25,B25))</f>
        <v/>
      </c>
      <c r="AY25" s="108">
        <f t="shared" ref="AY25" si="259">TIME(0,C25,D25)</f>
        <v>0</v>
      </c>
      <c r="AZ25" s="108" t="str">
        <f t="shared" ref="AZ25" si="260">IFERROR(AY25-AX25,"")</f>
        <v/>
      </c>
      <c r="BA25" s="276" t="str">
        <f t="shared" ref="BA25" si="261">IF($AX$17=0,"",IF(AND($C$10&lt;&gt;"",AW25="H",AZ25&gt;$AX$17),"X",""))</f>
        <v/>
      </c>
      <c r="BB25" s="104"/>
      <c r="BC25" s="104"/>
      <c r="BD25" s="104"/>
      <c r="BE25" s="104"/>
      <c r="BF25" s="104"/>
      <c r="BG25" s="104" t="str">
        <f>IFERROR(IF(F25&lt;&gt;"",INDEX(Parts_Active,MATCH(F25,Parts_Active,0)),""),"No")</f>
        <v/>
      </c>
      <c r="BH25" s="104"/>
      <c r="BI25" s="104" t="str">
        <f t="shared" ref="BI25" si="262">IF($E26="H",IF($F25="Hybrid - Thrust + 2 connections","Hybrid_Mix_Req",IF($F25="Hybrid - min 4 swimmers (no DD)","Hybrid_ChoHY","HybridDD_Code")),IF($E26=3,"TreDD_Code",IF($E26="PA","AcroPair_Code",IF(LEFT($F25,4)="Acro",CONCATENATE(BI$16,$E26,"_Code"),"Data!$BI$1:$BI$5"))))</f>
        <v>Data!$BI$1:$BI$5</v>
      </c>
      <c r="BJ25" s="104" t="str">
        <f t="shared" ref="BJ25" si="263">IF($E26="H",IF($F25="Hybrid - Thrust + 2 connections","Hybrid_Mix_Req",IF($F25="Hybrid - min 4 swimmers (no DD)","Data!$BI$1:$BI$5","HybridDD_Code")),IF($E26=3,"TreDD_Code",IF($E26="PA","AcroPair_Code",IF(LEFT($F25,4)="Acro",CONCATENATE(BJ$16,$E26,"_Code"),"Data!$BI$1:$BI$5"))))</f>
        <v>Data!$BI$1:$BI$5</v>
      </c>
      <c r="BK25" s="104" t="str">
        <f t="shared" si="6"/>
        <v>Data!$BI$1:$BI$5</v>
      </c>
      <c r="BL25" s="104" t="str">
        <f t="shared" si="6"/>
        <v>Data!$BI$1:$BI$5</v>
      </c>
      <c r="BM25" s="104" t="str">
        <f t="shared" si="6"/>
        <v>Data!$BI$1:$BI$5</v>
      </c>
      <c r="BN25" s="104" t="str">
        <f t="shared" si="6"/>
        <v>Data!$BI$1:$BI$5</v>
      </c>
      <c r="BO25" s="104" t="str">
        <f t="shared" si="6"/>
        <v>Data!$BI$1:$BI$5</v>
      </c>
      <c r="BP25" s="104" t="str">
        <f t="shared" si="6"/>
        <v>Data!$BI$1:$BI$5</v>
      </c>
      <c r="BQ25" s="104" t="str">
        <f t="shared" si="6"/>
        <v>Data!$BI$1:$BI$5</v>
      </c>
      <c r="BR25" s="104" t="str">
        <f t="shared" ref="BR25" si="264">IF($E26="H",IF($F25="Hybrid - Thrust + 2 connections","Data!$BI$1:$BI$5","HybridDD_Code"),"Data!$BI$1:$BI$5")</f>
        <v>Data!$BI$1:$BI$5</v>
      </c>
      <c r="BS25" s="104" t="str">
        <f t="shared" si="7"/>
        <v>Data!$BI$1:$BI$5</v>
      </c>
      <c r="BT25" s="104" t="str">
        <f t="shared" si="7"/>
        <v>Data!$BI$1:$BI$5</v>
      </c>
      <c r="BU25" s="104" t="str">
        <f t="shared" si="7"/>
        <v>Data!$BI$1:$BI$5</v>
      </c>
      <c r="BV25" s="104" t="str">
        <f t="shared" si="7"/>
        <v>Data!$BI$1:$BI$5</v>
      </c>
      <c r="BW25" s="104" t="str">
        <f t="shared" si="7"/>
        <v>Data!$BI$1:$BI$5</v>
      </c>
      <c r="BX25" s="104" t="str">
        <f t="shared" si="7"/>
        <v>Data!$BI$1:$BI$5</v>
      </c>
      <c r="BY25" s="104" t="str">
        <f t="shared" si="7"/>
        <v>Data!$BI$1:$BI$5</v>
      </c>
      <c r="BZ25" s="104" t="str">
        <f t="shared" si="7"/>
        <v>Data!$BI$1:$BI$5</v>
      </c>
      <c r="CA25" s="104" t="str">
        <f t="shared" si="7"/>
        <v>Data!$BI$1:$BI$5</v>
      </c>
      <c r="CB25" s="104" t="str">
        <f t="shared" si="7"/>
        <v>Data!$BI$1:$BI$5</v>
      </c>
      <c r="CC25" s="104" t="str">
        <f t="shared" si="7"/>
        <v>Data!$BI$1:$BI$5</v>
      </c>
      <c r="CD25" s="104" t="str">
        <f t="shared" si="7"/>
        <v>Data!$BI$1:$BI$5</v>
      </c>
      <c r="CE25" s="104" t="str">
        <f t="shared" si="7"/>
        <v>Data!$BI$1:$BI$5</v>
      </c>
      <c r="CF25" s="104" t="str">
        <f t="shared" si="7"/>
        <v>Data!$BI$1:$BI$5</v>
      </c>
      <c r="CG25" s="104" t="str">
        <f t="shared" si="7"/>
        <v>Data!$BI$1:$BI$5</v>
      </c>
      <c r="CH25" s="104" t="str">
        <f t="shared" si="7"/>
        <v>Data!$BI$1:$BI$5</v>
      </c>
      <c r="CI25" s="104" t="str">
        <f t="shared" si="8"/>
        <v>Data!$BI$1:$BI$5</v>
      </c>
      <c r="CJ25" s="104" t="str">
        <f t="shared" si="8"/>
        <v>Data!$BI$1:$BI$5</v>
      </c>
      <c r="CK25" s="104" t="str">
        <f t="shared" si="8"/>
        <v>Data!$BI$1:$BI$5</v>
      </c>
      <c r="CL25" s="104" t="str">
        <f t="shared" si="8"/>
        <v>Data!$BI$1:$BI$5</v>
      </c>
      <c r="CM25" s="104"/>
      <c r="CN25" s="104"/>
      <c r="CO25" s="107" t="str">
        <f>IFERROR(TIME(0,A25,B25),"")</f>
        <v/>
      </c>
      <c r="CP25" s="108">
        <f>IFERROR(TIME(0,C25,D25),"")</f>
        <v>0</v>
      </c>
      <c r="CQ25" s="108" t="str">
        <f t="shared" ref="CQ25" si="265">IF(CP25&gt;$D$12,"X","")</f>
        <v/>
      </c>
      <c r="CR25" s="102" t="str">
        <f>IF(AND(F25="Hybrid - Thrust + 2 connections",OR(LEFT(J25,1)="T",LEFT(K25,1)="T",LEFT(L25,1)="T",LEFT(PB25,1)="T",LEFT(M25,1)="T",LEFT(N25,1)="T",LEFT(O25,1)="T",LEFT(P25,1)="T",LEFT(Q25,1)="T",LEFT(R25,1)="T",LEFT(S25,1)="T",LEFT(T25,1)="T",LEFT(U25,1)="T",LEFT(V25,1)="T",LEFT(W25,1)="T",LEFT(X25,1)="T",LEFT(AK25,1)="T",LEFT(AL25,1)="T",LEFT(AM25,1)="T")),IF(OR(LEN(J25)=2,LEN(K25)=2,LEN(L25)=2,LEN(M25)=2,LEN(N25)=2,LEN(O25)=2,LEN(P25)=2,LEN(Q25)=2,LEN(R25)=2,LEN(S25)=2,LEN(T25)=2,LEN(U25)=2,LEN(V25)=2,LEN(W25)=2,LEN(X25)=2,LEN(Y25)=2,LEN(Z25)=2,LEN(AK25)=2,LEN(AL25)=2,LEN(AM25)=2),"X",""),"")</f>
        <v/>
      </c>
      <c r="CS25" s="105"/>
      <c r="CT25" s="102" t="str">
        <f>IF(LEFT(F25,4)="Acro",IF(AND(N25&lt;&gt;"",M25=RIGHT(N25,2)),"X","OK"),"")</f>
        <v/>
      </c>
      <c r="CU25" s="104" t="str">
        <f t="shared" ref="CU25:DB25" si="266">IFERROR(IF(AND(LEFT($F25,4)="Acro",INDEX(Requ_App,MATCH(BI25,Requ_Code,0))="No"),"X",""),"")</f>
        <v/>
      </c>
      <c r="CV25" s="104" t="str">
        <f t="shared" si="266"/>
        <v/>
      </c>
      <c r="CW25" s="104" t="str">
        <f t="shared" si="266"/>
        <v/>
      </c>
      <c r="CX25" s="104" t="str">
        <f t="shared" si="266"/>
        <v/>
      </c>
      <c r="CY25" s="104" t="str">
        <f t="shared" si="266"/>
        <v/>
      </c>
      <c r="CZ25" s="104" t="str">
        <f t="shared" si="266"/>
        <v/>
      </c>
      <c r="DA25" s="104" t="str">
        <f t="shared" si="266"/>
        <v/>
      </c>
      <c r="DB25" s="104" t="str">
        <f t="shared" si="266"/>
        <v/>
      </c>
      <c r="DC25" s="104" t="str">
        <f>IFERROR(IF(AND(LEFT($F25,4)="Acro",INDEX(Requ_App,MATCH(BP25,Requ_Code,0))="No"),"X",""),"")</f>
        <v/>
      </c>
      <c r="DD25" s="102" t="str">
        <f t="shared" si="10"/>
        <v/>
      </c>
      <c r="DE25" s="102" t="str">
        <f t="shared" si="11"/>
        <v/>
      </c>
      <c r="DF25" s="102" t="str">
        <f t="shared" si="12"/>
        <v/>
      </c>
      <c r="DG25" s="102" t="str">
        <f t="shared" si="13"/>
        <v/>
      </c>
      <c r="DK25" s="102">
        <f t="shared" ref="DK25" si="267">IF(AND(E26="A",OR(Q25="Grip",Q25="Conn",Q25="Catch")),"A1",IF(AND(E26="A",OR(Q25="Hula",Q25="RetSq",Q25="RetPa")),"A2",IF(AND(E26="B",OR(Q25="Twirl",Q25="RotF")),"B1",IF(AND(E26="B",OR(Q25="Moon",Q25="Mov",Q25="Hold")),"B2",IF(AND(E26="P",OR(Q25="Porp",Q25="Splch")),"P1",IF(AND(E26="P",OR(Q25="Diva",Q25="Stand")),"P2",IF(AND(E26="P",OR(Q25="Spider",Q25="Climb")),"P3",IF(AND(E26="P",OR(Q25="Fall",Q25="FTurn")),"P4",IF(AND(E26="C",OR(Q25="Jump",Q25="Jump&gt;",Q25="On1Foot",Q25="1F&gt;1F")),"C1",IF(AND(E26="C",OR(Q25="Run",Q25="BRun")),"C2",1))))))))))</f>
        <v>1</v>
      </c>
      <c r="DL25" s="102">
        <f t="shared" ref="DL25" si="268">IF(AND(E26="A",OR(R25="Grip",R25="Conn",R25="Catch")),"A1",IF(AND(E26="A",OR(R25="Hula",R25="RetSq",R25="RetPa")),"A2",IF(AND(E26="B",OR(R25="Twirl",R25="RotF")),"B1",IF(AND(E26="B",OR(R25="Moon",R25="Mov",R25="Hold")),"B2",IF(AND(E26="P",OR(R25="Porp",R25="Spich")),"P1",IF(AND(E26="P",OR(R25="Diva",R25="Stand")),"P2",IF(AND(E26="P",OR(R25="Spider",R25="Climb")),"P3",IF(AND(E26="P",OR(R25="Fall",R25="FTurn")),"P4",IF(AND(E26="C",OR(R25="Jump",R25="Jump&gt;",R25="On1Foot",R25="1F&gt;1F")),"C1",IF(AND(E26="C",OR(R25="Run",R25="BRun")),"C2",2))))))))))</f>
        <v>2</v>
      </c>
      <c r="DM25" s="102" t="str">
        <f>IF(AND(LEFT(F25,4)="Acro",Q25&lt;&gt;"",OR(Q25=R25,DK25=DL25)),IF(R25="C-Roll","","X"),IF(OR(AND(E26="A",Q25="Catch",R25&lt;&gt;"Dbl"),AND(E26="A",R25="Catch",Q25&lt;&gt;"Dbl")),"X",""))</f>
        <v/>
      </c>
      <c r="DN25" s="102" t="str">
        <f>IF(E26="PA",J25,"")</f>
        <v/>
      </c>
      <c r="DO25" s="102">
        <v>7</v>
      </c>
      <c r="DQ25" s="102" t="str">
        <f>IF(AND($E26="A",COUNTIF($DZ$19:$EA$68,DZ25)&gt;1),DZ25,"")</f>
        <v/>
      </c>
      <c r="DR25" s="102" t="str">
        <f>IF(AND($E26="A",COUNTIF($DZ$19:$EA$68,EA25)&gt;1),EA25,"")</f>
        <v/>
      </c>
      <c r="DS25" s="102" t="str">
        <f ca="1">IF(AND($E26="B",COUNTIF($J$19:$J$68,J25)&gt;1),J25,"")</f>
        <v/>
      </c>
      <c r="DT25" s="102" t="str">
        <f ca="1">IF(AND($E26="B",COUNTIF($K$19:$K$68,K25)&gt;1),K25,"")</f>
        <v/>
      </c>
      <c r="DU25" s="102" t="str">
        <f ca="1">IF(AND($E26="C",COUNTIF($J$19:$J$68,J25)&gt;1),J25,"")</f>
        <v/>
      </c>
      <c r="DV25" s="102" t="str">
        <f ca="1">IF(AND($E26="P",COUNTIF($J$19:$J$68,J25)&gt;1),J25,"")</f>
        <v/>
      </c>
      <c r="DW25" s="102" t="str">
        <f ca="1">IF(AND($E26="P",COUNTIF($K$19:$K$68,K25)&gt;1),K25,"")</f>
        <v/>
      </c>
      <c r="DX25" s="102" t="str">
        <f>IF(AND($E26="P",COUNTIF($DZ$19:$EA$68,DZ25)&gt;1),DZ25,"")</f>
        <v/>
      </c>
      <c r="DY25" s="102" t="str">
        <f>IF(AND($E26="P",COUNTIF($DZ$19:$EA$68,EA25)&gt;1),EA25,"")</f>
        <v/>
      </c>
      <c r="DZ25" s="102" t="str">
        <f>IFERROR(IF(OR(E26="A",E26="P"),M25,""),"")</f>
        <v/>
      </c>
      <c r="EA25" s="102" t="str">
        <f>IFERROR(IF(OR(E26="A",E26="P"),RIGHT(N25,2),""),"")</f>
        <v/>
      </c>
      <c r="EB25" s="102" t="str">
        <f t="shared" ref="EB25" si="269">IF(Q25="","",IF(AND($E26="P",COUNTIF($Q$19:$R$68,Q25)&gt;1),Q25,""))</f>
        <v/>
      </c>
      <c r="EC25" s="102" t="str">
        <f t="shared" ref="EC25" si="270">IF(R25="","",IF(AND($E26="P",COUNTIF($Q$19:$R$68,R25)&gt;1),R25,""))</f>
        <v/>
      </c>
      <c r="ED25" s="102" t="str">
        <f t="shared" si="14"/>
        <v/>
      </c>
      <c r="EE25" s="102" t="str">
        <f t="shared" si="15"/>
        <v/>
      </c>
      <c r="EF25" s="102" t="str">
        <f>IF(AND($F$8="Open Team Acrobatic",LEFT(F25,4)="Acro"),E26,"")</f>
        <v/>
      </c>
      <c r="EG25" s="102" t="str">
        <f t="shared" ref="EG25" si="271">IFERROR(IF(HLOOKUP(EF25,$DQ$12:$DT$13,2,FALSE)&gt;2,"X",""),"")</f>
        <v/>
      </c>
      <c r="EI25" s="102" t="str">
        <f t="shared" ref="EI25" si="272">IF(OR(AND(F25="Hybrid - Thrust + 2 connections",EI26="T"),AND(E26="H",EI26&lt;&gt;"",EI79="X")),"X","")</f>
        <v/>
      </c>
      <c r="EK25" s="102">
        <f t="shared" ref="EK25" si="273">IFERROR(IF(AND($E26="H",J25&lt;&gt;"",J25&lt;&gt;"ChoHY"),IF(OR(LEFT(J25,1)="T",LEFT(J25,1)="S",LEFT(J25,1)="A",LEFT(J25,1)="F",LEFT(J25,1)="C"),LEFT(J25,1),"R"),EK$18),"")</f>
        <v>1</v>
      </c>
      <c r="EL25" s="102">
        <f t="shared" ref="EL25:EZ25" si="274">IFERROR(IF(AND($E26="H",K25&lt;&gt;""),IF(OR(LEFT(K25,1)="T",LEFT(K25,1)="S",LEFT(K25,1)="A",LEFT(K25,1)="F",LEFT(K25,1)="C"),LEFT(K25,1),"R"),EL$18),"")</f>
        <v>2</v>
      </c>
      <c r="EM25" s="102">
        <f t="shared" si="274"/>
        <v>3</v>
      </c>
      <c r="EN25" s="102">
        <f t="shared" si="274"/>
        <v>4</v>
      </c>
      <c r="EO25" s="102">
        <f t="shared" si="274"/>
        <v>5</v>
      </c>
      <c r="EP25" s="102">
        <f t="shared" si="274"/>
        <v>6</v>
      </c>
      <c r="EQ25" s="102">
        <f t="shared" si="274"/>
        <v>7</v>
      </c>
      <c r="ER25" s="102">
        <f t="shared" si="274"/>
        <v>8</v>
      </c>
      <c r="ES25" s="102">
        <f t="shared" si="274"/>
        <v>9</v>
      </c>
      <c r="ET25" s="102">
        <f t="shared" si="274"/>
        <v>10</v>
      </c>
      <c r="EU25" s="102">
        <f t="shared" si="274"/>
        <v>11</v>
      </c>
      <c r="EV25" s="102">
        <f t="shared" si="274"/>
        <v>12</v>
      </c>
      <c r="EW25" s="102">
        <f t="shared" si="274"/>
        <v>13</v>
      </c>
      <c r="EX25" s="102">
        <f t="shared" si="274"/>
        <v>14</v>
      </c>
      <c r="EY25" s="102">
        <f t="shared" si="274"/>
        <v>15</v>
      </c>
      <c r="EZ25" s="102">
        <f t="shared" si="274"/>
        <v>16</v>
      </c>
      <c r="FA25" s="102">
        <f t="shared" ref="FA25" si="275">IFERROR(IF(AND($E26="H",Z25&lt;&gt;""),IF(OR(LEFT(Z25,1)="T",LEFT(Z25,1)="S",LEFT(Z25,1)="A",LEFT(Z25,1)="F",LEFT(Z25,1)="C"),LEFT(Z25,1),"R"),FA$18),"")</f>
        <v>17</v>
      </c>
      <c r="FB25" s="102">
        <f t="shared" ref="FB25" si="276">IFERROR(IF(AND($E26="H",AA25&lt;&gt;""),IF(OR(LEFT(AA25,1)="T",LEFT(AA25,1)="S",LEFT(AA25,1)="A",LEFT(AA25,1)="F",LEFT(AA25,1)="C"),LEFT(AA25,1),"R"),FB$18),"")</f>
        <v>18</v>
      </c>
      <c r="FC25" s="102">
        <f t="shared" ref="FC25" si="277">IFERROR(IF(AND($E26="H",AB25&lt;&gt;""),IF(OR(LEFT(AB25,1)="T",LEFT(AB25,1)="S",LEFT(AB25,1)="A",LEFT(AB25,1)="F",LEFT(AB25,1)="C"),LEFT(AB25,1),"R"),FC$18),"")</f>
        <v>19</v>
      </c>
      <c r="FD25" s="102">
        <f t="shared" ref="FD25" si="278">IFERROR(IF(AND($E26="H",AC25&lt;&gt;""),IF(OR(LEFT(AC25,1)="T",LEFT(AC25,1)="S",LEFT(AC25,1)="A",LEFT(AC25,1)="F",LEFT(AC25,1)="C"),LEFT(AC25,1),"R"),FD$18),"")</f>
        <v>20</v>
      </c>
      <c r="FE25" s="102">
        <f t="shared" ref="FE25" si="279">IFERROR(IF(AND($E26="H",AD25&lt;&gt;""),IF(OR(LEFT(AD25,1)="T",LEFT(AD25,1)="S",LEFT(AD25,1)="A",LEFT(AD25,1)="F",LEFT(AD25,1)="C"),LEFT(AD25,1),"R"),FE$18),"")</f>
        <v>21</v>
      </c>
      <c r="FF25" s="102">
        <f t="shared" ref="FF25" si="280">IFERROR(IF(AND($E26="H",AE25&lt;&gt;""),IF(OR(LEFT(AE25,1)="T",LEFT(AE25,1)="S",LEFT(AE25,1)="A",LEFT(AE25,1)="F",LEFT(AE25,1)="C"),LEFT(AE25,1),"R"),FF$18),"")</f>
        <v>22</v>
      </c>
      <c r="FG25" s="102">
        <f t="shared" ref="FG25" si="281">IFERROR(IF(AND($E26="H",AF25&lt;&gt;""),IF(OR(LEFT(AF25,1)="T",LEFT(AF25,1)="S",LEFT(AF25,1)="A",LEFT(AF25,1)="F",LEFT(AF25,1)="C"),LEFT(AF25,1),"R"),FG$18),"")</f>
        <v>23</v>
      </c>
      <c r="FH25" s="102">
        <f t="shared" ref="FH25" si="282">IFERROR(IF(AND($E26="H",AG25&lt;&gt;""),IF(OR(LEFT(AG25,1)="T",LEFT(AG25,1)="S",LEFT(AG25,1)="A",LEFT(AG25,1)="F",LEFT(AG25,1)="C"),LEFT(AG25,1),"R"),FH$18),"")</f>
        <v>24</v>
      </c>
      <c r="FI25" s="102">
        <f t="shared" ref="FI25" si="283">IFERROR(IF(AND($E26="H",AH25&lt;&gt;""),IF(OR(LEFT(AH25,1)="T",LEFT(AH25,1)="S",LEFT(AH25,1)="A",LEFT(AH25,1)="F",LEFT(AH25,1)="C"),LEFT(AH25,1),"R"),FI$18),"")</f>
        <v>25</v>
      </c>
      <c r="FJ25" s="102">
        <f t="shared" ref="FJ25" si="284">IFERROR(IF(AND($E26="H",AI25&lt;&gt;""),IF(OR(LEFT(AI25,1)="T",LEFT(AI25,1)="S",LEFT(AI25,1)="A",LEFT(AI25,1)="F",LEFT(AI25,1)="C"),LEFT(AI25,1),"R"),FJ$18),"")</f>
        <v>26</v>
      </c>
      <c r="FK25" s="102">
        <f t="shared" ref="FK25" si="285">IFERROR(IF(AND($E26="H",AJ25&lt;&gt;""),IF(OR(LEFT(AJ25,1)="T",LEFT(AJ25,1)="S",LEFT(AJ25,1)="A",LEFT(AJ25,1)="F",LEFT(AJ25,1)="C"),LEFT(AJ25,1),"R"),FK$18),"")</f>
        <v>27</v>
      </c>
      <c r="FL25" s="102">
        <f t="shared" ref="FL25" si="286">IFERROR(IF(AND($E26="H",AK25&lt;&gt;""),IF(OR(LEFT(AK25,1)="T",LEFT(AK25,1)="S",LEFT(AK25,1)="A",LEFT(AK25,1)="F",LEFT(AK25,1)="C"),LEFT(AK25,1),"R"),FL$18),"")</f>
        <v>28</v>
      </c>
      <c r="FM25" s="102">
        <f t="shared" ref="FM25" si="287">IFERROR(IF(AND($E26="H",AL25&lt;&gt;""),IF(OR(LEFT(AL25,1)="T",LEFT(AL25,1)="S",LEFT(AL25,1)="A",LEFT(AL25,1)="F",LEFT(AL25,1)="C"),LEFT(AL25,1),"R"),FM$18),"")</f>
        <v>29</v>
      </c>
      <c r="FN25" s="102">
        <f t="shared" ref="FN25" si="288">IFERROR(IF(AND($E26="H",AM25&lt;&gt;""),IF(OR(LEFT(AM25,1)="T",LEFT(AM25,1)="S",LEFT(AM25,1)="A",LEFT(AM25,1)="F",LEFT(AM25,1)="C"),LEFT(AM25,1),"R"),FN$18),"")</f>
        <v>30</v>
      </c>
      <c r="FO25" s="102"/>
      <c r="FP25" s="102"/>
      <c r="FQ25" s="102"/>
      <c r="FR25" s="282"/>
      <c r="FS25" s="282"/>
      <c r="FT25" s="282"/>
      <c r="FU25" s="282"/>
      <c r="FV25" s="282"/>
      <c r="FW25" s="282"/>
      <c r="FX25" s="282"/>
      <c r="FY25" s="282"/>
      <c r="FZ25" s="282"/>
      <c r="GA25" s="282"/>
      <c r="GB25" s="282"/>
      <c r="GC25" s="282"/>
      <c r="GD25" s="282"/>
      <c r="GE25" s="282"/>
      <c r="GF25" s="282"/>
      <c r="GG25" s="282"/>
      <c r="GH25" s="282"/>
      <c r="GI25" s="282"/>
      <c r="GJ25" s="282"/>
      <c r="GK25" s="282"/>
      <c r="GL25" s="282"/>
      <c r="GM25" s="282"/>
      <c r="GN25" s="282"/>
      <c r="GO25" s="282"/>
      <c r="GP25" s="282"/>
      <c r="GQ25" s="282"/>
      <c r="GR25" s="282"/>
      <c r="GS25" s="282"/>
      <c r="GT25" s="282"/>
      <c r="GU25" s="282"/>
      <c r="GV25" s="102"/>
      <c r="GW25" s="102">
        <f t="shared" ref="GW25" si="289">COUNTIF($EK25:$FN25,GW$18)</f>
        <v>0</v>
      </c>
      <c r="GX25" s="102">
        <f t="shared" si="29"/>
        <v>0</v>
      </c>
      <c r="GY25" s="102">
        <f t="shared" si="29"/>
        <v>0</v>
      </c>
      <c r="GZ25" s="102">
        <f t="shared" si="29"/>
        <v>0</v>
      </c>
      <c r="HA25" s="102">
        <f t="shared" si="29"/>
        <v>0</v>
      </c>
      <c r="HB25" s="102">
        <f t="shared" si="29"/>
        <v>0</v>
      </c>
      <c r="HC25" s="102"/>
      <c r="HD25" s="102" t="str">
        <f t="shared" ref="HD25" si="290">IF(AND($F25="Hybrid - Thrust + 2 connections",HD26=0,LEFT($J25,1)="C",LEFT($K25,1)="C",LEFT($L25,1)="C"),"X","")</f>
        <v/>
      </c>
      <c r="HE25" s="102"/>
      <c r="HF25" s="105"/>
      <c r="HG25" s="114"/>
      <c r="HH25" s="114"/>
      <c r="HI25" s="105" t="str">
        <f t="shared" ref="HI25" si="291">IF(E26=3,IF(_xlfn.NUMBERVALUE(LEFT(J25,1))&gt;0,_xlfn.NUMBERVALUE(LEFT(J25,1)),""),"")</f>
        <v/>
      </c>
      <c r="HK25" s="105" t="str">
        <f t="shared" ref="HK25" si="292">IF(OR(E26="B",E26="P"),E26,"")</f>
        <v/>
      </c>
      <c r="HL25" s="105" t="str">
        <f>IF(AND(J25&lt;&gt;"",HK25&lt;&gt;""),IF(HK25="B",MATCH(J25,AcroDD!$U$3:$AE$3,0),MATCH(J25,AcroDD!$U$30:$AC$30,0)),"")</f>
        <v/>
      </c>
      <c r="HM25" s="105" t="str">
        <f t="shared" ref="HM25" si="293">IF(AND(K25&lt;&gt;"",HK25&lt;&gt;""),K25,"")</f>
        <v/>
      </c>
      <c r="HN25" s="105" t="str">
        <f ca="1">IF(AND(OR(HK25="B",HK25="P"),HL25&lt;&gt;"",HM25&lt;&gt;""),IF(IFERROR(IF(HK25="B",MATCH(HM25,OFFSET(AcroDD!$T$4,0,HL25,20),0),MATCH(HM25,OFFSET(AcroDD!$T$31,0,HL25,20),0)),"")&lt;&gt;"","OK","X"),"")</f>
        <v/>
      </c>
    </row>
    <row r="26" spans="1:222" x14ac:dyDescent="0.25">
      <c r="A26" s="39"/>
      <c r="B26" s="40"/>
      <c r="C26" s="40"/>
      <c r="D26" s="40"/>
      <c r="E26" s="20" t="str">
        <f>IF(F25="Acrobatic - Pair","PA",IF(F25="Acrobatic Airborn","A",IF(F25="Acrobatic Balance","B",IF(F25="Acrobatic Combined","C",IF(F25="Acrobatic Platform","P",IF(F25="Technical Required Element",3,IF(LEFT(F25,4)="Hybr","H","")))))))</f>
        <v/>
      </c>
      <c r="F26" s="20" t="str">
        <f>IF(AND(F25="Hybrid - Thrust + 2 connections",CR25="X"),"Hybrid - Thrust",IF(OR(E26="A",E26="B",E26="C",E26="P"),"Acrobatic",""))</f>
        <v/>
      </c>
      <c r="G26" s="42"/>
      <c r="H26" s="207" t="str">
        <f t="shared" ref="H26" si="294">IF(E26="PA",IF(OR(LEFT(J25,1)="L",LEFT(J25,1)="S"),"A-Pair-Lift",IF(OR(LEFT(J25,1)="W",LEFT(J25,1)="T"),"A-Pair-Throw",IF(LEFT(J25,1)="J","A-Pair-Jump","A-Pair"))),IF(OR(E26="A",E26="B",E26="C",E26="P"),CONCATENATE("Acro-",E26),""))</f>
        <v/>
      </c>
      <c r="I26" s="201" t="e">
        <f t="shared" ref="I26" si="295">IF(OR(F25="Hybrid - min 4 swimmers (no DD)",LEFT(F25,5)="Trans"),0,INDEX($BY$3:$BY$9,MATCH(E26,$BX$3:$BX$9,0)))</f>
        <v>#N/A</v>
      </c>
      <c r="J26" s="196">
        <f ca="1">IFERROR(IF($H25="No DD",IF(J25="ChoHY",1,0),IF(OR(ISBLANK(J25),J25="N/A"),0,INDEX(INDIRECT(BI26),MATCH(J25,INDIRECT(BI25),0)))),0)</f>
        <v>0</v>
      </c>
      <c r="K26" s="196">
        <f t="shared" ref="K26:Y26" ca="1" si="296">IFERROR(IF($H25="No DD",0,IF(OR(ISBLANK(K25),K25="N/A"),0,INDEX(INDIRECT(BJ26),MATCH(K25,INDIRECT(BJ25),0)))),0)</f>
        <v>0</v>
      </c>
      <c r="L26" s="196">
        <f t="shared" ca="1" si="296"/>
        <v>0</v>
      </c>
      <c r="M26" s="196">
        <f t="shared" ca="1" si="296"/>
        <v>0</v>
      </c>
      <c r="N26" s="196">
        <f t="shared" ca="1" si="296"/>
        <v>0</v>
      </c>
      <c r="O26" s="196">
        <f t="shared" ca="1" si="296"/>
        <v>0</v>
      </c>
      <c r="P26" s="196">
        <f t="shared" ca="1" si="296"/>
        <v>0</v>
      </c>
      <c r="Q26" s="196">
        <f t="shared" ca="1" si="296"/>
        <v>0</v>
      </c>
      <c r="R26" s="196">
        <f t="shared" ca="1" si="296"/>
        <v>0</v>
      </c>
      <c r="S26" s="196">
        <f t="shared" ca="1" si="296"/>
        <v>0</v>
      </c>
      <c r="T26" s="196">
        <f t="shared" ca="1" si="296"/>
        <v>0</v>
      </c>
      <c r="U26" s="196">
        <f t="shared" ca="1" si="296"/>
        <v>0</v>
      </c>
      <c r="V26" s="196">
        <f t="shared" ca="1" si="296"/>
        <v>0</v>
      </c>
      <c r="W26" s="196">
        <f t="shared" ca="1" si="296"/>
        <v>0</v>
      </c>
      <c r="X26" s="196">
        <f t="shared" ca="1" si="296"/>
        <v>0</v>
      </c>
      <c r="Y26" s="196">
        <f t="shared" ca="1" si="296"/>
        <v>0</v>
      </c>
      <c r="Z26" s="196">
        <f t="shared" ref="Z26" ca="1" si="297">IFERROR(IF($H25="No DD",0,IF(OR(ISBLANK(Z25),Z25="N/A"),0,INDEX(INDIRECT(BY26),MATCH(Z25,INDIRECT(BY25),0)))),0)</f>
        <v>0</v>
      </c>
      <c r="AA26" s="196">
        <f t="shared" ref="AA26" ca="1" si="298">IFERROR(IF($H25="No DD",0,IF(OR(ISBLANK(AA25),AA25="N/A"),0,INDEX(INDIRECT(BZ26),MATCH(AA25,INDIRECT(BZ25),0)))),0)</f>
        <v>0</v>
      </c>
      <c r="AB26" s="196">
        <f t="shared" ref="AB26" ca="1" si="299">IFERROR(IF($H25="No DD",0,IF(OR(ISBLANK(AB25),AB25="N/A"),0,INDEX(INDIRECT(CA26),MATCH(AB25,INDIRECT(CA25),0)))),0)</f>
        <v>0</v>
      </c>
      <c r="AC26" s="196">
        <f t="shared" ref="AC26" ca="1" si="300">IFERROR(IF($H25="No DD",0,IF(OR(ISBLANK(AC25),AC25="N/A"),0,INDEX(INDIRECT(CB26),MATCH(AC25,INDIRECT(CB25),0)))),0)</f>
        <v>0</v>
      </c>
      <c r="AD26" s="196">
        <f t="shared" ref="AD26" ca="1" si="301">IFERROR(IF($H25="No DD",0,IF(OR(ISBLANK(AD25),AD25="N/A"),0,INDEX(INDIRECT(CC26),MATCH(AD25,INDIRECT(CC25),0)))),0)</f>
        <v>0</v>
      </c>
      <c r="AE26" s="196">
        <f t="shared" ref="AE26" ca="1" si="302">IFERROR(IF($H25="No DD",0,IF(OR(ISBLANK(AE25),AE25="N/A"),0,INDEX(INDIRECT(CD26),MATCH(AE25,INDIRECT(CD25),0)))),0)</f>
        <v>0</v>
      </c>
      <c r="AF26" s="196">
        <f t="shared" ref="AF26" ca="1" si="303">IFERROR(IF($H25="No DD",0,IF(OR(ISBLANK(AF25),AF25="N/A"),0,INDEX(INDIRECT(CE26),MATCH(AF25,INDIRECT(CE25),0)))),0)</f>
        <v>0</v>
      </c>
      <c r="AG26" s="196">
        <f t="shared" ref="AG26" ca="1" si="304">IFERROR(IF($H25="No DD",0,IF(OR(ISBLANK(AG25),AG25="N/A"),0,INDEX(INDIRECT(CF26),MATCH(AG25,INDIRECT(CF25),0)))),0)</f>
        <v>0</v>
      </c>
      <c r="AH26" s="196">
        <f t="shared" ref="AH26" ca="1" si="305">IFERROR(IF($H25="No DD",0,IF(OR(ISBLANK(AH25),AH25="N/A"),0,INDEX(INDIRECT(CG26),MATCH(AH25,INDIRECT(CG25),0)))),0)</f>
        <v>0</v>
      </c>
      <c r="AI26" s="196">
        <f t="shared" ref="AI26" ca="1" si="306">IFERROR(IF($H25="No DD",0,IF(OR(ISBLANK(AI25),AI25="N/A"),0,INDEX(INDIRECT(CH26),MATCH(AI25,INDIRECT(CH25),0)))),0)</f>
        <v>0</v>
      </c>
      <c r="AJ26" s="196">
        <f t="shared" ref="AJ26" ca="1" si="307">IFERROR(IF($H25="No DD",0,IF(OR(ISBLANK(AJ25),AJ25="N/A"),0,INDEX(INDIRECT(CI26),MATCH(AJ25,INDIRECT(CI25),0)))),0)</f>
        <v>0</v>
      </c>
      <c r="AK26" s="196">
        <f t="shared" ref="AK26" ca="1" si="308">IFERROR(IF($H25="No DD",0,IF(OR(ISBLANK(AK25),AK25="N/A"),0,INDEX(INDIRECT(CJ26),MATCH(AK25,INDIRECT(CJ25),0)))),0)</f>
        <v>0</v>
      </c>
      <c r="AL26" s="196">
        <f t="shared" ref="AL26" ca="1" si="309">IFERROR(IF($H25="No DD",0,IF(OR(ISBLANK(AL25),AL25="N/A"),0,INDEX(INDIRECT(CK26),MATCH(AL25,INDIRECT(CK25),0)))),0)</f>
        <v>0</v>
      </c>
      <c r="AM26" s="196">
        <f t="shared" ref="AM26" ca="1" si="310">IFERROR(IF($H25="No DD",0,IF(OR(ISBLANK(AM25),AM25="N/A"),0,INDEX(INDIRECT(CL26),MATCH(AM25,INDIRECT(CL25),0)))),0)</f>
        <v>0</v>
      </c>
      <c r="AN26" s="197" t="str">
        <f>IFERROR(IF(E26="H",INDEX(HybridBonus_Value,MATCH(AN25,HybridBonus_Code,0)),""),"")</f>
        <v/>
      </c>
      <c r="AO26" s="195" t="str">
        <f t="shared" ref="AO26" si="311">IFERROR(SUM(I26:AN26),"")</f>
        <v/>
      </c>
      <c r="AP26" s="75"/>
      <c r="AQ26" s="75"/>
      <c r="AR26" s="115"/>
      <c r="AS26" s="115"/>
      <c r="AT26" s="115"/>
      <c r="AU26" s="115"/>
      <c r="AV26" s="115"/>
      <c r="BA26" s="104"/>
      <c r="BB26" s="115"/>
      <c r="BC26" s="115"/>
      <c r="BD26" s="115"/>
      <c r="BE26" s="115"/>
      <c r="BF26" s="115"/>
      <c r="BG26" s="104"/>
      <c r="BH26" s="115"/>
      <c r="BI26" s="105" t="str">
        <f t="shared" ref="BI26" si="312">IF($E26="H",IF($F25="Hybrid - Thrust + 2 connections","Hybrid_Mix_Req_Value","HybridDD_Value"),IF($E26=3,"TreDD_Value",IF($E26="PA","AcroPair_Value",IF(LEFT($F25,4)="Acro",CONCATENATE(BI$16,$E26,"_Value"),""))))</f>
        <v/>
      </c>
      <c r="BJ26" s="105" t="str">
        <f t="shared" ref="BJ26" si="313">IF($E26="H",IF($F25="Hybrid - Thrust + 2 connections","Hybrid_Mix_Req_Value","HybridDD_Value"),IF($E26=3,"TreDD_Value",IF($E26="PA","AcroPair_Value",IF(LEFT($F25,4)="Acro",CONCATENATE(BJ$16,$E26,"_Value"),""))))</f>
        <v/>
      </c>
      <c r="BK26" s="105" t="str">
        <f t="shared" ref="BK26" si="314">IF($E26="H",IF($F25="Hybrid - Thrust + 2 connections","Hybrid_Mix_Req_Value","HybridDD_Value"),IF($E26=3,"TreDD_Value",IF($E26="PA","AcroPair_Value",IF(LEFT($F25,4)="Acro",CONCATENATE(BK$16,$E26,"_Value"),""))))</f>
        <v/>
      </c>
      <c r="BL26" s="105" t="str">
        <f t="shared" ref="BL26" si="315">IF($E26="H",IF($F25="Hybrid - Thrust + 2 connections","Hybrid_Mix_Req_Value","HybridDD_Value"),IF($E26=3,"TreDD_Value",IF($E26="PA","AcroPair_Value",IF(LEFT($F25,4)="Acro",CONCATENATE(BL$16,$E26,"_Value"),""))))</f>
        <v/>
      </c>
      <c r="BM26" s="105" t="str">
        <f t="shared" ref="BM26" si="316">IF($E26="H",IF($F25="Hybrid - Thrust + 2 connections","Hybrid_Mix_Req_Value","HybridDD_Value"),IF($E26=3,"TreDD_Value",IF($E26="PA","AcroPair_Value",IF(LEFT($F25,4)="Acro",CONCATENATE(BM$16,$E26,"_Value"),""))))</f>
        <v/>
      </c>
      <c r="BN26" s="105" t="str">
        <f t="shared" ref="BN26" si="317">IF($E26="H",IF($F25="Hybrid - Thrust + 2 connections","Hybrid_Mix_Req_Value","HybridDD_Value"),IF($E26=3,"TreDD_Value",IF($E26="PA","AcroPair_Value",IF(LEFT($F25,4)="Acro",CONCATENATE(BN$16,$E26,"_Value"),""))))</f>
        <v/>
      </c>
      <c r="BO26" s="105" t="str">
        <f t="shared" ref="BO26" si="318">IF($E26="H",IF($F25="Hybrid - Thrust + 2 connections","Hybrid_Mix_Req_Value","HybridDD_Value"),IF($E26=3,"TreDD_Value",IF($E26="PA","AcroPair_Value",IF(LEFT($F25,4)="Acro",CONCATENATE(BO$16,$E26,"_Value"),""))))</f>
        <v/>
      </c>
      <c r="BP26" s="105" t="str">
        <f t="shared" ref="BP26" si="319">IF($E26="H",IF($F25="Hybrid - Thrust + 2 connections","Hybrid_Mix_Req_Value","HybridDD_Value"),IF($E26=3,"TreDD_Value",IF($E26="PA","AcroPair_Value",IF(LEFT($F25,4)="Acro",CONCATENATE(BP$16,$E26,"_Value"),""))))</f>
        <v/>
      </c>
      <c r="BQ26" s="105" t="str">
        <f t="shared" ref="BQ26" si="320">IF($E26="H",IF($F25="Hybrid - Thrust + 2 connections","Hybrid_Mix_Req_Value","HybridDD_Value"),IF($E26=3,"TreDD_Value",IF($E26="PA","AcroPair_Value",IF(LEFT($F25,4)="Acro",CONCATENATE(BQ$16,$E26,"_Value"),""))))</f>
        <v/>
      </c>
      <c r="BR26" s="104" t="str">
        <f t="shared" ref="BR26" si="321">IF($E26="H",IF($F25="Hybrid - Thrust + 2 connections","Data!$BI$1:$BI$5","HybridDD_Value"),"Data!$BI$1:$BI$5")</f>
        <v>Data!$BI$1:$BI$5</v>
      </c>
      <c r="BS26" s="104" t="str">
        <f t="shared" ref="BS26" si="322">IF($E26="H",IF($F25="Hybrid - Thrust + 2 connections","Data!$BI$1:$BI$5","HybridDD_Value"),"Data!$BI$1:$BI$5")</f>
        <v>Data!$BI$1:$BI$5</v>
      </c>
      <c r="BT26" s="104" t="str">
        <f t="shared" ref="BT26" si="323">IF($E26="H",IF($F25="Hybrid - Thrust + 2 connections","Data!$BI$1:$BI$5","HybridDD_Value"),"Data!$BI$1:$BI$5")</f>
        <v>Data!$BI$1:$BI$5</v>
      </c>
      <c r="BU26" s="104" t="str">
        <f t="shared" ref="BU26" si="324">IF($E26="H",IF($F25="Hybrid - Thrust + 2 connections","Data!$BI$1:$BI$5","HybridDD_Value"),"Data!$BI$1:$BI$5")</f>
        <v>Data!$BI$1:$BI$5</v>
      </c>
      <c r="BV26" s="104" t="str">
        <f t="shared" ref="BV26" si="325">IF($E26="H",IF($F25="Hybrid - Thrust + 2 connections","Data!$BI$1:$BI$5","HybridDD_Value"),"Data!$BI$1:$BI$5")</f>
        <v>Data!$BI$1:$BI$5</v>
      </c>
      <c r="BW26" s="104" t="str">
        <f t="shared" ref="BW26" si="326">IF($E26="H",IF($F25="Hybrid - Thrust + 2 connections","Data!$BI$1:$BI$5","HybridDD_Value"),"Data!$BI$1:$BI$5")</f>
        <v>Data!$BI$1:$BI$5</v>
      </c>
      <c r="BX26" s="104" t="str">
        <f t="shared" ref="BX26" si="327">IF($E26="H",IF($F25="Hybrid - Thrust + 2 connections","Data!$BI$1:$BI$5","HybridDD_Value"),"Data!$BI$1:$BI$5")</f>
        <v>Data!$BI$1:$BI$5</v>
      </c>
      <c r="BY26" s="104" t="str">
        <f t="shared" ref="BY26" si="328">IF($E26="H",IF($F25="Hybrid - Thrust + 2 connections","Data!$BI$1:$BI$5","HybridDD_Value"),"Data!$BI$1:$BI$5")</f>
        <v>Data!$BI$1:$BI$5</v>
      </c>
      <c r="BZ26" s="104" t="str">
        <f t="shared" ref="BZ26" si="329">IF($E26="H",IF($F25="Hybrid - Thrust + 2 connections","Data!$BI$1:$BI$5","HybridDD_Value"),"Data!$BI$1:$BI$5")</f>
        <v>Data!$BI$1:$BI$5</v>
      </c>
      <c r="CA26" s="104" t="str">
        <f t="shared" ref="CA26" si="330">IF($E26="H",IF($F25="Hybrid - Thrust + 2 connections","Data!$BI$1:$BI$5","HybridDD_Value"),"Data!$BI$1:$BI$5")</f>
        <v>Data!$BI$1:$BI$5</v>
      </c>
      <c r="CB26" s="104" t="str">
        <f t="shared" ref="CB26" si="331">IF($E26="H",IF($F25="Hybrid - Thrust + 2 connections","Data!$BI$1:$BI$5","HybridDD_Value"),"Data!$BI$1:$BI$5")</f>
        <v>Data!$BI$1:$BI$5</v>
      </c>
      <c r="CC26" s="104" t="str">
        <f t="shared" ref="CC26" si="332">IF($E26="H",IF($F25="Hybrid - Thrust + 2 connections","Data!$BI$1:$BI$5","HybridDD_Value"),"Data!$BI$1:$BI$5")</f>
        <v>Data!$BI$1:$BI$5</v>
      </c>
      <c r="CD26" s="104" t="str">
        <f t="shared" ref="CD26" si="333">IF($E26="H",IF($F25="Hybrid - Thrust + 2 connections","Data!$BI$1:$BI$5","HybridDD_Value"),"Data!$BI$1:$BI$5")</f>
        <v>Data!$BI$1:$BI$5</v>
      </c>
      <c r="CE26" s="104" t="str">
        <f t="shared" ref="CE26" si="334">IF($E26="H",IF($F25="Hybrid - Thrust + 2 connections","Data!$BI$1:$BI$5","HybridDD_Value"),"Data!$BI$1:$BI$5")</f>
        <v>Data!$BI$1:$BI$5</v>
      </c>
      <c r="CF26" s="104" t="str">
        <f t="shared" ref="CF26" si="335">IF($E26="H",IF($F25="Hybrid - Thrust + 2 connections","Data!$BI$1:$BI$5","HybridDD_Value"),"Data!$BI$1:$BI$5")</f>
        <v>Data!$BI$1:$BI$5</v>
      </c>
      <c r="CG26" s="104" t="str">
        <f t="shared" ref="CG26" si="336">IF($E26="H",IF($F25="Hybrid - Thrust + 2 connections","Data!$BI$1:$BI$5","HybridDD_Value"),"Data!$BI$1:$BI$5")</f>
        <v>Data!$BI$1:$BI$5</v>
      </c>
      <c r="CH26" s="104" t="str">
        <f t="shared" ref="CH26" si="337">IF($E26="H",IF($F25="Hybrid - Thrust + 2 connections","Data!$BI$1:$BI$5","HybridDD_Value"),"Data!$BI$1:$BI$5")</f>
        <v>Data!$BI$1:$BI$5</v>
      </c>
      <c r="CI26" s="104" t="str">
        <f t="shared" ref="CI26" si="338">IF($E26="H",IF($F25="Hybrid - Thrust + 2 connections","Data!$BI$1:$BI$5","HybridDD_Value"),"Data!$BI$1:$BI$5")</f>
        <v>Data!$BI$1:$BI$5</v>
      </c>
      <c r="CJ26" s="104" t="str">
        <f t="shared" ref="CJ26" si="339">IF($E26="H",IF($F25="Hybrid - Thrust + 2 connections","Data!$BI$1:$BI$5","HybridDD_Value"),"Data!$BI$1:$BI$5")</f>
        <v>Data!$BI$1:$BI$5</v>
      </c>
      <c r="CK26" s="104" t="str">
        <f t="shared" ref="CK26" si="340">IF($E26="H",IF($F25="Hybrid - Thrust + 2 connections","Data!$BI$1:$BI$5","HybridDD_Value"),"Data!$BI$1:$BI$5")</f>
        <v>Data!$BI$1:$BI$5</v>
      </c>
      <c r="CL26" s="104" t="str">
        <f t="shared" ref="CL26" si="341">IF($E26="H",IF($F25="Hybrid - Thrust + 2 connections","Data!$BI$1:$BI$5","HybridDD_Value"),"Data!$BI$1:$BI$5")</f>
        <v>Data!$BI$1:$BI$5</v>
      </c>
      <c r="CM26" s="115"/>
      <c r="CN26" s="115"/>
      <c r="CO26" s="116" t="str">
        <f>IFERROR(IF(AND($BV$6="T",$BV$8="T",LEFT(F25,4)="Acro",AO26&gt;3),"X",IF($N$7="X",IF(AND(E26="C",AO26&gt;$CN$6),"X",IF(AND(E26="A",AO26&gt;$CN$4),"X",IF(AND(E26="B",AO26&gt;$CN$5),"X",IF(AND(E26="P",AO26&gt;$CN$7),"X","")))),"")),"")</f>
        <v/>
      </c>
      <c r="CP26" s="108"/>
      <c r="CQ26" s="105"/>
      <c r="CS26" s="105"/>
      <c r="CT26" s="105"/>
      <c r="CU26" s="105"/>
      <c r="CV26" s="105"/>
      <c r="CW26" s="105"/>
      <c r="CX26" s="105"/>
      <c r="CY26" s="105"/>
      <c r="CZ26" s="105"/>
      <c r="DD26" s="102" t="str">
        <f t="shared" si="10"/>
        <v/>
      </c>
      <c r="DE26" s="102" t="str">
        <f t="shared" si="11"/>
        <v/>
      </c>
      <c r="DF26" s="102" t="str">
        <f t="shared" si="12"/>
        <v/>
      </c>
      <c r="DG26" s="102" t="str">
        <f t="shared" si="13"/>
        <v/>
      </c>
      <c r="DO26" s="102">
        <v>8</v>
      </c>
      <c r="ED26" s="102" t="str">
        <f t="shared" si="14"/>
        <v/>
      </c>
      <c r="EE26" s="102" t="str">
        <f t="shared" si="15"/>
        <v/>
      </c>
      <c r="EI26" s="102" t="str" cm="1">
        <f t="array" ref="EI26">IFERROR(INDEX(EK26:FN26,MATCH(TRUE,INDEX((EK26:FN26&lt;&gt;""),),0)),"")</f>
        <v/>
      </c>
      <c r="EK26" s="102" t="str">
        <f t="shared" ref="EK26:EZ26" si="342">IF(F25="Hybrid - Thrust + 2 connections",IF(COUNTIF($EK25:$FD25,EK25)&gt;1,EK25,""),IF(COUNTIF($EK25:$FD25,EK25)&gt;5,EK25,""))</f>
        <v/>
      </c>
      <c r="EL26" s="102" t="str">
        <f t="shared" si="342"/>
        <v/>
      </c>
      <c r="EM26" s="102" t="str">
        <f t="shared" si="342"/>
        <v/>
      </c>
      <c r="EN26" s="102" t="str">
        <f t="shared" si="342"/>
        <v/>
      </c>
      <c r="EO26" s="102" t="str">
        <f t="shared" si="342"/>
        <v/>
      </c>
      <c r="EP26" s="102" t="str">
        <f t="shared" si="342"/>
        <v/>
      </c>
      <c r="EQ26" s="102" t="str">
        <f t="shared" si="342"/>
        <v/>
      </c>
      <c r="ER26" s="102" t="str">
        <f t="shared" si="342"/>
        <v/>
      </c>
      <c r="ES26" s="102" t="str">
        <f t="shared" si="342"/>
        <v/>
      </c>
      <c r="ET26" s="102" t="str">
        <f t="shared" si="342"/>
        <v/>
      </c>
      <c r="EU26" s="102" t="str">
        <f t="shared" si="342"/>
        <v/>
      </c>
      <c r="EV26" s="102" t="str">
        <f t="shared" si="342"/>
        <v/>
      </c>
      <c r="EW26" s="102" t="str">
        <f t="shared" si="342"/>
        <v/>
      </c>
      <c r="EX26" s="102" t="str">
        <f t="shared" si="342"/>
        <v/>
      </c>
      <c r="EY26" s="102" t="str">
        <f t="shared" si="342"/>
        <v/>
      </c>
      <c r="EZ26" s="102" t="str">
        <f t="shared" si="342"/>
        <v/>
      </c>
      <c r="FA26" s="102" t="str">
        <f t="shared" ref="FA26" si="343">IF(V25="Hybrid - Thrust + 2 connections",IF(COUNTIF($EK25:$FD25,FA25)&gt;1,FA25,""),IF(COUNTIF($EK25:$FD25,FA25)&gt;5,FA25,""))</f>
        <v/>
      </c>
      <c r="FB26" s="102" t="str">
        <f t="shared" ref="FB26" si="344">IF(W25="Hybrid - Thrust + 2 connections",IF(COUNTIF($EK25:$FD25,FB25)&gt;1,FB25,""),IF(COUNTIF($EK25:$FD25,FB25)&gt;5,FB25,""))</f>
        <v/>
      </c>
      <c r="FC26" s="102" t="str">
        <f t="shared" ref="FC26" si="345">IF(X25="Hybrid - Thrust + 2 connections",IF(COUNTIF($EK25:$FD25,FC25)&gt;1,FC25,""),IF(COUNTIF($EK25:$FD25,FC25)&gt;5,FC25,""))</f>
        <v/>
      </c>
      <c r="FD26" s="102" t="str">
        <f t="shared" ref="FD26" si="346">IF(Y25="Hybrid - Thrust + 2 connections",IF(COUNTIF($EK25:$FD25,FD25)&gt;1,FD25,""),IF(COUNTIF($EK25:$FD25,FD25)&gt;5,FD25,""))</f>
        <v/>
      </c>
      <c r="FE26" s="102" t="str">
        <f t="shared" ref="FE26" si="347">IF(Z25="Hybrid - Thrust + 2 connections",IF(COUNTIF($EK25:$FD25,FE25)&gt;1,FE25,""),IF(COUNTIF($EK25:$FD25,FE25)&gt;5,FE25,""))</f>
        <v/>
      </c>
      <c r="FF26" s="102" t="str">
        <f t="shared" ref="FF26" si="348">IF(AA25="Hybrid - Thrust + 2 connections",IF(COUNTIF($EK25:$FD25,FF25)&gt;1,FF25,""),IF(COUNTIF($EK25:$FD25,FF25)&gt;5,FF25,""))</f>
        <v/>
      </c>
      <c r="FG26" s="102" t="str">
        <f t="shared" ref="FG26" si="349">IF(AB25="Hybrid - Thrust + 2 connections",IF(COUNTIF($EK25:$FD25,FG25)&gt;1,FG25,""),IF(COUNTIF($EK25:$FD25,FG25)&gt;5,FG25,""))</f>
        <v/>
      </c>
      <c r="FH26" s="102" t="str">
        <f t="shared" ref="FH26" si="350">IF(AC25="Hybrid - Thrust + 2 connections",IF(COUNTIF($EK25:$FD25,FH25)&gt;1,FH25,""),IF(COUNTIF($EK25:$FD25,FH25)&gt;5,FH25,""))</f>
        <v/>
      </c>
      <c r="FI26" s="102" t="str">
        <f t="shared" ref="FI26" si="351">IF(AD25="Hybrid - Thrust + 2 connections",IF(COUNTIF($EK25:$FD25,FI25)&gt;1,FI25,""),IF(COUNTIF($EK25:$FD25,FI25)&gt;5,FI25,""))</f>
        <v/>
      </c>
      <c r="FJ26" s="102" t="str">
        <f t="shared" ref="FJ26" si="352">IF(AE25="Hybrid - Thrust + 2 connections",IF(COUNTIF($EK25:$FD25,FJ25)&gt;1,FJ25,""),IF(COUNTIF($EK25:$FD25,FJ25)&gt;5,FJ25,""))</f>
        <v/>
      </c>
      <c r="FK26" s="102" t="str">
        <f t="shared" ref="FK26" si="353">IF(AF25="Hybrid - Thrust + 2 connections",IF(COUNTIF($EK25:$FD25,FK25)&gt;1,FK25,""),IF(COUNTIF($EK25:$FD25,FK25)&gt;5,FK25,""))</f>
        <v/>
      </c>
      <c r="FL26" s="102" t="str">
        <f t="shared" ref="FL26" si="354">IF(AG25="Hybrid - Thrust + 2 connections",IF(COUNTIF($EK25:$FD25,FL25)&gt;1,FL25,""),IF(COUNTIF($EK25:$FD25,FL25)&gt;5,FL25,""))</f>
        <v/>
      </c>
      <c r="FM26" s="102" t="str">
        <f t="shared" ref="FM26" si="355">IF(AH25="Hybrid - Thrust + 2 connections",IF(COUNTIF($EK25:$FD25,FM25)&gt;1,FM25,""),IF(COUNTIF($EK25:$FD25,FM25)&gt;5,FM25,""))</f>
        <v/>
      </c>
      <c r="FN26" s="102" t="str">
        <f t="shared" ref="FN26" si="356">IF(AI25="Hybrid - Thrust + 2 connections",IF(COUNTIF($EK25:$FD25,FN25)&gt;1,FN25,""),IF(COUNTIF($EK25:$FD25,FN25)&gt;5,FN25,""))</f>
        <v/>
      </c>
      <c r="FO26" s="102">
        <f t="shared" ref="FO26" si="357">FO24+5</f>
        <v>15</v>
      </c>
      <c r="FP26" s="102" t="str">
        <f t="shared" ref="FP26" ca="1" si="358">OFFSET($FP$75,FO26,0)</f>
        <v/>
      </c>
      <c r="FQ26" s="102" t="str">
        <f t="shared" ref="FQ26" ca="1" si="359">OFFSET($FQ$75,FO26,0)</f>
        <v/>
      </c>
      <c r="FR26" s="282"/>
      <c r="FS26" s="282"/>
      <c r="FT26" s="282"/>
      <c r="FU26" s="282"/>
      <c r="FV26" s="282"/>
      <c r="FW26" s="282"/>
      <c r="FX26" s="282"/>
      <c r="FY26" s="282"/>
      <c r="FZ26" s="282"/>
      <c r="GA26" s="282"/>
      <c r="GB26" s="282"/>
      <c r="GC26" s="282"/>
      <c r="GD26" s="282"/>
      <c r="GE26" s="282"/>
      <c r="GF26" s="282"/>
      <c r="GG26" s="282"/>
      <c r="GH26" s="282"/>
      <c r="GI26" s="282"/>
      <c r="GJ26" s="282"/>
      <c r="GK26" s="282"/>
      <c r="GL26" s="282"/>
      <c r="GM26" s="282"/>
      <c r="GN26" s="282"/>
      <c r="GO26" s="282"/>
      <c r="GP26" s="282"/>
      <c r="GQ26" s="282"/>
      <c r="GR26" s="282"/>
      <c r="GS26" s="282"/>
      <c r="GT26" s="282"/>
      <c r="GU26" s="282"/>
      <c r="GV26" s="102"/>
      <c r="GW26" s="102"/>
      <c r="GX26" s="102"/>
      <c r="GY26" s="102"/>
      <c r="GZ26" s="102"/>
      <c r="HA26" s="102"/>
      <c r="HB26" s="102"/>
      <c r="HC26" s="102"/>
      <c r="HD26" s="102" t="str">
        <f>IF($F25="Hybrid - Thrust + 2 connections",COUNTBLANK(J25:L25),"")</f>
        <v/>
      </c>
      <c r="HE26" s="102"/>
      <c r="HF26" s="105"/>
      <c r="HG26" s="105"/>
      <c r="HH26" s="105"/>
      <c r="HI26" s="105"/>
    </row>
    <row r="27" spans="1:222" x14ac:dyDescent="0.25">
      <c r="A27" s="39" t="str">
        <f>IF(AND(E25="",A25&lt;&gt;""),IF(CP25=$CP$18,"",IF(C25&lt;&gt;"",IF(D25=59,MINUTE(CP25)+1,MINUTE(CP25)),"")),"")</f>
        <v/>
      </c>
      <c r="B27" s="40" t="str">
        <f>IF(AND(E25="",B25&lt;&gt;""),IF(CP25=$CP$18,"",IF(C25&lt;&gt;"",IF(D25=59,0,SECOND(CP25)+1),"")),"")</f>
        <v/>
      </c>
      <c r="C27" s="50"/>
      <c r="D27" s="50"/>
      <c r="E27" s="9"/>
      <c r="F27" s="51"/>
      <c r="G27" s="42" t="str">
        <f>IF(F27&lt;&gt;"",IF(OR(F27="Transition",F27="Transition - Surface Connection"),0,MAX($G$19:G26)+1),"")</f>
        <v/>
      </c>
      <c r="H27" s="56" t="str">
        <f t="shared" ref="H27" si="360">IFERROR(IF(E28="3","",IF(OR(F27="Hybrid - min 4 swimmers (no DD)",LEFT(F27,5)="Trans"),"No DD",CONCATENATE("BM = ",I28))),"")</f>
        <v/>
      </c>
      <c r="I27" s="57"/>
      <c r="J27" s="124"/>
      <c r="K27" s="129"/>
      <c r="L27" s="129"/>
      <c r="M27" s="129"/>
      <c r="N27" s="129"/>
      <c r="O27" s="129"/>
      <c r="P27" s="129"/>
      <c r="Q27" s="129"/>
      <c r="R27" s="129"/>
      <c r="S27" s="129"/>
      <c r="T27" s="129"/>
      <c r="U27" s="129"/>
      <c r="V27" s="129"/>
      <c r="W27" s="129"/>
      <c r="X27" s="129"/>
      <c r="Y27" s="129"/>
      <c r="Z27" s="129"/>
      <c r="AA27" s="129"/>
      <c r="AB27" s="129"/>
      <c r="AC27" s="129"/>
      <c r="AD27" s="129"/>
      <c r="AE27" s="129"/>
      <c r="AF27" s="129"/>
      <c r="AG27" s="129"/>
      <c r="AH27" s="129"/>
      <c r="AI27" s="129"/>
      <c r="AJ27" s="129"/>
      <c r="AK27" s="129"/>
      <c r="AL27" s="129"/>
      <c r="AM27" s="129"/>
      <c r="AN27" s="179"/>
      <c r="AO27" s="43"/>
      <c r="AP27" s="74"/>
      <c r="AQ27" s="74"/>
      <c r="AR27" s="104"/>
      <c r="AS27" s="104"/>
      <c r="AT27" s="104"/>
      <c r="AU27" s="104"/>
      <c r="AV27" s="104"/>
      <c r="AW27" s="105" t="str">
        <f t="shared" ref="AW27" si="361">E28</f>
        <v/>
      </c>
      <c r="AX27" s="108" t="str">
        <f t="shared" ref="AX27" si="362">IF(AY27=0,"",TIME(0,A27,B27))</f>
        <v/>
      </c>
      <c r="AY27" s="108">
        <f t="shared" ref="AY27" si="363">TIME(0,C27,D27)</f>
        <v>0</v>
      </c>
      <c r="AZ27" s="108" t="str">
        <f t="shared" ref="AZ27" si="364">IFERROR(AY27-AX27,"")</f>
        <v/>
      </c>
      <c r="BA27" s="276" t="str">
        <f t="shared" ref="BA27" si="365">IF($AX$17=0,"",IF(AND($C$10&lt;&gt;"",AW27="H",AZ27&gt;$AX$17),"X",""))</f>
        <v/>
      </c>
      <c r="BB27" s="104"/>
      <c r="BC27" s="104"/>
      <c r="BD27" s="104"/>
      <c r="BE27" s="104"/>
      <c r="BF27" s="104"/>
      <c r="BG27" s="104" t="str">
        <f>IFERROR(IF(F27&lt;&gt;"",INDEX(Parts_Active,MATCH(F27,Parts_Active,0)),""),"No")</f>
        <v/>
      </c>
      <c r="BH27" s="104"/>
      <c r="BI27" s="104" t="str">
        <f t="shared" ref="BI27" si="366">IF($E28="H",IF($F27="Hybrid - Thrust + 2 connections","Hybrid_Mix_Req",IF($F27="Hybrid - min 4 swimmers (no DD)","Hybrid_ChoHY","HybridDD_Code")),IF($E28=3,"TreDD_Code",IF($E28="PA","AcroPair_Code",IF(LEFT($F27,4)="Acro",CONCATENATE(BI$16,$E28,"_Code"),"Data!$BI$1:$BI$5"))))</f>
        <v>Data!$BI$1:$BI$5</v>
      </c>
      <c r="BJ27" s="104" t="str">
        <f t="shared" ref="BJ27" si="367">IF($E28="H",IF($F27="Hybrid - Thrust + 2 connections","Hybrid_Mix_Req",IF($F27="Hybrid - min 4 swimmers (no DD)","Data!$BI$1:$BI$5","HybridDD_Code")),IF($E28=3,"TreDD_Code",IF($E28="PA","AcroPair_Code",IF(LEFT($F27,4)="Acro",CONCATENATE(BJ$16,$E28,"_Code"),"Data!$BI$1:$BI$5"))))</f>
        <v>Data!$BI$1:$BI$5</v>
      </c>
      <c r="BK27" s="104" t="str">
        <f t="shared" si="6"/>
        <v>Data!$BI$1:$BI$5</v>
      </c>
      <c r="BL27" s="104" t="str">
        <f t="shared" si="6"/>
        <v>Data!$BI$1:$BI$5</v>
      </c>
      <c r="BM27" s="104" t="str">
        <f t="shared" si="6"/>
        <v>Data!$BI$1:$BI$5</v>
      </c>
      <c r="BN27" s="104" t="str">
        <f t="shared" si="6"/>
        <v>Data!$BI$1:$BI$5</v>
      </c>
      <c r="BO27" s="104" t="str">
        <f t="shared" si="6"/>
        <v>Data!$BI$1:$BI$5</v>
      </c>
      <c r="BP27" s="104" t="str">
        <f t="shared" si="6"/>
        <v>Data!$BI$1:$BI$5</v>
      </c>
      <c r="BQ27" s="104" t="str">
        <f t="shared" si="6"/>
        <v>Data!$BI$1:$BI$5</v>
      </c>
      <c r="BR27" s="104" t="str">
        <f t="shared" ref="BR27" si="368">IF($E28="H",IF($F27="Hybrid - Thrust + 2 connections","Data!$BI$1:$BI$5","HybridDD_Code"),"Data!$BI$1:$BI$5")</f>
        <v>Data!$BI$1:$BI$5</v>
      </c>
      <c r="BS27" s="104" t="str">
        <f t="shared" si="7"/>
        <v>Data!$BI$1:$BI$5</v>
      </c>
      <c r="BT27" s="104" t="str">
        <f t="shared" si="7"/>
        <v>Data!$BI$1:$BI$5</v>
      </c>
      <c r="BU27" s="104" t="str">
        <f t="shared" si="7"/>
        <v>Data!$BI$1:$BI$5</v>
      </c>
      <c r="BV27" s="104" t="str">
        <f t="shared" si="7"/>
        <v>Data!$BI$1:$BI$5</v>
      </c>
      <c r="BW27" s="104" t="str">
        <f t="shared" si="7"/>
        <v>Data!$BI$1:$BI$5</v>
      </c>
      <c r="BX27" s="104" t="str">
        <f t="shared" si="7"/>
        <v>Data!$BI$1:$BI$5</v>
      </c>
      <c r="BY27" s="104" t="str">
        <f t="shared" si="7"/>
        <v>Data!$BI$1:$BI$5</v>
      </c>
      <c r="BZ27" s="104" t="str">
        <f t="shared" si="7"/>
        <v>Data!$BI$1:$BI$5</v>
      </c>
      <c r="CA27" s="104" t="str">
        <f t="shared" si="7"/>
        <v>Data!$BI$1:$BI$5</v>
      </c>
      <c r="CB27" s="104" t="str">
        <f t="shared" si="7"/>
        <v>Data!$BI$1:$BI$5</v>
      </c>
      <c r="CC27" s="104" t="str">
        <f t="shared" si="7"/>
        <v>Data!$BI$1:$BI$5</v>
      </c>
      <c r="CD27" s="104" t="str">
        <f t="shared" ref="BS27:CH57" si="369">$BR27</f>
        <v>Data!$BI$1:$BI$5</v>
      </c>
      <c r="CE27" s="104" t="str">
        <f t="shared" si="369"/>
        <v>Data!$BI$1:$BI$5</v>
      </c>
      <c r="CF27" s="104" t="str">
        <f t="shared" si="369"/>
        <v>Data!$BI$1:$BI$5</v>
      </c>
      <c r="CG27" s="104" t="str">
        <f t="shared" si="369"/>
        <v>Data!$BI$1:$BI$5</v>
      </c>
      <c r="CH27" s="104" t="str">
        <f t="shared" si="369"/>
        <v>Data!$BI$1:$BI$5</v>
      </c>
      <c r="CI27" s="104" t="str">
        <f t="shared" si="8"/>
        <v>Data!$BI$1:$BI$5</v>
      </c>
      <c r="CJ27" s="104" t="str">
        <f t="shared" si="8"/>
        <v>Data!$BI$1:$BI$5</v>
      </c>
      <c r="CK27" s="104" t="str">
        <f t="shared" si="8"/>
        <v>Data!$BI$1:$BI$5</v>
      </c>
      <c r="CL27" s="104" t="str">
        <f t="shared" si="8"/>
        <v>Data!$BI$1:$BI$5</v>
      </c>
      <c r="CM27" s="104"/>
      <c r="CN27" s="104"/>
      <c r="CO27" s="107" t="str">
        <f>IFERROR(TIME(0,A27,B27),"")</f>
        <v/>
      </c>
      <c r="CP27" s="108">
        <f>IFERROR(TIME(0,C27,D27),"")</f>
        <v>0</v>
      </c>
      <c r="CQ27" s="108" t="str">
        <f t="shared" ref="CQ27" si="370">IF(CP27&gt;$D$12,"X","")</f>
        <v/>
      </c>
      <c r="CR27" s="102" t="str">
        <f>IF(AND(F27="Hybrid - Thrust + 2 connections",OR(LEFT(J27,1)="T",LEFT(K27,1)="T",LEFT(L27,1)="T",LEFT(PB27,1)="T",LEFT(M27,1)="T",LEFT(N27,1)="T",LEFT(O27,1)="T",LEFT(P27,1)="T",LEFT(Q27,1)="T",LEFT(R27,1)="T",LEFT(S27,1)="T",LEFT(T27,1)="T",LEFT(U27,1)="T",LEFT(V27,1)="T",LEFT(W27,1)="T",LEFT(X27,1)="T",LEFT(AK27,1)="T",LEFT(AL27,1)="T",LEFT(AM27,1)="T")),IF(OR(LEN(J27)=2,LEN(K27)=2,LEN(L27)=2,LEN(M27)=2,LEN(N27)=2,LEN(O27)=2,LEN(P27)=2,LEN(Q27)=2,LEN(R27)=2,LEN(S27)=2,LEN(T27)=2,LEN(U27)=2,LEN(V27)=2,LEN(W27)=2,LEN(X27)=2,LEN(Y27)=2,LEN(Z27)=2,LEN(AK27)=2,LEN(AL27)=2,LEN(AM27)=2),"X",""),"")</f>
        <v/>
      </c>
      <c r="CS27" s="105"/>
      <c r="CT27" s="102" t="str">
        <f>IF(LEFT(F27,4)="Acro",IF(AND(N27&lt;&gt;"",M27=RIGHT(N27,2)),"X","OK"),"")</f>
        <v/>
      </c>
      <c r="CU27" s="104" t="str">
        <f t="shared" ref="CU27:DB27" si="371">IFERROR(IF(AND(LEFT($F27,4)="Acro",INDEX(Requ_App,MATCH(BI27,Requ_Code,0))="No"),"X",""),"")</f>
        <v/>
      </c>
      <c r="CV27" s="104" t="str">
        <f t="shared" si="371"/>
        <v/>
      </c>
      <c r="CW27" s="104" t="str">
        <f t="shared" si="371"/>
        <v/>
      </c>
      <c r="CX27" s="104" t="str">
        <f t="shared" si="371"/>
        <v/>
      </c>
      <c r="CY27" s="104" t="str">
        <f t="shared" si="371"/>
        <v/>
      </c>
      <c r="CZ27" s="104" t="str">
        <f t="shared" si="371"/>
        <v/>
      </c>
      <c r="DA27" s="104" t="str">
        <f t="shared" si="371"/>
        <v/>
      </c>
      <c r="DB27" s="104" t="str">
        <f t="shared" si="371"/>
        <v/>
      </c>
      <c r="DC27" s="104" t="str">
        <f>IFERROR(IF(AND(LEFT($F27,4)="Acro",INDEX(Requ_App,MATCH(BP27,Requ_Code,0))="No"),"X",""),"")</f>
        <v/>
      </c>
      <c r="DD27" s="102" t="str">
        <f t="shared" si="10"/>
        <v/>
      </c>
      <c r="DE27" s="102" t="str">
        <f t="shared" si="11"/>
        <v/>
      </c>
      <c r="DF27" s="102" t="str">
        <f t="shared" si="12"/>
        <v/>
      </c>
      <c r="DG27" s="102" t="str">
        <f t="shared" si="13"/>
        <v/>
      </c>
      <c r="DK27" s="102">
        <f t="shared" ref="DK27" si="372">IF(AND(E28="A",OR(Q27="Grip",Q27="Conn",Q27="Catch")),"A1",IF(AND(E28="A",OR(Q27="Hula",Q27="RetSq",Q27="RetPa")),"A2",IF(AND(E28="B",OR(Q27="Twirl",Q27="RotF")),"B1",IF(AND(E28="B",OR(Q27="Moon",Q27="Mov",Q27="Hold")),"B2",IF(AND(E28="P",OR(Q27="Porp",Q27="Splch")),"P1",IF(AND(E28="P",OR(Q27="Diva",Q27="Stand")),"P2",IF(AND(E28="P",OR(Q27="Spider",Q27="Climb")),"P3",IF(AND(E28="P",OR(Q27="Fall",Q27="FTurn")),"P4",IF(AND(E28="C",OR(Q27="Jump",Q27="Jump&gt;",Q27="On1Foot",Q27="1F&gt;1F")),"C1",IF(AND(E28="C",OR(Q27="Run",Q27="BRun")),"C2",1))))))))))</f>
        <v>1</v>
      </c>
      <c r="DL27" s="102">
        <f t="shared" ref="DL27" si="373">IF(AND(E28="A",OR(R27="Grip",R27="Conn",R27="Catch")),"A1",IF(AND(E28="A",OR(R27="Hula",R27="RetSq",R27="RetPa")),"A2",IF(AND(E28="B",OR(R27="Twirl",R27="RotF")),"B1",IF(AND(E28="B",OR(R27="Moon",R27="Mov",R27="Hold")),"B2",IF(AND(E28="P",OR(R27="Porp",R27="Spich")),"P1",IF(AND(E28="P",OR(R27="Diva",R27="Stand")),"P2",IF(AND(E28="P",OR(R27="Spider",R27="Climb")),"P3",IF(AND(E28="P",OR(R27="Fall",R27="FTurn")),"P4",IF(AND(E28="C",OR(R27="Jump",R27="Jump&gt;",R27="On1Foot",R27="1F&gt;1F")),"C1",IF(AND(E28="C",OR(R27="Run",R27="BRun")),"C2",2))))))))))</f>
        <v>2</v>
      </c>
      <c r="DM27" s="102" t="str">
        <f>IF(AND(LEFT(F27,4)="Acro",Q27&lt;&gt;"",OR(Q27=R27,DK27=DL27)),IF(R27="C-Roll","","X"),IF(OR(AND(E28="A",Q27="Catch",R27&lt;&gt;"Dbl"),AND(E28="A",R27="Catch",Q27&lt;&gt;"Dbl")),"X",""))</f>
        <v/>
      </c>
      <c r="DN27" s="102" t="str">
        <f>IF(E28="PA",J27,"")</f>
        <v/>
      </c>
      <c r="DO27" s="102">
        <v>9</v>
      </c>
      <c r="DQ27" s="102" t="str">
        <f>IF(AND($E28="A",COUNTIF($DZ$19:$EA$68,DZ27)&gt;1),DZ27,"")</f>
        <v/>
      </c>
      <c r="DR27" s="102" t="str">
        <f>IF(AND($E28="A",COUNTIF($DZ$19:$EA$68,EA27)&gt;1),EA27,"")</f>
        <v/>
      </c>
      <c r="DS27" s="102" t="str">
        <f ca="1">IF(AND($E28="B",COUNTIF($J$19:$J$68,J27)&gt;1),J27,"")</f>
        <v/>
      </c>
      <c r="DT27" s="102" t="str">
        <f ca="1">IF(AND($E28="B",COUNTIF($K$19:$K$68,K27)&gt;1),K27,"")</f>
        <v/>
      </c>
      <c r="DU27" s="102" t="str">
        <f ca="1">IF(AND($E28="C",COUNTIF($J$19:$J$68,J27)&gt;1),J27,"")</f>
        <v/>
      </c>
      <c r="DV27" s="102" t="str">
        <f ca="1">IF(AND($E28="P",COUNTIF($J$19:$J$68,J27)&gt;1),J27,"")</f>
        <v/>
      </c>
      <c r="DW27" s="102" t="str">
        <f ca="1">IF(AND($E28="P",COUNTIF($K$19:$K$68,K27)&gt;1),K27,"")</f>
        <v/>
      </c>
      <c r="DX27" s="102" t="str">
        <f>IF(AND($E28="P",COUNTIF($DZ$19:$EA$68,DZ27)&gt;1),DZ27,"")</f>
        <v/>
      </c>
      <c r="DY27" s="102" t="str">
        <f>IF(AND($E28="P",COUNTIF($DZ$19:$EA$68,EA27)&gt;1),EA27,"")</f>
        <v/>
      </c>
      <c r="DZ27" s="102" t="str">
        <f>IFERROR(IF(OR(E28="A",E28="P"),M27,""),"")</f>
        <v/>
      </c>
      <c r="EA27" s="102" t="str">
        <f>IFERROR(IF(OR(E28="A",E28="P"),RIGHT(N27,2),""),"")</f>
        <v/>
      </c>
      <c r="EB27" s="102" t="str">
        <f t="shared" ref="EB27" si="374">IF(Q27="","",IF(AND($E28="P",COUNTIF($Q$19:$R$68,Q27)&gt;1),Q27,""))</f>
        <v/>
      </c>
      <c r="EC27" s="102" t="str">
        <f t="shared" ref="EC27" si="375">IF(R27="","",IF(AND($E28="P",COUNTIF($Q$19:$R$68,R27)&gt;1),R27,""))</f>
        <v/>
      </c>
      <c r="ED27" s="102" t="str">
        <f t="shared" si="14"/>
        <v/>
      </c>
      <c r="EE27" s="102" t="str">
        <f t="shared" si="15"/>
        <v/>
      </c>
      <c r="EF27" s="102" t="str">
        <f>IF(AND($F$8="Open Team Acrobatic",LEFT(F27,4)="Acro"),E28,"")</f>
        <v/>
      </c>
      <c r="EG27" s="102" t="str">
        <f t="shared" ref="EG27" si="376">IFERROR(IF(HLOOKUP(EF27,$DQ$12:$DT$13,2,FALSE)&gt;2,"X",""),"")</f>
        <v/>
      </c>
      <c r="EI27" s="102" t="str">
        <f t="shared" ref="EI27" si="377">IF(OR(AND(F27="Hybrid - Thrust + 2 connections",EI28="T"),AND(E28="H",EI28&lt;&gt;"",EI81="X")),"X","")</f>
        <v/>
      </c>
      <c r="EK27" s="102">
        <f t="shared" ref="EK27" si="378">IFERROR(IF(AND($E28="H",J27&lt;&gt;"",J27&lt;&gt;"ChoHY"),IF(OR(LEFT(J27,1)="T",LEFT(J27,1)="S",LEFT(J27,1)="A",LEFT(J27,1)="F",LEFT(J27,1)="C"),LEFT(J27,1),"R"),EK$18),"")</f>
        <v>1</v>
      </c>
      <c r="EL27" s="102">
        <f t="shared" ref="EL27:EZ27" si="379">IFERROR(IF(AND($E28="H",K27&lt;&gt;""),IF(OR(LEFT(K27,1)="T",LEFT(K27,1)="S",LEFT(K27,1)="A",LEFT(K27,1)="F",LEFT(K27,1)="C"),LEFT(K27,1),"R"),EL$18),"")</f>
        <v>2</v>
      </c>
      <c r="EM27" s="102">
        <f t="shared" si="379"/>
        <v>3</v>
      </c>
      <c r="EN27" s="102">
        <f t="shared" si="379"/>
        <v>4</v>
      </c>
      <c r="EO27" s="102">
        <f t="shared" si="379"/>
        <v>5</v>
      </c>
      <c r="EP27" s="102">
        <f t="shared" si="379"/>
        <v>6</v>
      </c>
      <c r="EQ27" s="102">
        <f t="shared" si="379"/>
        <v>7</v>
      </c>
      <c r="ER27" s="102">
        <f t="shared" si="379"/>
        <v>8</v>
      </c>
      <c r="ES27" s="102">
        <f t="shared" si="379"/>
        <v>9</v>
      </c>
      <c r="ET27" s="102">
        <f t="shared" si="379"/>
        <v>10</v>
      </c>
      <c r="EU27" s="102">
        <f t="shared" si="379"/>
        <v>11</v>
      </c>
      <c r="EV27" s="102">
        <f t="shared" si="379"/>
        <v>12</v>
      </c>
      <c r="EW27" s="102">
        <f t="shared" si="379"/>
        <v>13</v>
      </c>
      <c r="EX27" s="102">
        <f t="shared" si="379"/>
        <v>14</v>
      </c>
      <c r="EY27" s="102">
        <f t="shared" si="379"/>
        <v>15</v>
      </c>
      <c r="EZ27" s="102">
        <f t="shared" si="379"/>
        <v>16</v>
      </c>
      <c r="FA27" s="102">
        <f t="shared" ref="FA27" si="380">IFERROR(IF(AND($E28="H",Z27&lt;&gt;""),IF(OR(LEFT(Z27,1)="T",LEFT(Z27,1)="S",LEFT(Z27,1)="A",LEFT(Z27,1)="F",LEFT(Z27,1)="C"),LEFT(Z27,1),"R"),FA$18),"")</f>
        <v>17</v>
      </c>
      <c r="FB27" s="102">
        <f t="shared" ref="FB27" si="381">IFERROR(IF(AND($E28="H",AA27&lt;&gt;""),IF(OR(LEFT(AA27,1)="T",LEFT(AA27,1)="S",LEFT(AA27,1)="A",LEFT(AA27,1)="F",LEFT(AA27,1)="C"),LEFT(AA27,1),"R"),FB$18),"")</f>
        <v>18</v>
      </c>
      <c r="FC27" s="102">
        <f t="shared" ref="FC27" si="382">IFERROR(IF(AND($E28="H",AB27&lt;&gt;""),IF(OR(LEFT(AB27,1)="T",LEFT(AB27,1)="S",LEFT(AB27,1)="A",LEFT(AB27,1)="F",LEFT(AB27,1)="C"),LEFT(AB27,1),"R"),FC$18),"")</f>
        <v>19</v>
      </c>
      <c r="FD27" s="102">
        <f t="shared" ref="FD27" si="383">IFERROR(IF(AND($E28="H",AC27&lt;&gt;""),IF(OR(LEFT(AC27,1)="T",LEFT(AC27,1)="S",LEFT(AC27,1)="A",LEFT(AC27,1)="F",LEFT(AC27,1)="C"),LEFT(AC27,1),"R"),FD$18),"")</f>
        <v>20</v>
      </c>
      <c r="FE27" s="102">
        <f t="shared" ref="FE27" si="384">IFERROR(IF(AND($E28="H",AD27&lt;&gt;""),IF(OR(LEFT(AD27,1)="T",LEFT(AD27,1)="S",LEFT(AD27,1)="A",LEFT(AD27,1)="F",LEFT(AD27,1)="C"),LEFT(AD27,1),"R"),FE$18),"")</f>
        <v>21</v>
      </c>
      <c r="FF27" s="102">
        <f t="shared" ref="FF27" si="385">IFERROR(IF(AND($E28="H",AE27&lt;&gt;""),IF(OR(LEFT(AE27,1)="T",LEFT(AE27,1)="S",LEFT(AE27,1)="A",LEFT(AE27,1)="F",LEFT(AE27,1)="C"),LEFT(AE27,1),"R"),FF$18),"")</f>
        <v>22</v>
      </c>
      <c r="FG27" s="102">
        <f t="shared" ref="FG27" si="386">IFERROR(IF(AND($E28="H",AF27&lt;&gt;""),IF(OR(LEFT(AF27,1)="T",LEFT(AF27,1)="S",LEFT(AF27,1)="A",LEFT(AF27,1)="F",LEFT(AF27,1)="C"),LEFT(AF27,1),"R"),FG$18),"")</f>
        <v>23</v>
      </c>
      <c r="FH27" s="102">
        <f t="shared" ref="FH27" si="387">IFERROR(IF(AND($E28="H",AG27&lt;&gt;""),IF(OR(LEFT(AG27,1)="T",LEFT(AG27,1)="S",LEFT(AG27,1)="A",LEFT(AG27,1)="F",LEFT(AG27,1)="C"),LEFT(AG27,1),"R"),FH$18),"")</f>
        <v>24</v>
      </c>
      <c r="FI27" s="102">
        <f t="shared" ref="FI27" si="388">IFERROR(IF(AND($E28="H",AH27&lt;&gt;""),IF(OR(LEFT(AH27,1)="T",LEFT(AH27,1)="S",LEFT(AH27,1)="A",LEFT(AH27,1)="F",LEFT(AH27,1)="C"),LEFT(AH27,1),"R"),FI$18),"")</f>
        <v>25</v>
      </c>
      <c r="FJ27" s="102">
        <f t="shared" ref="FJ27" si="389">IFERROR(IF(AND($E28="H",AI27&lt;&gt;""),IF(OR(LEFT(AI27,1)="T",LEFT(AI27,1)="S",LEFT(AI27,1)="A",LEFT(AI27,1)="F",LEFT(AI27,1)="C"),LEFT(AI27,1),"R"),FJ$18),"")</f>
        <v>26</v>
      </c>
      <c r="FK27" s="102">
        <f t="shared" ref="FK27" si="390">IFERROR(IF(AND($E28="H",AJ27&lt;&gt;""),IF(OR(LEFT(AJ27,1)="T",LEFT(AJ27,1)="S",LEFT(AJ27,1)="A",LEFT(AJ27,1)="F",LEFT(AJ27,1)="C"),LEFT(AJ27,1),"R"),FK$18),"")</f>
        <v>27</v>
      </c>
      <c r="FL27" s="102">
        <f t="shared" ref="FL27" si="391">IFERROR(IF(AND($E28="H",AK27&lt;&gt;""),IF(OR(LEFT(AK27,1)="T",LEFT(AK27,1)="S",LEFT(AK27,1)="A",LEFT(AK27,1)="F",LEFT(AK27,1)="C"),LEFT(AK27,1),"R"),FL$18),"")</f>
        <v>28</v>
      </c>
      <c r="FM27" s="102">
        <f t="shared" ref="FM27" si="392">IFERROR(IF(AND($E28="H",AL27&lt;&gt;""),IF(OR(LEFT(AL27,1)="T",LEFT(AL27,1)="S",LEFT(AL27,1)="A",LEFT(AL27,1)="F",LEFT(AL27,1)="C"),LEFT(AL27,1),"R"),FM$18),"")</f>
        <v>29</v>
      </c>
      <c r="FN27" s="102">
        <f t="shared" ref="FN27" si="393">IFERROR(IF(AND($E28="H",AM27&lt;&gt;""),IF(OR(LEFT(AM27,1)="T",LEFT(AM27,1)="S",LEFT(AM27,1)="A",LEFT(AM27,1)="F",LEFT(AM27,1)="C"),LEFT(AM27,1),"R"),FN$18),"")</f>
        <v>30</v>
      </c>
      <c r="FO27" s="102"/>
      <c r="FP27" s="102"/>
      <c r="FQ27" s="102"/>
      <c r="FR27" s="282"/>
      <c r="FS27" s="282"/>
      <c r="FT27" s="282"/>
      <c r="FU27" s="282"/>
      <c r="FV27" s="282"/>
      <c r="FW27" s="282"/>
      <c r="FX27" s="282"/>
      <c r="FY27" s="282"/>
      <c r="FZ27" s="282"/>
      <c r="GA27" s="282"/>
      <c r="GB27" s="282"/>
      <c r="GC27" s="282"/>
      <c r="GD27" s="282"/>
      <c r="GE27" s="282"/>
      <c r="GF27" s="282"/>
      <c r="GG27" s="282"/>
      <c r="GH27" s="282"/>
      <c r="GI27" s="282"/>
      <c r="GJ27" s="282"/>
      <c r="GK27" s="282"/>
      <c r="GL27" s="282"/>
      <c r="GM27" s="282"/>
      <c r="GN27" s="282"/>
      <c r="GO27" s="282"/>
      <c r="GP27" s="282"/>
      <c r="GQ27" s="282"/>
      <c r="GR27" s="282"/>
      <c r="GS27" s="282"/>
      <c r="GT27" s="282"/>
      <c r="GU27" s="282"/>
      <c r="GV27" s="102"/>
      <c r="GW27" s="102">
        <f t="shared" ref="GW27" si="394">COUNTIF($EK27:$FN27,GW$18)</f>
        <v>0</v>
      </c>
      <c r="GX27" s="102">
        <f t="shared" si="29"/>
        <v>0</v>
      </c>
      <c r="GY27" s="102">
        <f t="shared" si="29"/>
        <v>0</v>
      </c>
      <c r="GZ27" s="102">
        <f t="shared" si="29"/>
        <v>0</v>
      </c>
      <c r="HA27" s="102">
        <f t="shared" si="29"/>
        <v>0</v>
      </c>
      <c r="HB27" s="102">
        <f t="shared" si="29"/>
        <v>0</v>
      </c>
      <c r="HC27" s="102"/>
      <c r="HD27" s="102" t="str">
        <f t="shared" ref="HD27" si="395">IF(AND($F27="Hybrid - Thrust + 2 connections",HD28=0,LEFT($J27,1)="C",LEFT($K27,1)="C",LEFT($L27,1)="C"),"X","")</f>
        <v/>
      </c>
      <c r="HE27" s="102"/>
      <c r="HF27" s="105"/>
      <c r="HG27" s="114"/>
      <c r="HH27" s="114"/>
      <c r="HI27" s="105" t="str">
        <f t="shared" ref="HI27" si="396">IF(E28=3,IF(_xlfn.NUMBERVALUE(LEFT(J27,1))&gt;0,_xlfn.NUMBERVALUE(LEFT(J27,1)),""),"")</f>
        <v/>
      </c>
      <c r="HK27" s="105" t="str">
        <f t="shared" ref="HK27" si="397">IF(OR(E28="B",E28="P"),E28,"")</f>
        <v/>
      </c>
      <c r="HL27" s="105" t="str">
        <f>IF(AND(J27&lt;&gt;"",HK27&lt;&gt;""),IF(HK27="B",MATCH(J27,AcroDD!$U$3:$AE$3,0),MATCH(J27,AcroDD!$U$30:$AC$30,0)),"")</f>
        <v/>
      </c>
      <c r="HM27" s="105" t="str">
        <f t="shared" ref="HM27" si="398">IF(AND(K27&lt;&gt;"",HK27&lt;&gt;""),K27,"")</f>
        <v/>
      </c>
      <c r="HN27" s="105" t="str">
        <f ca="1">IF(AND(OR(HK27="B",HK27="P"),HL27&lt;&gt;"",HM27&lt;&gt;""),IF(IFERROR(IF(HK27="B",MATCH(HM27,OFFSET(AcroDD!$T$4,0,HL27,20),0),MATCH(HM27,OFFSET(AcroDD!$T$31,0,HL27,20),0)),"")&lt;&gt;"","OK","X"),"")</f>
        <v/>
      </c>
    </row>
    <row r="28" spans="1:222" x14ac:dyDescent="0.25">
      <c r="A28" s="39"/>
      <c r="B28" s="40"/>
      <c r="C28" s="40"/>
      <c r="D28" s="40"/>
      <c r="E28" s="20" t="str">
        <f>IF(F27="Acrobatic - Pair","PA",IF(F27="Acrobatic Airborn","A",IF(F27="Acrobatic Balance","B",IF(F27="Acrobatic Combined","C",IF(F27="Acrobatic Platform","P",IF(F27="Technical Required Element",3,IF(LEFT(F27,4)="Hybr","H","")))))))</f>
        <v/>
      </c>
      <c r="F28" s="20" t="str">
        <f>IF(AND(F27="Hybrid - Thrust + 2 connections",CR27="X"),"Hybrid - Thrust",IF(OR(E28="A",E28="B",E28="C",E28="P"),"Acrobatic",""))</f>
        <v/>
      </c>
      <c r="G28" s="42"/>
      <c r="H28" s="207" t="str">
        <f t="shared" ref="H28" si="399">IF(E28="PA",IF(OR(LEFT(J27,1)="L",LEFT(J27,1)="S"),"A-Pair-Lift",IF(OR(LEFT(J27,1)="W",LEFT(J27,1)="T"),"A-Pair-Throw",IF(LEFT(J27,1)="J","A-Pair-Jump","A-Pair"))),IF(OR(E28="A",E28="B",E28="C",E28="P"),CONCATENATE("Acro-",E28),""))</f>
        <v/>
      </c>
      <c r="I28" s="201" t="e">
        <f t="shared" ref="I28" si="400">IF(OR(F27="Hybrid - min 4 swimmers (no DD)",LEFT(F27,5)="Trans"),0,INDEX($BY$3:$BY$9,MATCH(E28,$BX$3:$BX$9,0)))</f>
        <v>#N/A</v>
      </c>
      <c r="J28" s="196">
        <f ca="1">IFERROR(IF($H27="No DD",IF(J27="ChoHY",1,0),IF(OR(ISBLANK(J27),J27="N/A"),0,INDEX(INDIRECT(BI28),MATCH(J27,INDIRECT(BI27),0)))),0)</f>
        <v>0</v>
      </c>
      <c r="K28" s="196">
        <f t="shared" ref="K28" ca="1" si="401">IFERROR(IF($H27="No DD",0,IF(OR(ISBLANK(K27),K27="N/A"),0,INDEX(INDIRECT(BJ28),MATCH(K27,INDIRECT(BJ27),0)))),0)</f>
        <v>0</v>
      </c>
      <c r="L28" s="196">
        <f t="shared" ref="L28" ca="1" si="402">IFERROR(IF($H27="No DD",0,IF(OR(ISBLANK(L27),L27="N/A"),0,INDEX(INDIRECT(BK28),MATCH(L27,INDIRECT(BK27),0)))),0)</f>
        <v>0</v>
      </c>
      <c r="M28" s="196">
        <f t="shared" ref="M28" ca="1" si="403">IFERROR(IF($H27="No DD",0,IF(OR(ISBLANK(M27),M27="N/A"),0,INDEX(INDIRECT(BL28),MATCH(M27,INDIRECT(BL27),0)))),0)</f>
        <v>0</v>
      </c>
      <c r="N28" s="196">
        <f t="shared" ref="N28" ca="1" si="404">IFERROR(IF($H27="No DD",0,IF(OR(ISBLANK(N27),N27="N/A"),0,INDEX(INDIRECT(BM28),MATCH(N27,INDIRECT(BM27),0)))),0)</f>
        <v>0</v>
      </c>
      <c r="O28" s="196">
        <f t="shared" ref="O28" ca="1" si="405">IFERROR(IF($H27="No DD",0,IF(OR(ISBLANK(O27),O27="N/A"),0,INDEX(INDIRECT(BN28),MATCH(O27,INDIRECT(BN27),0)))),0)</f>
        <v>0</v>
      </c>
      <c r="P28" s="196">
        <f t="shared" ref="P28" ca="1" si="406">IFERROR(IF($H27="No DD",0,IF(OR(ISBLANK(P27),P27="N/A"),0,INDEX(INDIRECT(BO28),MATCH(P27,INDIRECT(BO27),0)))),0)</f>
        <v>0</v>
      </c>
      <c r="Q28" s="196">
        <f t="shared" ref="Q28" ca="1" si="407">IFERROR(IF($H27="No DD",0,IF(OR(ISBLANK(Q27),Q27="N/A"),0,INDEX(INDIRECT(BP28),MATCH(Q27,INDIRECT(BP27),0)))),0)</f>
        <v>0</v>
      </c>
      <c r="R28" s="196">
        <f t="shared" ref="R28" ca="1" si="408">IFERROR(IF($H27="No DD",0,IF(OR(ISBLANK(R27),R27="N/A"),0,INDEX(INDIRECT(BQ28),MATCH(R27,INDIRECT(BQ27),0)))),0)</f>
        <v>0</v>
      </c>
      <c r="S28" s="196">
        <f t="shared" ref="S28" ca="1" si="409">IFERROR(IF($H27="No DD",0,IF(OR(ISBLANK(S27),S27="N/A"),0,INDEX(INDIRECT(BR28),MATCH(S27,INDIRECT(BR27),0)))),0)</f>
        <v>0</v>
      </c>
      <c r="T28" s="196">
        <f t="shared" ref="T28" ca="1" si="410">IFERROR(IF($H27="No DD",0,IF(OR(ISBLANK(T27),T27="N/A"),0,INDEX(INDIRECT(BS28),MATCH(T27,INDIRECT(BS27),0)))),0)</f>
        <v>0</v>
      </c>
      <c r="U28" s="196">
        <f t="shared" ref="U28" ca="1" si="411">IFERROR(IF($H27="No DD",0,IF(OR(ISBLANK(U27),U27="N/A"),0,INDEX(INDIRECT(BT28),MATCH(U27,INDIRECT(BT27),0)))),0)</f>
        <v>0</v>
      </c>
      <c r="V28" s="196">
        <f t="shared" ref="V28" ca="1" si="412">IFERROR(IF($H27="No DD",0,IF(OR(ISBLANK(V27),V27="N/A"),0,INDEX(INDIRECT(BU28),MATCH(V27,INDIRECT(BU27),0)))),0)</f>
        <v>0</v>
      </c>
      <c r="W28" s="196">
        <f t="shared" ref="W28" ca="1" si="413">IFERROR(IF($H27="No DD",0,IF(OR(ISBLANK(W27),W27="N/A"),0,INDEX(INDIRECT(BV28),MATCH(W27,INDIRECT(BV27),0)))),0)</f>
        <v>0</v>
      </c>
      <c r="X28" s="196">
        <f t="shared" ref="X28" ca="1" si="414">IFERROR(IF($H27="No DD",0,IF(OR(ISBLANK(X27),X27="N/A"),0,INDEX(INDIRECT(BW28),MATCH(X27,INDIRECT(BW27),0)))),0)</f>
        <v>0</v>
      </c>
      <c r="Y28" s="196">
        <f t="shared" ref="Y28" ca="1" si="415">IFERROR(IF($H27="No DD",0,IF(OR(ISBLANK(Y27),Y27="N/A"),0,INDEX(INDIRECT(BX28),MATCH(Y27,INDIRECT(BX27),0)))),0)</f>
        <v>0</v>
      </c>
      <c r="Z28" s="196">
        <f t="shared" ref="Z28" ca="1" si="416">IFERROR(IF($H27="No DD",0,IF(OR(ISBLANK(Z27),Z27="N/A"),0,INDEX(INDIRECT(BY28),MATCH(Z27,INDIRECT(BY27),0)))),0)</f>
        <v>0</v>
      </c>
      <c r="AA28" s="196">
        <f t="shared" ref="AA28" ca="1" si="417">IFERROR(IF($H27="No DD",0,IF(OR(ISBLANK(AA27),AA27="N/A"),0,INDEX(INDIRECT(BZ28),MATCH(AA27,INDIRECT(BZ27),0)))),0)</f>
        <v>0</v>
      </c>
      <c r="AB28" s="196">
        <f t="shared" ref="AB28" ca="1" si="418">IFERROR(IF($H27="No DD",0,IF(OR(ISBLANK(AB27),AB27="N/A"),0,INDEX(INDIRECT(CA28),MATCH(AB27,INDIRECT(CA27),0)))),0)</f>
        <v>0</v>
      </c>
      <c r="AC28" s="196">
        <f t="shared" ref="AC28" ca="1" si="419">IFERROR(IF($H27="No DD",0,IF(OR(ISBLANK(AC27),AC27="N/A"),0,INDEX(INDIRECT(CB28),MATCH(AC27,INDIRECT(CB27),0)))),0)</f>
        <v>0</v>
      </c>
      <c r="AD28" s="196">
        <f t="shared" ref="AD28" ca="1" si="420">IFERROR(IF($H27="No DD",0,IF(OR(ISBLANK(AD27),AD27="N/A"),0,INDEX(INDIRECT(CC28),MATCH(AD27,INDIRECT(CC27),0)))),0)</f>
        <v>0</v>
      </c>
      <c r="AE28" s="196">
        <f t="shared" ref="AE28" ca="1" si="421">IFERROR(IF($H27="No DD",0,IF(OR(ISBLANK(AE27),AE27="N/A"),0,INDEX(INDIRECT(CD28),MATCH(AE27,INDIRECT(CD27),0)))),0)</f>
        <v>0</v>
      </c>
      <c r="AF28" s="196">
        <f t="shared" ref="AF28" ca="1" si="422">IFERROR(IF($H27="No DD",0,IF(OR(ISBLANK(AF27),AF27="N/A"),0,INDEX(INDIRECT(CE28),MATCH(AF27,INDIRECT(CE27),0)))),0)</f>
        <v>0</v>
      </c>
      <c r="AG28" s="196">
        <f t="shared" ref="AG28" ca="1" si="423">IFERROR(IF($H27="No DD",0,IF(OR(ISBLANK(AG27),AG27="N/A"),0,INDEX(INDIRECT(CF28),MATCH(AG27,INDIRECT(CF27),0)))),0)</f>
        <v>0</v>
      </c>
      <c r="AH28" s="196">
        <f t="shared" ref="AH28" ca="1" si="424">IFERROR(IF($H27="No DD",0,IF(OR(ISBLANK(AH27),AH27="N/A"),0,INDEX(INDIRECT(CG28),MATCH(AH27,INDIRECT(CG27),0)))),0)</f>
        <v>0</v>
      </c>
      <c r="AI28" s="196">
        <f t="shared" ref="AI28" ca="1" si="425">IFERROR(IF($H27="No DD",0,IF(OR(ISBLANK(AI27),AI27="N/A"),0,INDEX(INDIRECT(CH28),MATCH(AI27,INDIRECT(CH27),0)))),0)</f>
        <v>0</v>
      </c>
      <c r="AJ28" s="196">
        <f t="shared" ref="AJ28" ca="1" si="426">IFERROR(IF($H27="No DD",0,IF(OR(ISBLANK(AJ27),AJ27="N/A"),0,INDEX(INDIRECT(CI28),MATCH(AJ27,INDIRECT(CI27),0)))),0)</f>
        <v>0</v>
      </c>
      <c r="AK28" s="196">
        <f t="shared" ref="AK28" ca="1" si="427">IFERROR(IF($H27="No DD",0,IF(OR(ISBLANK(AK27),AK27="N/A"),0,INDEX(INDIRECT(CJ28),MATCH(AK27,INDIRECT(CJ27),0)))),0)</f>
        <v>0</v>
      </c>
      <c r="AL28" s="196">
        <f t="shared" ref="AL28" ca="1" si="428">IFERROR(IF($H27="No DD",0,IF(OR(ISBLANK(AL27),AL27="N/A"),0,INDEX(INDIRECT(CK28),MATCH(AL27,INDIRECT(CK27),0)))),0)</f>
        <v>0</v>
      </c>
      <c r="AM28" s="196">
        <f t="shared" ref="AM28" ca="1" si="429">IFERROR(IF($H27="No DD",0,IF(OR(ISBLANK(AM27),AM27="N/A"),0,INDEX(INDIRECT(CL28),MATCH(AM27,INDIRECT(CL27),0)))),0)</f>
        <v>0</v>
      </c>
      <c r="AN28" s="197" t="str">
        <f>IFERROR(IF(E28="H",INDEX(HybridBonus_Value,MATCH(AN27,HybridBonus_Code,0)),""),"")</f>
        <v/>
      </c>
      <c r="AO28" s="195" t="str">
        <f t="shared" ref="AO28" si="430">IFERROR(SUM(I28:AN28),"")</f>
        <v/>
      </c>
      <c r="AP28" s="75"/>
      <c r="AQ28" s="75"/>
      <c r="AR28" s="115"/>
      <c r="AS28" s="115"/>
      <c r="AT28" s="115"/>
      <c r="AU28" s="115"/>
      <c r="AV28" s="115"/>
      <c r="BA28" s="104"/>
      <c r="BB28" s="115"/>
      <c r="BC28" s="115"/>
      <c r="BD28" s="115"/>
      <c r="BE28" s="115"/>
      <c r="BF28" s="115"/>
      <c r="BG28" s="104"/>
      <c r="BH28" s="115"/>
      <c r="BI28" s="105" t="str">
        <f t="shared" ref="BI28" si="431">IF($E28="H",IF($F27="Hybrid - Thrust + 2 connections","Hybrid_Mix_Req_Value","HybridDD_Value"),IF($E28=3,"TreDD_Value",IF($E28="PA","AcroPair_Value",IF(LEFT($F27,4)="Acro",CONCATENATE(BI$16,$E28,"_Value"),""))))</f>
        <v/>
      </c>
      <c r="BJ28" s="105" t="str">
        <f t="shared" ref="BJ28" si="432">IF($E28="H",IF($F27="Hybrid - Thrust + 2 connections","Hybrid_Mix_Req_Value","HybridDD_Value"),IF($E28=3,"TreDD_Value",IF($E28="PA","AcroPair_Value",IF(LEFT($F27,4)="Acro",CONCATENATE(BJ$16,$E28,"_Value"),""))))</f>
        <v/>
      </c>
      <c r="BK28" s="105" t="str">
        <f t="shared" ref="BK28" si="433">IF($E28="H",IF($F27="Hybrid - Thrust + 2 connections","Hybrid_Mix_Req_Value","HybridDD_Value"),IF($E28=3,"TreDD_Value",IF($E28="PA","AcroPair_Value",IF(LEFT($F27,4)="Acro",CONCATENATE(BK$16,$E28,"_Value"),""))))</f>
        <v/>
      </c>
      <c r="BL28" s="105" t="str">
        <f t="shared" ref="BL28" si="434">IF($E28="H",IF($F27="Hybrid - Thrust + 2 connections","Hybrid_Mix_Req_Value","HybridDD_Value"),IF($E28=3,"TreDD_Value",IF($E28="PA","AcroPair_Value",IF(LEFT($F27,4)="Acro",CONCATENATE(BL$16,$E28,"_Value"),""))))</f>
        <v/>
      </c>
      <c r="BM28" s="105" t="str">
        <f t="shared" ref="BM28" si="435">IF($E28="H",IF($F27="Hybrid - Thrust + 2 connections","Hybrid_Mix_Req_Value","HybridDD_Value"),IF($E28=3,"TreDD_Value",IF($E28="PA","AcroPair_Value",IF(LEFT($F27,4)="Acro",CONCATENATE(BM$16,$E28,"_Value"),""))))</f>
        <v/>
      </c>
      <c r="BN28" s="105" t="str">
        <f t="shared" ref="BN28" si="436">IF($E28="H",IF($F27="Hybrid - Thrust + 2 connections","Hybrid_Mix_Req_Value","HybridDD_Value"),IF($E28=3,"TreDD_Value",IF($E28="PA","AcroPair_Value",IF(LEFT($F27,4)="Acro",CONCATENATE(BN$16,$E28,"_Value"),""))))</f>
        <v/>
      </c>
      <c r="BO28" s="105" t="str">
        <f t="shared" ref="BO28" si="437">IF($E28="H",IF($F27="Hybrid - Thrust + 2 connections","Hybrid_Mix_Req_Value","HybridDD_Value"),IF($E28=3,"TreDD_Value",IF($E28="PA","AcroPair_Value",IF(LEFT($F27,4)="Acro",CONCATENATE(BO$16,$E28,"_Value"),""))))</f>
        <v/>
      </c>
      <c r="BP28" s="105" t="str">
        <f t="shared" ref="BP28" si="438">IF($E28="H",IF($F27="Hybrid - Thrust + 2 connections","Hybrid_Mix_Req_Value","HybridDD_Value"),IF($E28=3,"TreDD_Value",IF($E28="PA","AcroPair_Value",IF(LEFT($F27,4)="Acro",CONCATENATE(BP$16,$E28,"_Value"),""))))</f>
        <v/>
      </c>
      <c r="BQ28" s="105" t="str">
        <f t="shared" ref="BQ28" si="439">IF($E28="H",IF($F27="Hybrid - Thrust + 2 connections","Hybrid_Mix_Req_Value","HybridDD_Value"),IF($E28=3,"TreDD_Value",IF($E28="PA","AcroPair_Value",IF(LEFT($F27,4)="Acro",CONCATENATE(BQ$16,$E28,"_Value"),""))))</f>
        <v/>
      </c>
      <c r="BR28" s="104" t="str">
        <f t="shared" ref="BR28" si="440">IF($E28="H",IF($F27="Hybrid - Thrust + 2 connections","Data!$BI$1:$BI$5","HybridDD_Value"),"Data!$BI$1:$BI$5")</f>
        <v>Data!$BI$1:$BI$5</v>
      </c>
      <c r="BS28" s="104" t="str">
        <f t="shared" ref="BS28" si="441">IF($E28="H",IF($F27="Hybrid - Thrust + 2 connections","Data!$BI$1:$BI$5","HybridDD_Value"),"Data!$BI$1:$BI$5")</f>
        <v>Data!$BI$1:$BI$5</v>
      </c>
      <c r="BT28" s="104" t="str">
        <f t="shared" ref="BT28" si="442">IF($E28="H",IF($F27="Hybrid - Thrust + 2 connections","Data!$BI$1:$BI$5","HybridDD_Value"),"Data!$BI$1:$BI$5")</f>
        <v>Data!$BI$1:$BI$5</v>
      </c>
      <c r="BU28" s="104" t="str">
        <f t="shared" ref="BU28" si="443">IF($E28="H",IF($F27="Hybrid - Thrust + 2 connections","Data!$BI$1:$BI$5","HybridDD_Value"),"Data!$BI$1:$BI$5")</f>
        <v>Data!$BI$1:$BI$5</v>
      </c>
      <c r="BV28" s="104" t="str">
        <f t="shared" ref="BV28" si="444">IF($E28="H",IF($F27="Hybrid - Thrust + 2 connections","Data!$BI$1:$BI$5","HybridDD_Value"),"Data!$BI$1:$BI$5")</f>
        <v>Data!$BI$1:$BI$5</v>
      </c>
      <c r="BW28" s="104" t="str">
        <f t="shared" ref="BW28" si="445">IF($E28="H",IF($F27="Hybrid - Thrust + 2 connections","Data!$BI$1:$BI$5","HybridDD_Value"),"Data!$BI$1:$BI$5")</f>
        <v>Data!$BI$1:$BI$5</v>
      </c>
      <c r="BX28" s="104" t="str">
        <f t="shared" ref="BX28" si="446">IF($E28="H",IF($F27="Hybrid - Thrust + 2 connections","Data!$BI$1:$BI$5","HybridDD_Value"),"Data!$BI$1:$BI$5")</f>
        <v>Data!$BI$1:$BI$5</v>
      </c>
      <c r="BY28" s="104" t="str">
        <f t="shared" ref="BY28" si="447">IF($E28="H",IF($F27="Hybrid - Thrust + 2 connections","Data!$BI$1:$BI$5","HybridDD_Value"),"Data!$BI$1:$BI$5")</f>
        <v>Data!$BI$1:$BI$5</v>
      </c>
      <c r="BZ28" s="104" t="str">
        <f t="shared" ref="BZ28" si="448">IF($E28="H",IF($F27="Hybrid - Thrust + 2 connections","Data!$BI$1:$BI$5","HybridDD_Value"),"Data!$BI$1:$BI$5")</f>
        <v>Data!$BI$1:$BI$5</v>
      </c>
      <c r="CA28" s="104" t="str">
        <f t="shared" ref="CA28" si="449">IF($E28="H",IF($F27="Hybrid - Thrust + 2 connections","Data!$BI$1:$BI$5","HybridDD_Value"),"Data!$BI$1:$BI$5")</f>
        <v>Data!$BI$1:$BI$5</v>
      </c>
      <c r="CB28" s="104" t="str">
        <f t="shared" ref="CB28" si="450">IF($E28="H",IF($F27="Hybrid - Thrust + 2 connections","Data!$BI$1:$BI$5","HybridDD_Value"),"Data!$BI$1:$BI$5")</f>
        <v>Data!$BI$1:$BI$5</v>
      </c>
      <c r="CC28" s="104" t="str">
        <f t="shared" ref="CC28" si="451">IF($E28="H",IF($F27="Hybrid - Thrust + 2 connections","Data!$BI$1:$BI$5","HybridDD_Value"),"Data!$BI$1:$BI$5")</f>
        <v>Data!$BI$1:$BI$5</v>
      </c>
      <c r="CD28" s="104" t="str">
        <f t="shared" ref="CD28" si="452">IF($E28="H",IF($F27="Hybrid - Thrust + 2 connections","Data!$BI$1:$BI$5","HybridDD_Value"),"Data!$BI$1:$BI$5")</f>
        <v>Data!$BI$1:$BI$5</v>
      </c>
      <c r="CE28" s="104" t="str">
        <f t="shared" ref="CE28" si="453">IF($E28="H",IF($F27="Hybrid - Thrust + 2 connections","Data!$BI$1:$BI$5","HybridDD_Value"),"Data!$BI$1:$BI$5")</f>
        <v>Data!$BI$1:$BI$5</v>
      </c>
      <c r="CF28" s="104" t="str">
        <f t="shared" ref="CF28" si="454">IF($E28="H",IF($F27="Hybrid - Thrust + 2 connections","Data!$BI$1:$BI$5","HybridDD_Value"),"Data!$BI$1:$BI$5")</f>
        <v>Data!$BI$1:$BI$5</v>
      </c>
      <c r="CG28" s="104" t="str">
        <f t="shared" ref="CG28" si="455">IF($E28="H",IF($F27="Hybrid - Thrust + 2 connections","Data!$BI$1:$BI$5","HybridDD_Value"),"Data!$BI$1:$BI$5")</f>
        <v>Data!$BI$1:$BI$5</v>
      </c>
      <c r="CH28" s="104" t="str">
        <f t="shared" ref="CH28" si="456">IF($E28="H",IF($F27="Hybrid - Thrust + 2 connections","Data!$BI$1:$BI$5","HybridDD_Value"),"Data!$BI$1:$BI$5")</f>
        <v>Data!$BI$1:$BI$5</v>
      </c>
      <c r="CI28" s="104" t="str">
        <f t="shared" ref="CI28" si="457">IF($E28="H",IF($F27="Hybrid - Thrust + 2 connections","Data!$BI$1:$BI$5","HybridDD_Value"),"Data!$BI$1:$BI$5")</f>
        <v>Data!$BI$1:$BI$5</v>
      </c>
      <c r="CJ28" s="104" t="str">
        <f t="shared" ref="CJ28" si="458">IF($E28="H",IF($F27="Hybrid - Thrust + 2 connections","Data!$BI$1:$BI$5","HybridDD_Value"),"Data!$BI$1:$BI$5")</f>
        <v>Data!$BI$1:$BI$5</v>
      </c>
      <c r="CK28" s="104" t="str">
        <f t="shared" ref="CK28" si="459">IF($E28="H",IF($F27="Hybrid - Thrust + 2 connections","Data!$BI$1:$BI$5","HybridDD_Value"),"Data!$BI$1:$BI$5")</f>
        <v>Data!$BI$1:$BI$5</v>
      </c>
      <c r="CL28" s="104" t="str">
        <f t="shared" ref="CL28" si="460">IF($E28="H",IF($F27="Hybrid - Thrust + 2 connections","Data!$BI$1:$BI$5","HybridDD_Value"),"Data!$BI$1:$BI$5")</f>
        <v>Data!$BI$1:$BI$5</v>
      </c>
      <c r="CM28" s="115"/>
      <c r="CN28" s="115"/>
      <c r="CO28" s="116" t="str">
        <f>IFERROR(IF(AND($BV$6="T",$BV$8="T",LEFT(F27,4)="Acro",AO28&gt;3),"X",IF($N$7="X",IF(AND(E28="C",AO28&gt;$CN$6),"X",IF(AND(E28="A",AO28&gt;$CN$4),"X",IF(AND(E28="B",AO28&gt;$CN$5),"X",IF(AND(E28="P",AO28&gt;$CN$7),"X","")))),"")),"")</f>
        <v/>
      </c>
      <c r="CP28" s="108"/>
      <c r="CQ28" s="105"/>
      <c r="CS28" s="105"/>
      <c r="CT28" s="105"/>
      <c r="CU28" s="105"/>
      <c r="CV28" s="105"/>
      <c r="CW28" s="105"/>
      <c r="CX28" s="105"/>
      <c r="CY28" s="105"/>
      <c r="CZ28" s="105"/>
      <c r="DD28" s="102" t="str">
        <f t="shared" si="10"/>
        <v/>
      </c>
      <c r="DE28" s="102" t="str">
        <f t="shared" si="11"/>
        <v/>
      </c>
      <c r="DF28" s="102" t="str">
        <f t="shared" si="12"/>
        <v/>
      </c>
      <c r="DG28" s="102" t="str">
        <f t="shared" si="13"/>
        <v/>
      </c>
      <c r="DO28" s="102">
        <v>10</v>
      </c>
      <c r="ED28" s="102" t="str">
        <f t="shared" si="14"/>
        <v/>
      </c>
      <c r="EE28" s="102" t="str">
        <f t="shared" si="15"/>
        <v/>
      </c>
      <c r="EI28" s="102" t="str" cm="1">
        <f t="array" ref="EI28">IFERROR(INDEX(EK28:FN28,MATCH(TRUE,INDEX((EK28:FN28&lt;&gt;""),),0)),"")</f>
        <v/>
      </c>
      <c r="EK28" s="102" t="str">
        <f t="shared" ref="EK28:EZ28" si="461">IF(F27="Hybrid - Thrust + 2 connections",IF(COUNTIF($EK27:$FD27,EK27)&gt;1,EK27,""),IF(COUNTIF($EK27:$FD27,EK27)&gt;5,EK27,""))</f>
        <v/>
      </c>
      <c r="EL28" s="102" t="str">
        <f t="shared" si="461"/>
        <v/>
      </c>
      <c r="EM28" s="102" t="str">
        <f t="shared" si="461"/>
        <v/>
      </c>
      <c r="EN28" s="102" t="str">
        <f t="shared" si="461"/>
        <v/>
      </c>
      <c r="EO28" s="102" t="str">
        <f t="shared" si="461"/>
        <v/>
      </c>
      <c r="EP28" s="102" t="str">
        <f t="shared" si="461"/>
        <v/>
      </c>
      <c r="EQ28" s="102" t="str">
        <f t="shared" si="461"/>
        <v/>
      </c>
      <c r="ER28" s="102" t="str">
        <f t="shared" si="461"/>
        <v/>
      </c>
      <c r="ES28" s="102" t="str">
        <f t="shared" si="461"/>
        <v/>
      </c>
      <c r="ET28" s="102" t="str">
        <f t="shared" si="461"/>
        <v/>
      </c>
      <c r="EU28" s="102" t="str">
        <f t="shared" si="461"/>
        <v/>
      </c>
      <c r="EV28" s="102" t="str">
        <f t="shared" si="461"/>
        <v/>
      </c>
      <c r="EW28" s="102" t="str">
        <f t="shared" si="461"/>
        <v/>
      </c>
      <c r="EX28" s="102" t="str">
        <f t="shared" si="461"/>
        <v/>
      </c>
      <c r="EY28" s="102" t="str">
        <f t="shared" si="461"/>
        <v/>
      </c>
      <c r="EZ28" s="102" t="str">
        <f t="shared" si="461"/>
        <v/>
      </c>
      <c r="FA28" s="102" t="str">
        <f t="shared" ref="FA28" si="462">IF(V27="Hybrid - Thrust + 2 connections",IF(COUNTIF($EK27:$FD27,FA27)&gt;1,FA27,""),IF(COUNTIF($EK27:$FD27,FA27)&gt;5,FA27,""))</f>
        <v/>
      </c>
      <c r="FB28" s="102" t="str">
        <f t="shared" ref="FB28" si="463">IF(W27="Hybrid - Thrust + 2 connections",IF(COUNTIF($EK27:$FD27,FB27)&gt;1,FB27,""),IF(COUNTIF($EK27:$FD27,FB27)&gt;5,FB27,""))</f>
        <v/>
      </c>
      <c r="FC28" s="102" t="str">
        <f t="shared" ref="FC28" si="464">IF(X27="Hybrid - Thrust + 2 connections",IF(COUNTIF($EK27:$FD27,FC27)&gt;1,FC27,""),IF(COUNTIF($EK27:$FD27,FC27)&gt;5,FC27,""))</f>
        <v/>
      </c>
      <c r="FD28" s="102" t="str">
        <f t="shared" ref="FD28" si="465">IF(Y27="Hybrid - Thrust + 2 connections",IF(COUNTIF($EK27:$FD27,FD27)&gt;1,FD27,""),IF(COUNTIF($EK27:$FD27,FD27)&gt;5,FD27,""))</f>
        <v/>
      </c>
      <c r="FE28" s="102" t="str">
        <f t="shared" ref="FE28" si="466">IF(Z27="Hybrid - Thrust + 2 connections",IF(COUNTIF($EK27:$FD27,FE27)&gt;1,FE27,""),IF(COUNTIF($EK27:$FD27,FE27)&gt;5,FE27,""))</f>
        <v/>
      </c>
      <c r="FF28" s="102" t="str">
        <f t="shared" ref="FF28" si="467">IF(AA27="Hybrid - Thrust + 2 connections",IF(COUNTIF($EK27:$FD27,FF27)&gt;1,FF27,""),IF(COUNTIF($EK27:$FD27,FF27)&gt;5,FF27,""))</f>
        <v/>
      </c>
      <c r="FG28" s="102" t="str">
        <f t="shared" ref="FG28" si="468">IF(AB27="Hybrid - Thrust + 2 connections",IF(COUNTIF($EK27:$FD27,FG27)&gt;1,FG27,""),IF(COUNTIF($EK27:$FD27,FG27)&gt;5,FG27,""))</f>
        <v/>
      </c>
      <c r="FH28" s="102" t="str">
        <f t="shared" ref="FH28" si="469">IF(AC27="Hybrid - Thrust + 2 connections",IF(COUNTIF($EK27:$FD27,FH27)&gt;1,FH27,""),IF(COUNTIF($EK27:$FD27,FH27)&gt;5,FH27,""))</f>
        <v/>
      </c>
      <c r="FI28" s="102" t="str">
        <f t="shared" ref="FI28" si="470">IF(AD27="Hybrid - Thrust + 2 connections",IF(COUNTIF($EK27:$FD27,FI27)&gt;1,FI27,""),IF(COUNTIF($EK27:$FD27,FI27)&gt;5,FI27,""))</f>
        <v/>
      </c>
      <c r="FJ28" s="102" t="str">
        <f t="shared" ref="FJ28" si="471">IF(AE27="Hybrid - Thrust + 2 connections",IF(COUNTIF($EK27:$FD27,FJ27)&gt;1,FJ27,""),IF(COUNTIF($EK27:$FD27,FJ27)&gt;5,FJ27,""))</f>
        <v/>
      </c>
      <c r="FK28" s="102" t="str">
        <f t="shared" ref="FK28" si="472">IF(AF27="Hybrid - Thrust + 2 connections",IF(COUNTIF($EK27:$FD27,FK27)&gt;1,FK27,""),IF(COUNTIF($EK27:$FD27,FK27)&gt;5,FK27,""))</f>
        <v/>
      </c>
      <c r="FL28" s="102" t="str">
        <f t="shared" ref="FL28" si="473">IF(AG27="Hybrid - Thrust + 2 connections",IF(COUNTIF($EK27:$FD27,FL27)&gt;1,FL27,""),IF(COUNTIF($EK27:$FD27,FL27)&gt;5,FL27,""))</f>
        <v/>
      </c>
      <c r="FM28" s="102" t="str">
        <f t="shared" ref="FM28" si="474">IF(AH27="Hybrid - Thrust + 2 connections",IF(COUNTIF($EK27:$FD27,FM27)&gt;1,FM27,""),IF(COUNTIF($EK27:$FD27,FM27)&gt;5,FM27,""))</f>
        <v/>
      </c>
      <c r="FN28" s="102" t="str">
        <f t="shared" ref="FN28" si="475">IF(AI27="Hybrid - Thrust + 2 connections",IF(COUNTIF($EK27:$FD27,FN27)&gt;1,FN27,""),IF(COUNTIF($EK27:$FD27,FN27)&gt;5,FN27,""))</f>
        <v/>
      </c>
      <c r="FO28" s="102">
        <f t="shared" ref="FO28" si="476">FO26+5</f>
        <v>20</v>
      </c>
      <c r="FP28" s="102" t="str">
        <f t="shared" ref="FP28" ca="1" si="477">OFFSET($FP$75,FO28,0)</f>
        <v/>
      </c>
      <c r="FQ28" s="102" t="str">
        <f t="shared" ref="FQ28" ca="1" si="478">OFFSET($FQ$75,FO28,0)</f>
        <v/>
      </c>
      <c r="FR28" s="282"/>
      <c r="FS28" s="282"/>
      <c r="FT28" s="282"/>
      <c r="FU28" s="282"/>
      <c r="FV28" s="282"/>
      <c r="FW28" s="282"/>
      <c r="FX28" s="282"/>
      <c r="FY28" s="282"/>
      <c r="FZ28" s="282"/>
      <c r="GA28" s="282"/>
      <c r="GB28" s="282"/>
      <c r="GC28" s="282"/>
      <c r="GD28" s="282"/>
      <c r="GE28" s="282"/>
      <c r="GF28" s="282"/>
      <c r="GG28" s="282"/>
      <c r="GH28" s="282"/>
      <c r="GI28" s="282"/>
      <c r="GJ28" s="282"/>
      <c r="GK28" s="282"/>
      <c r="GL28" s="282"/>
      <c r="GM28" s="282"/>
      <c r="GN28" s="282"/>
      <c r="GO28" s="282"/>
      <c r="GP28" s="282"/>
      <c r="GQ28" s="282"/>
      <c r="GR28" s="282"/>
      <c r="GS28" s="282"/>
      <c r="GT28" s="282"/>
      <c r="GU28" s="282"/>
      <c r="GV28" s="102"/>
      <c r="GW28" s="102"/>
      <c r="GX28" s="102"/>
      <c r="GY28" s="102"/>
      <c r="GZ28" s="102"/>
      <c r="HA28" s="102"/>
      <c r="HB28" s="102"/>
      <c r="HC28" s="102"/>
      <c r="HD28" s="102" t="str">
        <f>IF($F27="Hybrid - Thrust + 2 connections",COUNTBLANK(J27:L27),"")</f>
        <v/>
      </c>
      <c r="HE28" s="102"/>
      <c r="HF28" s="105"/>
      <c r="HG28" s="105"/>
      <c r="HH28" s="105"/>
      <c r="HI28" s="105"/>
    </row>
    <row r="29" spans="1:222" x14ac:dyDescent="0.25">
      <c r="A29" s="39" t="str">
        <f>IF(AND(E27="",A27&lt;&gt;""),IF(CP27=$CP$18,"",IF(C27&lt;&gt;"",IF(D27=59,MINUTE(CP27)+1,MINUTE(CP27)),"")),"")</f>
        <v/>
      </c>
      <c r="B29" s="40" t="str">
        <f>IF(AND(E27="",B27&lt;&gt;""),IF(CP27=$CP$18,"",IF(C27&lt;&gt;"",IF(D27=59,0,SECOND(CP27)+1),"")),"")</f>
        <v/>
      </c>
      <c r="C29" s="50"/>
      <c r="D29" s="50"/>
      <c r="E29" s="9"/>
      <c r="F29" s="51"/>
      <c r="G29" s="42" t="str">
        <f>IF(F29&lt;&gt;"",IF(OR(F29="Transition",F29="Transition - Surface Connection"),0,MAX($G$19:G28)+1),"")</f>
        <v/>
      </c>
      <c r="H29" s="56" t="str">
        <f t="shared" ref="H29" si="479">IFERROR(IF(E30="3","",IF(OR(F29="Hybrid - min 4 swimmers (no DD)",LEFT(F29,5)="Trans"),"No DD",CONCATENATE("BM = ",I30))),"")</f>
        <v/>
      </c>
      <c r="I29" s="57"/>
      <c r="J29" s="124"/>
      <c r="K29" s="129"/>
      <c r="L29" s="129"/>
      <c r="M29" s="129"/>
      <c r="N29" s="129"/>
      <c r="O29" s="129"/>
      <c r="P29" s="129"/>
      <c r="Q29" s="129"/>
      <c r="R29" s="129"/>
      <c r="S29" s="129"/>
      <c r="T29" s="129"/>
      <c r="U29" s="129"/>
      <c r="V29" s="129"/>
      <c r="W29" s="129"/>
      <c r="X29" s="129"/>
      <c r="Y29" s="129"/>
      <c r="Z29" s="129"/>
      <c r="AA29" s="129"/>
      <c r="AB29" s="129"/>
      <c r="AC29" s="129"/>
      <c r="AD29" s="129"/>
      <c r="AE29" s="129"/>
      <c r="AF29" s="129"/>
      <c r="AG29" s="129"/>
      <c r="AH29" s="129"/>
      <c r="AI29" s="129"/>
      <c r="AJ29" s="129"/>
      <c r="AK29" s="129"/>
      <c r="AL29" s="129"/>
      <c r="AM29" s="129"/>
      <c r="AN29" s="179"/>
      <c r="AO29" s="43"/>
      <c r="AP29" s="74"/>
      <c r="AQ29" s="74"/>
      <c r="AR29" s="104"/>
      <c r="AS29" s="104"/>
      <c r="AT29" s="104"/>
      <c r="AU29" s="104"/>
      <c r="AV29" s="104"/>
      <c r="AW29" s="105" t="str">
        <f t="shared" ref="AW29" si="480">E30</f>
        <v/>
      </c>
      <c r="AX29" s="108" t="str">
        <f t="shared" ref="AX29" si="481">IF(AY29=0,"",TIME(0,A29,B29))</f>
        <v/>
      </c>
      <c r="AY29" s="108">
        <f t="shared" ref="AY29" si="482">TIME(0,C29,D29)</f>
        <v>0</v>
      </c>
      <c r="AZ29" s="108" t="str">
        <f t="shared" ref="AZ29" si="483">IFERROR(AY29-AX29,"")</f>
        <v/>
      </c>
      <c r="BA29" s="276" t="str">
        <f t="shared" ref="BA29" si="484">IF($AX$17=0,"",IF(AND($C$10&lt;&gt;"",AW29="H",AZ29&gt;$AX$17),"X",""))</f>
        <v/>
      </c>
      <c r="BB29" s="104"/>
      <c r="BC29" s="104"/>
      <c r="BD29" s="104"/>
      <c r="BE29" s="104"/>
      <c r="BF29" s="104"/>
      <c r="BG29" s="104" t="str">
        <f>IFERROR(IF(F29&lt;&gt;"",INDEX(Parts_Active,MATCH(F29,Parts_Active,0)),""),"No")</f>
        <v/>
      </c>
      <c r="BH29" s="104"/>
      <c r="BI29" s="104" t="str">
        <f t="shared" ref="BI29" si="485">IF($E30="H",IF($F29="Hybrid - Thrust + 2 connections","Hybrid_Mix_Req",IF($F29="Hybrid - min 4 swimmers (no DD)","Hybrid_ChoHY","HybridDD_Code")),IF($E30=3,"TreDD_Code",IF($E30="PA","AcroPair_Code",IF(LEFT($F29,4)="Acro",CONCATENATE(BI$16,$E30,"_Code"),"Data!$BI$1:$BI$5"))))</f>
        <v>Data!$BI$1:$BI$5</v>
      </c>
      <c r="BJ29" s="104" t="str">
        <f t="shared" ref="BJ29" si="486">IF($E30="H",IF($F29="Hybrid - Thrust + 2 connections","Hybrid_Mix_Req",IF($F29="Hybrid - min 4 swimmers (no DD)","Data!$BI$1:$BI$5","HybridDD_Code")),IF($E30=3,"TreDD_Code",IF($E30="PA","AcroPair_Code",IF(LEFT($F29,4)="Acro",CONCATENATE(BJ$16,$E30,"_Code"),"Data!$BI$1:$BI$5"))))</f>
        <v>Data!$BI$1:$BI$5</v>
      </c>
      <c r="BK29" s="104" t="str">
        <f t="shared" si="6"/>
        <v>Data!$BI$1:$BI$5</v>
      </c>
      <c r="BL29" s="104" t="str">
        <f t="shared" si="6"/>
        <v>Data!$BI$1:$BI$5</v>
      </c>
      <c r="BM29" s="104" t="str">
        <f t="shared" si="6"/>
        <v>Data!$BI$1:$BI$5</v>
      </c>
      <c r="BN29" s="104" t="str">
        <f t="shared" si="6"/>
        <v>Data!$BI$1:$BI$5</v>
      </c>
      <c r="BO29" s="104" t="str">
        <f t="shared" si="6"/>
        <v>Data!$BI$1:$BI$5</v>
      </c>
      <c r="BP29" s="104" t="str">
        <f t="shared" si="6"/>
        <v>Data!$BI$1:$BI$5</v>
      </c>
      <c r="BQ29" s="104" t="str">
        <f t="shared" si="6"/>
        <v>Data!$BI$1:$BI$5</v>
      </c>
      <c r="BR29" s="104" t="str">
        <f t="shared" ref="BR29" si="487">IF($E30="H",IF($F29="Hybrid - Thrust + 2 connections","Data!$BI$1:$BI$5","HybridDD_Code"),"Data!$BI$1:$BI$5")</f>
        <v>Data!$BI$1:$BI$5</v>
      </c>
      <c r="BS29" s="104" t="str">
        <f t="shared" si="369"/>
        <v>Data!$BI$1:$BI$5</v>
      </c>
      <c r="BT29" s="104" t="str">
        <f t="shared" si="369"/>
        <v>Data!$BI$1:$BI$5</v>
      </c>
      <c r="BU29" s="104" t="str">
        <f t="shared" si="369"/>
        <v>Data!$BI$1:$BI$5</v>
      </c>
      <c r="BV29" s="104" t="str">
        <f t="shared" si="369"/>
        <v>Data!$BI$1:$BI$5</v>
      </c>
      <c r="BW29" s="104" t="str">
        <f t="shared" si="369"/>
        <v>Data!$BI$1:$BI$5</v>
      </c>
      <c r="BX29" s="104" t="str">
        <f t="shared" si="369"/>
        <v>Data!$BI$1:$BI$5</v>
      </c>
      <c r="BY29" s="104" t="str">
        <f t="shared" si="369"/>
        <v>Data!$BI$1:$BI$5</v>
      </c>
      <c r="BZ29" s="104" t="str">
        <f t="shared" si="369"/>
        <v>Data!$BI$1:$BI$5</v>
      </c>
      <c r="CA29" s="104" t="str">
        <f t="shared" si="369"/>
        <v>Data!$BI$1:$BI$5</v>
      </c>
      <c r="CB29" s="104" t="str">
        <f t="shared" si="369"/>
        <v>Data!$BI$1:$BI$5</v>
      </c>
      <c r="CC29" s="104" t="str">
        <f t="shared" si="369"/>
        <v>Data!$BI$1:$BI$5</v>
      </c>
      <c r="CD29" s="104" t="str">
        <f t="shared" si="369"/>
        <v>Data!$BI$1:$BI$5</v>
      </c>
      <c r="CE29" s="104" t="str">
        <f t="shared" si="369"/>
        <v>Data!$BI$1:$BI$5</v>
      </c>
      <c r="CF29" s="104" t="str">
        <f t="shared" si="369"/>
        <v>Data!$BI$1:$BI$5</v>
      </c>
      <c r="CG29" s="104" t="str">
        <f t="shared" si="369"/>
        <v>Data!$BI$1:$BI$5</v>
      </c>
      <c r="CH29" s="104" t="str">
        <f t="shared" si="369"/>
        <v>Data!$BI$1:$BI$5</v>
      </c>
      <c r="CI29" s="104" t="str">
        <f t="shared" si="8"/>
        <v>Data!$BI$1:$BI$5</v>
      </c>
      <c r="CJ29" s="104" t="str">
        <f t="shared" si="8"/>
        <v>Data!$BI$1:$BI$5</v>
      </c>
      <c r="CK29" s="104" t="str">
        <f t="shared" si="8"/>
        <v>Data!$BI$1:$BI$5</v>
      </c>
      <c r="CL29" s="104" t="str">
        <f t="shared" si="8"/>
        <v>Data!$BI$1:$BI$5</v>
      </c>
      <c r="CM29" s="104"/>
      <c r="CN29" s="104"/>
      <c r="CO29" s="107" t="str">
        <f>IFERROR(TIME(0,A29,B29),"")</f>
        <v/>
      </c>
      <c r="CP29" s="108">
        <f>IFERROR(TIME(0,C29,D29),"")</f>
        <v>0</v>
      </c>
      <c r="CQ29" s="108" t="str">
        <f t="shared" ref="CQ29" si="488">IF(CP29&gt;$D$12,"X","")</f>
        <v/>
      </c>
      <c r="CR29" s="102" t="str">
        <f>IF(AND(F29="Hybrid - Thrust + 2 connections",OR(LEFT(J29,1)="T",LEFT(K29,1)="T",LEFT(L29,1)="T",LEFT(PB29,1)="T",LEFT(M29,1)="T",LEFT(N29,1)="T",LEFT(O29,1)="T",LEFT(P29,1)="T",LEFT(Q29,1)="T",LEFT(R29,1)="T",LEFT(S29,1)="T",LEFT(T29,1)="T",LEFT(U29,1)="T",LEFT(V29,1)="T",LEFT(W29,1)="T",LEFT(X29,1)="T",LEFT(AK29,1)="T",LEFT(AL29,1)="T",LEFT(AM29,1)="T")),IF(OR(LEN(J29)=2,LEN(K29)=2,LEN(L29)=2,LEN(M29)=2,LEN(N29)=2,LEN(O29)=2,LEN(P29)=2,LEN(Q29)=2,LEN(R29)=2,LEN(S29)=2,LEN(T29)=2,LEN(U29)=2,LEN(V29)=2,LEN(W29)=2,LEN(X29)=2,LEN(Y29)=2,LEN(Z29)=2,LEN(AK29)=2,LEN(AL29)=2,LEN(AM29)=2),"X",""),"")</f>
        <v/>
      </c>
      <c r="CS29" s="105"/>
      <c r="CT29" s="102" t="str">
        <f>IF(LEFT(F29,4)="Acro",IF(AND(N29&lt;&gt;"",M29=RIGHT(N29,2)),"X","OK"),"")</f>
        <v/>
      </c>
      <c r="CU29" s="104" t="str">
        <f t="shared" ref="CU29:DB29" si="489">IFERROR(IF(AND(LEFT($F29,4)="Acro",INDEX(Requ_App,MATCH(BI29,Requ_Code,0))="No"),"X",""),"")</f>
        <v/>
      </c>
      <c r="CV29" s="104" t="str">
        <f t="shared" si="489"/>
        <v/>
      </c>
      <c r="CW29" s="104" t="str">
        <f t="shared" si="489"/>
        <v/>
      </c>
      <c r="CX29" s="104" t="str">
        <f t="shared" si="489"/>
        <v/>
      </c>
      <c r="CY29" s="104" t="str">
        <f t="shared" si="489"/>
        <v/>
      </c>
      <c r="CZ29" s="104" t="str">
        <f t="shared" si="489"/>
        <v/>
      </c>
      <c r="DA29" s="104" t="str">
        <f t="shared" si="489"/>
        <v/>
      </c>
      <c r="DB29" s="104" t="str">
        <f t="shared" si="489"/>
        <v/>
      </c>
      <c r="DC29" s="104" t="str">
        <f>IFERROR(IF(AND(LEFT($F29,4)="Acro",INDEX(Requ_App,MATCH(BP29,Requ_Code,0))="No"),"X",""),"")</f>
        <v/>
      </c>
      <c r="DD29" s="102" t="str">
        <f t="shared" si="10"/>
        <v/>
      </c>
      <c r="DE29" s="102" t="str">
        <f t="shared" si="11"/>
        <v/>
      </c>
      <c r="DF29" s="102" t="str">
        <f t="shared" si="12"/>
        <v/>
      </c>
      <c r="DG29" s="102" t="str">
        <f t="shared" si="13"/>
        <v/>
      </c>
      <c r="DK29" s="102">
        <f t="shared" ref="DK29" si="490">IF(AND(E30="A",OR(Q29="Grip",Q29="Conn",Q29="Catch")),"A1",IF(AND(E30="A",OR(Q29="Hula",Q29="RetSq",Q29="RetPa")),"A2",IF(AND(E30="B",OR(Q29="Twirl",Q29="RotF")),"B1",IF(AND(E30="B",OR(Q29="Moon",Q29="Mov",Q29="Hold")),"B2",IF(AND(E30="P",OR(Q29="Porp",Q29="Splch")),"P1",IF(AND(E30="P",OR(Q29="Diva",Q29="Stand")),"P2",IF(AND(E30="P",OR(Q29="Spider",Q29="Climb")),"P3",IF(AND(E30="P",OR(Q29="Fall",Q29="FTurn")),"P4",IF(AND(E30="C",OR(Q29="Jump",Q29="Jump&gt;",Q29="On1Foot",Q29="1F&gt;1F")),"C1",IF(AND(E30="C",OR(Q29="Run",Q29="BRun")),"C2",1))))))))))</f>
        <v>1</v>
      </c>
      <c r="DL29" s="102">
        <f t="shared" ref="DL29" si="491">IF(AND(E30="A",OR(R29="Grip",R29="Conn",R29="Catch")),"A1",IF(AND(E30="A",OR(R29="Hula",R29="RetSq",R29="RetPa")),"A2",IF(AND(E30="B",OR(R29="Twirl",R29="RotF")),"B1",IF(AND(E30="B",OR(R29="Moon",R29="Mov",R29="Hold")),"B2",IF(AND(E30="P",OR(R29="Porp",R29="Spich")),"P1",IF(AND(E30="P",OR(R29="Diva",R29="Stand")),"P2",IF(AND(E30="P",OR(R29="Spider",R29="Climb")),"P3",IF(AND(E30="P",OR(R29="Fall",R29="FTurn")),"P4",IF(AND(E30="C",OR(R29="Jump",R29="Jump&gt;",R29="On1Foot",R29="1F&gt;1F")),"C1",IF(AND(E30="C",OR(R29="Run",R29="BRun")),"C2",2))))))))))</f>
        <v>2</v>
      </c>
      <c r="DM29" s="102" t="str">
        <f>IF(AND(LEFT(F29,4)="Acro",Q29&lt;&gt;"",OR(Q29=R29,DK29=DL29)),IF(R29="C-Roll","","X"),IF(OR(AND(E30="A",Q29="Catch",R29&lt;&gt;"Dbl"),AND(E30="A",R29="Catch",Q29&lt;&gt;"Dbl")),"X",""))</f>
        <v/>
      </c>
      <c r="DN29" s="102" t="str">
        <f>IF(E30="PA",J29,"")</f>
        <v/>
      </c>
      <c r="DO29" s="102">
        <v>11</v>
      </c>
      <c r="DQ29" s="102" t="str">
        <f>IF(AND($E30="A",COUNTIF($DZ$19:$EA$68,DZ29)&gt;1),DZ29,"")</f>
        <v/>
      </c>
      <c r="DR29" s="102" t="str">
        <f>IF(AND($E30="A",COUNTIF($DZ$19:$EA$68,EA29)&gt;1),EA29,"")</f>
        <v/>
      </c>
      <c r="DS29" s="102" t="str">
        <f ca="1">IF(AND($E30="B",COUNTIF($J$19:$J$68,J29)&gt;1),J29,"")</f>
        <v/>
      </c>
      <c r="DT29" s="102" t="str">
        <f ca="1">IF(AND($E30="B",COUNTIF($K$19:$K$68,K29)&gt;1),K29,"")</f>
        <v/>
      </c>
      <c r="DU29" s="102" t="str">
        <f ca="1">IF(AND($E30="C",COUNTIF($J$19:$J$68,J29)&gt;1),J29,"")</f>
        <v/>
      </c>
      <c r="DV29" s="102" t="str">
        <f ca="1">IF(AND($E30="P",COUNTIF($J$19:$J$68,J29)&gt;1),J29,"")</f>
        <v/>
      </c>
      <c r="DW29" s="102" t="str">
        <f ca="1">IF(AND($E30="P",COUNTIF($K$19:$K$68,K29)&gt;1),K29,"")</f>
        <v/>
      </c>
      <c r="DX29" s="102" t="str">
        <f>IF(AND($E30="P",COUNTIF($DZ$19:$EA$68,DZ29)&gt;1),DZ29,"")</f>
        <v/>
      </c>
      <c r="DY29" s="102" t="str">
        <f>IF(AND($E30="P",COUNTIF($DZ$19:$EA$68,EA29)&gt;1),EA29,"")</f>
        <v/>
      </c>
      <c r="DZ29" s="102" t="str">
        <f>IFERROR(IF(OR(E30="A",E30="P"),M29,""),"")</f>
        <v/>
      </c>
      <c r="EA29" s="102" t="str">
        <f>IFERROR(IF(OR(E30="A",E30="P"),RIGHT(N29,2),""),"")</f>
        <v/>
      </c>
      <c r="EB29" s="102" t="str">
        <f t="shared" ref="EB29" si="492">IF(Q29="","",IF(AND($E30="P",COUNTIF($Q$19:$R$68,Q29)&gt;1),Q29,""))</f>
        <v/>
      </c>
      <c r="EC29" s="102" t="str">
        <f t="shared" ref="EC29" si="493">IF(R29="","",IF(AND($E30="P",COUNTIF($Q$19:$R$68,R29)&gt;1),R29,""))</f>
        <v/>
      </c>
      <c r="ED29" s="102" t="str">
        <f t="shared" si="14"/>
        <v/>
      </c>
      <c r="EE29" s="102" t="str">
        <f t="shared" si="15"/>
        <v/>
      </c>
      <c r="EF29" s="102" t="str">
        <f>IF(AND($F$8="Open Team Acrobatic",LEFT(F29,4)="Acro"),E30,"")</f>
        <v/>
      </c>
      <c r="EG29" s="102" t="str">
        <f t="shared" ref="EG29" si="494">IFERROR(IF(HLOOKUP(EF29,$DQ$12:$DT$13,2,FALSE)&gt;2,"X",""),"")</f>
        <v/>
      </c>
      <c r="EI29" s="102" t="str">
        <f t="shared" ref="EI29" si="495">IF(OR(AND(F29="Hybrid - Thrust + 2 connections",EI30="T"),AND(E30="H",EI30&lt;&gt;"",EI83="X")),"X","")</f>
        <v/>
      </c>
      <c r="EK29" s="102">
        <f t="shared" ref="EK29" si="496">IFERROR(IF(AND($E30="H",J29&lt;&gt;"",J29&lt;&gt;"ChoHY"),IF(OR(LEFT(J29,1)="T",LEFT(J29,1)="S",LEFT(J29,1)="A",LEFT(J29,1)="F",LEFT(J29,1)="C"),LEFT(J29,1),"R"),EK$18),"")</f>
        <v>1</v>
      </c>
      <c r="EL29" s="102">
        <f t="shared" ref="EL29:EZ29" si="497">IFERROR(IF(AND($E30="H",K29&lt;&gt;""),IF(OR(LEFT(K29,1)="T",LEFT(K29,1)="S",LEFT(K29,1)="A",LEFT(K29,1)="F",LEFT(K29,1)="C"),LEFT(K29,1),"R"),EL$18),"")</f>
        <v>2</v>
      </c>
      <c r="EM29" s="102">
        <f t="shared" si="497"/>
        <v>3</v>
      </c>
      <c r="EN29" s="102">
        <f t="shared" si="497"/>
        <v>4</v>
      </c>
      <c r="EO29" s="102">
        <f t="shared" si="497"/>
        <v>5</v>
      </c>
      <c r="EP29" s="102">
        <f t="shared" si="497"/>
        <v>6</v>
      </c>
      <c r="EQ29" s="102">
        <f t="shared" si="497"/>
        <v>7</v>
      </c>
      <c r="ER29" s="102">
        <f t="shared" si="497"/>
        <v>8</v>
      </c>
      <c r="ES29" s="102">
        <f t="shared" si="497"/>
        <v>9</v>
      </c>
      <c r="ET29" s="102">
        <f t="shared" si="497"/>
        <v>10</v>
      </c>
      <c r="EU29" s="102">
        <f t="shared" si="497"/>
        <v>11</v>
      </c>
      <c r="EV29" s="102">
        <f t="shared" si="497"/>
        <v>12</v>
      </c>
      <c r="EW29" s="102">
        <f t="shared" si="497"/>
        <v>13</v>
      </c>
      <c r="EX29" s="102">
        <f t="shared" si="497"/>
        <v>14</v>
      </c>
      <c r="EY29" s="102">
        <f t="shared" si="497"/>
        <v>15</v>
      </c>
      <c r="EZ29" s="102">
        <f t="shared" si="497"/>
        <v>16</v>
      </c>
      <c r="FA29" s="102">
        <f t="shared" ref="FA29" si="498">IFERROR(IF(AND($E30="H",Z29&lt;&gt;""),IF(OR(LEFT(Z29,1)="T",LEFT(Z29,1)="S",LEFT(Z29,1)="A",LEFT(Z29,1)="F",LEFT(Z29,1)="C"),LEFT(Z29,1),"R"),FA$18),"")</f>
        <v>17</v>
      </c>
      <c r="FB29" s="102">
        <f t="shared" ref="FB29" si="499">IFERROR(IF(AND($E30="H",AA29&lt;&gt;""),IF(OR(LEFT(AA29,1)="T",LEFT(AA29,1)="S",LEFT(AA29,1)="A",LEFT(AA29,1)="F",LEFT(AA29,1)="C"),LEFT(AA29,1),"R"),FB$18),"")</f>
        <v>18</v>
      </c>
      <c r="FC29" s="102">
        <f t="shared" ref="FC29" si="500">IFERROR(IF(AND($E30="H",AB29&lt;&gt;""),IF(OR(LEFT(AB29,1)="T",LEFT(AB29,1)="S",LEFT(AB29,1)="A",LEFT(AB29,1)="F",LEFT(AB29,1)="C"),LEFT(AB29,1),"R"),FC$18),"")</f>
        <v>19</v>
      </c>
      <c r="FD29" s="102">
        <f t="shared" ref="FD29" si="501">IFERROR(IF(AND($E30="H",AC29&lt;&gt;""),IF(OR(LEFT(AC29,1)="T",LEFT(AC29,1)="S",LEFT(AC29,1)="A",LEFT(AC29,1)="F",LEFT(AC29,1)="C"),LEFT(AC29,1),"R"),FD$18),"")</f>
        <v>20</v>
      </c>
      <c r="FE29" s="102">
        <f t="shared" ref="FE29" si="502">IFERROR(IF(AND($E30="H",AD29&lt;&gt;""),IF(OR(LEFT(AD29,1)="T",LEFT(AD29,1)="S",LEFT(AD29,1)="A",LEFT(AD29,1)="F",LEFT(AD29,1)="C"),LEFT(AD29,1),"R"),FE$18),"")</f>
        <v>21</v>
      </c>
      <c r="FF29" s="102">
        <f t="shared" ref="FF29" si="503">IFERROR(IF(AND($E30="H",AE29&lt;&gt;""),IF(OR(LEFT(AE29,1)="T",LEFT(AE29,1)="S",LEFT(AE29,1)="A",LEFT(AE29,1)="F",LEFT(AE29,1)="C"),LEFT(AE29,1),"R"),FF$18),"")</f>
        <v>22</v>
      </c>
      <c r="FG29" s="102">
        <f t="shared" ref="FG29" si="504">IFERROR(IF(AND($E30="H",AF29&lt;&gt;""),IF(OR(LEFT(AF29,1)="T",LEFT(AF29,1)="S",LEFT(AF29,1)="A",LEFT(AF29,1)="F",LEFT(AF29,1)="C"),LEFT(AF29,1),"R"),FG$18),"")</f>
        <v>23</v>
      </c>
      <c r="FH29" s="102">
        <f t="shared" ref="FH29" si="505">IFERROR(IF(AND($E30="H",AG29&lt;&gt;""),IF(OR(LEFT(AG29,1)="T",LEFT(AG29,1)="S",LEFT(AG29,1)="A",LEFT(AG29,1)="F",LEFT(AG29,1)="C"),LEFT(AG29,1),"R"),FH$18),"")</f>
        <v>24</v>
      </c>
      <c r="FI29" s="102">
        <f t="shared" ref="FI29" si="506">IFERROR(IF(AND($E30="H",AH29&lt;&gt;""),IF(OR(LEFT(AH29,1)="T",LEFT(AH29,1)="S",LEFT(AH29,1)="A",LEFT(AH29,1)="F",LEFT(AH29,1)="C"),LEFT(AH29,1),"R"),FI$18),"")</f>
        <v>25</v>
      </c>
      <c r="FJ29" s="102">
        <f t="shared" ref="FJ29" si="507">IFERROR(IF(AND($E30="H",AI29&lt;&gt;""),IF(OR(LEFT(AI29,1)="T",LEFT(AI29,1)="S",LEFT(AI29,1)="A",LEFT(AI29,1)="F",LEFT(AI29,1)="C"),LEFT(AI29,1),"R"),FJ$18),"")</f>
        <v>26</v>
      </c>
      <c r="FK29" s="102">
        <f t="shared" ref="FK29" si="508">IFERROR(IF(AND($E30="H",AJ29&lt;&gt;""),IF(OR(LEFT(AJ29,1)="T",LEFT(AJ29,1)="S",LEFT(AJ29,1)="A",LEFT(AJ29,1)="F",LEFT(AJ29,1)="C"),LEFT(AJ29,1),"R"),FK$18),"")</f>
        <v>27</v>
      </c>
      <c r="FL29" s="102">
        <f t="shared" ref="FL29" si="509">IFERROR(IF(AND($E30="H",AK29&lt;&gt;""),IF(OR(LEFT(AK29,1)="T",LEFT(AK29,1)="S",LEFT(AK29,1)="A",LEFT(AK29,1)="F",LEFT(AK29,1)="C"),LEFT(AK29,1),"R"),FL$18),"")</f>
        <v>28</v>
      </c>
      <c r="FM29" s="102">
        <f t="shared" ref="FM29" si="510">IFERROR(IF(AND($E30="H",AL29&lt;&gt;""),IF(OR(LEFT(AL29,1)="T",LEFT(AL29,1)="S",LEFT(AL29,1)="A",LEFT(AL29,1)="F",LEFT(AL29,1)="C"),LEFT(AL29,1),"R"),FM$18),"")</f>
        <v>29</v>
      </c>
      <c r="FN29" s="102">
        <f t="shared" ref="FN29" si="511">IFERROR(IF(AND($E30="H",AM29&lt;&gt;""),IF(OR(LEFT(AM29,1)="T",LEFT(AM29,1)="S",LEFT(AM29,1)="A",LEFT(AM29,1)="F",LEFT(AM29,1)="C"),LEFT(AM29,1),"R"),FN$18),"")</f>
        <v>30</v>
      </c>
      <c r="FO29" s="102"/>
      <c r="FP29" s="102"/>
      <c r="FQ29" s="102"/>
      <c r="FR29" s="282"/>
      <c r="FS29" s="282"/>
      <c r="FT29" s="282"/>
      <c r="FU29" s="282"/>
      <c r="FV29" s="282"/>
      <c r="FW29" s="282"/>
      <c r="FX29" s="282"/>
      <c r="FY29" s="282"/>
      <c r="FZ29" s="282"/>
      <c r="GA29" s="282"/>
      <c r="GB29" s="282"/>
      <c r="GC29" s="282"/>
      <c r="GD29" s="282"/>
      <c r="GE29" s="282"/>
      <c r="GF29" s="282"/>
      <c r="GG29" s="282"/>
      <c r="GH29" s="282"/>
      <c r="GI29" s="282"/>
      <c r="GJ29" s="282"/>
      <c r="GK29" s="282"/>
      <c r="GL29" s="282"/>
      <c r="GM29" s="282"/>
      <c r="GN29" s="282"/>
      <c r="GO29" s="282"/>
      <c r="GP29" s="282"/>
      <c r="GQ29" s="282"/>
      <c r="GR29" s="282"/>
      <c r="GS29" s="282"/>
      <c r="GT29" s="282"/>
      <c r="GU29" s="282"/>
      <c r="GV29" s="102"/>
      <c r="GW29" s="102">
        <f t="shared" ref="GW29" si="512">COUNTIF($EK29:$FN29,GW$18)</f>
        <v>0</v>
      </c>
      <c r="GX29" s="102">
        <f t="shared" si="29"/>
        <v>0</v>
      </c>
      <c r="GY29" s="102">
        <f t="shared" si="29"/>
        <v>0</v>
      </c>
      <c r="GZ29" s="102">
        <f t="shared" si="29"/>
        <v>0</v>
      </c>
      <c r="HA29" s="102">
        <f t="shared" si="29"/>
        <v>0</v>
      </c>
      <c r="HB29" s="102">
        <f t="shared" si="29"/>
        <v>0</v>
      </c>
      <c r="HC29" s="102"/>
      <c r="HD29" s="102" t="str">
        <f t="shared" ref="HD29" si="513">IF(AND($F29="Hybrid - Thrust + 2 connections",HD30=0,LEFT($J29,1)="C",LEFT($K29,1)="C",LEFT($L29,1)="C"),"X","")</f>
        <v/>
      </c>
      <c r="HE29" s="102"/>
      <c r="HF29" s="105"/>
      <c r="HG29" s="114"/>
      <c r="HH29" s="114"/>
      <c r="HI29" s="105" t="str">
        <f t="shared" ref="HI29" si="514">IF(E30=3,IF(_xlfn.NUMBERVALUE(LEFT(J29,1))&gt;0,_xlfn.NUMBERVALUE(LEFT(J29,1)),""),"")</f>
        <v/>
      </c>
      <c r="HK29" s="105" t="str">
        <f t="shared" ref="HK29" si="515">IF(OR(E30="B",E30="P"),E30,"")</f>
        <v/>
      </c>
      <c r="HL29" s="105" t="str">
        <f>IF(AND(J29&lt;&gt;"",HK29&lt;&gt;""),IF(HK29="B",MATCH(J29,AcroDD!$U$3:$AE$3,0),MATCH(J29,AcroDD!$U$30:$AC$30,0)),"")</f>
        <v/>
      </c>
      <c r="HM29" s="105" t="str">
        <f t="shared" ref="HM29" si="516">IF(AND(K29&lt;&gt;"",HK29&lt;&gt;""),K29,"")</f>
        <v/>
      </c>
      <c r="HN29" s="105" t="str">
        <f ca="1">IF(AND(OR(HK29="B",HK29="P"),HL29&lt;&gt;"",HM29&lt;&gt;""),IF(IFERROR(IF(HK29="B",MATCH(HM29,OFFSET(AcroDD!$T$4,0,HL29,20),0),MATCH(HM29,OFFSET(AcroDD!$T$31,0,HL29,20),0)),"")&lt;&gt;"","OK","X"),"")</f>
        <v/>
      </c>
    </row>
    <row r="30" spans="1:222" x14ac:dyDescent="0.25">
      <c r="A30" s="39"/>
      <c r="B30" s="40"/>
      <c r="C30" s="40"/>
      <c r="D30" s="40"/>
      <c r="E30" s="20" t="str">
        <f>IF(F29="Acrobatic - Pair","PA",IF(F29="Acrobatic Airborn","A",IF(F29="Acrobatic Balance","B",IF(F29="Acrobatic Combined","C",IF(F29="Acrobatic Platform","P",IF(F29="Technical Required Element",3,IF(LEFT(F29,4)="Hybr","H","")))))))</f>
        <v/>
      </c>
      <c r="F30" s="20" t="str">
        <f>IF(AND(F29="Hybrid - Thrust + 2 connections",CR29="X"),"Hybrid - Thrust",IF(OR(E30="A",E30="B",E30="C",E30="P"),"Acrobatic",""))</f>
        <v/>
      </c>
      <c r="G30" s="42"/>
      <c r="H30" s="207" t="str">
        <f t="shared" ref="H30" si="517">IF(E30="PA",IF(OR(LEFT(J29,1)="L",LEFT(J29,1)="S"),"A-Pair-Lift",IF(OR(LEFT(J29,1)="W",LEFT(J29,1)="T"),"A-Pair-Throw",IF(LEFT(J29,1)="J","A-Pair-Jump","A-Pair"))),IF(OR(E30="A",E30="B",E30="C",E30="P"),CONCATENATE("Acro-",E30),""))</f>
        <v/>
      </c>
      <c r="I30" s="201" t="e">
        <f t="shared" ref="I30" si="518">IF(OR(F29="Hybrid - min 4 swimmers (no DD)",LEFT(F29,5)="Trans"),0,INDEX($BY$3:$BY$9,MATCH(E30,$BX$3:$BX$9,0)))</f>
        <v>#N/A</v>
      </c>
      <c r="J30" s="196">
        <f ca="1">IFERROR(IF($H29="No DD",IF(J29="ChoHY",1,0),IF(OR(ISBLANK(J29),J29="N/A"),0,INDEX(INDIRECT(BI30),MATCH(J29,INDIRECT(BI29),0)))),0)</f>
        <v>0</v>
      </c>
      <c r="K30" s="196">
        <f t="shared" ref="K30:Y30" ca="1" si="519">IFERROR(IF($H29="No DD",0,IF(OR(ISBLANK(K29),K29="N/A"),0,INDEX(INDIRECT(BJ30),MATCH(K29,INDIRECT(BJ29),0)))),0)</f>
        <v>0</v>
      </c>
      <c r="L30" s="196">
        <f t="shared" ca="1" si="519"/>
        <v>0</v>
      </c>
      <c r="M30" s="196">
        <f t="shared" ca="1" si="519"/>
        <v>0</v>
      </c>
      <c r="N30" s="196">
        <f t="shared" ca="1" si="519"/>
        <v>0</v>
      </c>
      <c r="O30" s="196">
        <f t="shared" ca="1" si="519"/>
        <v>0</v>
      </c>
      <c r="P30" s="196">
        <f t="shared" ca="1" si="519"/>
        <v>0</v>
      </c>
      <c r="Q30" s="196">
        <f t="shared" ca="1" si="519"/>
        <v>0</v>
      </c>
      <c r="R30" s="196">
        <f t="shared" ca="1" si="519"/>
        <v>0</v>
      </c>
      <c r="S30" s="196">
        <f t="shared" ca="1" si="519"/>
        <v>0</v>
      </c>
      <c r="T30" s="196">
        <f t="shared" ca="1" si="519"/>
        <v>0</v>
      </c>
      <c r="U30" s="196">
        <f t="shared" ca="1" si="519"/>
        <v>0</v>
      </c>
      <c r="V30" s="196">
        <f t="shared" ca="1" si="519"/>
        <v>0</v>
      </c>
      <c r="W30" s="196">
        <f t="shared" ca="1" si="519"/>
        <v>0</v>
      </c>
      <c r="X30" s="196">
        <f t="shared" ca="1" si="519"/>
        <v>0</v>
      </c>
      <c r="Y30" s="196">
        <f t="shared" ca="1" si="519"/>
        <v>0</v>
      </c>
      <c r="Z30" s="196">
        <f t="shared" ref="Z30" ca="1" si="520">IFERROR(IF($H29="No DD",0,IF(OR(ISBLANK(Z29),Z29="N/A"),0,INDEX(INDIRECT(BY30),MATCH(Z29,INDIRECT(BY29),0)))),0)</f>
        <v>0</v>
      </c>
      <c r="AA30" s="196">
        <f t="shared" ref="AA30" ca="1" si="521">IFERROR(IF($H29="No DD",0,IF(OR(ISBLANK(AA29),AA29="N/A"),0,INDEX(INDIRECT(BZ30),MATCH(AA29,INDIRECT(BZ29),0)))),0)</f>
        <v>0</v>
      </c>
      <c r="AB30" s="196">
        <f t="shared" ref="AB30" ca="1" si="522">IFERROR(IF($H29="No DD",0,IF(OR(ISBLANK(AB29),AB29="N/A"),0,INDEX(INDIRECT(CA30),MATCH(AB29,INDIRECT(CA29),0)))),0)</f>
        <v>0</v>
      </c>
      <c r="AC30" s="196">
        <f t="shared" ref="AC30" ca="1" si="523">IFERROR(IF($H29="No DD",0,IF(OR(ISBLANK(AC29),AC29="N/A"),0,INDEX(INDIRECT(CB30),MATCH(AC29,INDIRECT(CB29),0)))),0)</f>
        <v>0</v>
      </c>
      <c r="AD30" s="196">
        <f t="shared" ref="AD30" ca="1" si="524">IFERROR(IF($H29="No DD",0,IF(OR(ISBLANK(AD29),AD29="N/A"),0,INDEX(INDIRECT(CC30),MATCH(AD29,INDIRECT(CC29),0)))),0)</f>
        <v>0</v>
      </c>
      <c r="AE30" s="196">
        <f t="shared" ref="AE30" ca="1" si="525">IFERROR(IF($H29="No DD",0,IF(OR(ISBLANK(AE29),AE29="N/A"),0,INDEX(INDIRECT(CD30),MATCH(AE29,INDIRECT(CD29),0)))),0)</f>
        <v>0</v>
      </c>
      <c r="AF30" s="196">
        <f t="shared" ref="AF30" ca="1" si="526">IFERROR(IF($H29="No DD",0,IF(OR(ISBLANK(AF29),AF29="N/A"),0,INDEX(INDIRECT(CE30),MATCH(AF29,INDIRECT(CE29),0)))),0)</f>
        <v>0</v>
      </c>
      <c r="AG30" s="196">
        <f t="shared" ref="AG30" ca="1" si="527">IFERROR(IF($H29="No DD",0,IF(OR(ISBLANK(AG29),AG29="N/A"),0,INDEX(INDIRECT(CF30),MATCH(AG29,INDIRECT(CF29),0)))),0)</f>
        <v>0</v>
      </c>
      <c r="AH30" s="196">
        <f t="shared" ref="AH30" ca="1" si="528">IFERROR(IF($H29="No DD",0,IF(OR(ISBLANK(AH29),AH29="N/A"),0,INDEX(INDIRECT(CG30),MATCH(AH29,INDIRECT(CG29),0)))),0)</f>
        <v>0</v>
      </c>
      <c r="AI30" s="196">
        <f t="shared" ref="AI30" ca="1" si="529">IFERROR(IF($H29="No DD",0,IF(OR(ISBLANK(AI29),AI29="N/A"),0,INDEX(INDIRECT(CH30),MATCH(AI29,INDIRECT(CH29),0)))),0)</f>
        <v>0</v>
      </c>
      <c r="AJ30" s="196">
        <f t="shared" ref="AJ30" ca="1" si="530">IFERROR(IF($H29="No DD",0,IF(OR(ISBLANK(AJ29),AJ29="N/A"),0,INDEX(INDIRECT(CI30),MATCH(AJ29,INDIRECT(CI29),0)))),0)</f>
        <v>0</v>
      </c>
      <c r="AK30" s="196">
        <f t="shared" ref="AK30" ca="1" si="531">IFERROR(IF($H29="No DD",0,IF(OR(ISBLANK(AK29),AK29="N/A"),0,INDEX(INDIRECT(CJ30),MATCH(AK29,INDIRECT(CJ29),0)))),0)</f>
        <v>0</v>
      </c>
      <c r="AL30" s="196">
        <f t="shared" ref="AL30" ca="1" si="532">IFERROR(IF($H29="No DD",0,IF(OR(ISBLANK(AL29),AL29="N/A"),0,INDEX(INDIRECT(CK30),MATCH(AL29,INDIRECT(CK29),0)))),0)</f>
        <v>0</v>
      </c>
      <c r="AM30" s="196">
        <f t="shared" ref="AM30" ca="1" si="533">IFERROR(IF($H29="No DD",0,IF(OR(ISBLANK(AM29),AM29="N/A"),0,INDEX(INDIRECT(CL30),MATCH(AM29,INDIRECT(CL29),0)))),0)</f>
        <v>0</v>
      </c>
      <c r="AN30" s="197" t="str">
        <f>IFERROR(IF(E30="H",INDEX(HybridBonus_Value,MATCH(AN29,HybridBonus_Code,0)),""),"")</f>
        <v/>
      </c>
      <c r="AO30" s="195" t="str">
        <f t="shared" ref="AO30" si="534">IFERROR(SUM(I30:AN30),"")</f>
        <v/>
      </c>
      <c r="AP30" s="75"/>
      <c r="AQ30" s="75"/>
      <c r="AR30" s="115"/>
      <c r="AS30" s="115"/>
      <c r="AT30" s="115"/>
      <c r="AU30" s="115"/>
      <c r="AV30" s="115"/>
      <c r="BA30" s="104"/>
      <c r="BB30" s="115"/>
      <c r="BC30" s="115"/>
      <c r="BD30" s="115"/>
      <c r="BE30" s="115"/>
      <c r="BF30" s="115"/>
      <c r="BG30" s="104"/>
      <c r="BH30" s="115"/>
      <c r="BI30" s="105" t="str">
        <f t="shared" ref="BI30" si="535">IF($E30="H",IF($F29="Hybrid - Thrust + 2 connections","Hybrid_Mix_Req_Value","HybridDD_Value"),IF($E30=3,"TreDD_Value",IF($E30="PA","AcroPair_Value",IF(LEFT($F29,4)="Acro",CONCATENATE(BI$16,$E30,"_Value"),""))))</f>
        <v/>
      </c>
      <c r="BJ30" s="105" t="str">
        <f t="shared" ref="BJ30" si="536">IF($E30="H",IF($F29="Hybrid - Thrust + 2 connections","Hybrid_Mix_Req_Value","HybridDD_Value"),IF($E30=3,"TreDD_Value",IF($E30="PA","AcroPair_Value",IF(LEFT($F29,4)="Acro",CONCATENATE(BJ$16,$E30,"_Value"),""))))</f>
        <v/>
      </c>
      <c r="BK30" s="105" t="str">
        <f t="shared" ref="BK30" si="537">IF($E30="H",IF($F29="Hybrid - Thrust + 2 connections","Hybrid_Mix_Req_Value","HybridDD_Value"),IF($E30=3,"TreDD_Value",IF($E30="PA","AcroPair_Value",IF(LEFT($F29,4)="Acro",CONCATENATE(BK$16,$E30,"_Value"),""))))</f>
        <v/>
      </c>
      <c r="BL30" s="105" t="str">
        <f t="shared" ref="BL30" si="538">IF($E30="H",IF($F29="Hybrid - Thrust + 2 connections","Hybrid_Mix_Req_Value","HybridDD_Value"),IF($E30=3,"TreDD_Value",IF($E30="PA","AcroPair_Value",IF(LEFT($F29,4)="Acro",CONCATENATE(BL$16,$E30,"_Value"),""))))</f>
        <v/>
      </c>
      <c r="BM30" s="105" t="str">
        <f t="shared" ref="BM30" si="539">IF($E30="H",IF($F29="Hybrid - Thrust + 2 connections","Hybrid_Mix_Req_Value","HybridDD_Value"),IF($E30=3,"TreDD_Value",IF($E30="PA","AcroPair_Value",IF(LEFT($F29,4)="Acro",CONCATENATE(BM$16,$E30,"_Value"),""))))</f>
        <v/>
      </c>
      <c r="BN30" s="105" t="str">
        <f t="shared" ref="BN30" si="540">IF($E30="H",IF($F29="Hybrid - Thrust + 2 connections","Hybrid_Mix_Req_Value","HybridDD_Value"),IF($E30=3,"TreDD_Value",IF($E30="PA","AcroPair_Value",IF(LEFT($F29,4)="Acro",CONCATENATE(BN$16,$E30,"_Value"),""))))</f>
        <v/>
      </c>
      <c r="BO30" s="105" t="str">
        <f t="shared" ref="BO30" si="541">IF($E30="H",IF($F29="Hybrid - Thrust + 2 connections","Hybrid_Mix_Req_Value","HybridDD_Value"),IF($E30=3,"TreDD_Value",IF($E30="PA","AcroPair_Value",IF(LEFT($F29,4)="Acro",CONCATENATE(BO$16,$E30,"_Value"),""))))</f>
        <v/>
      </c>
      <c r="BP30" s="105" t="str">
        <f t="shared" ref="BP30" si="542">IF($E30="H",IF($F29="Hybrid - Thrust + 2 connections","Hybrid_Mix_Req_Value","HybridDD_Value"),IF($E30=3,"TreDD_Value",IF($E30="PA","AcroPair_Value",IF(LEFT($F29,4)="Acro",CONCATENATE(BP$16,$E30,"_Value"),""))))</f>
        <v/>
      </c>
      <c r="BQ30" s="105" t="str">
        <f t="shared" ref="BQ30" si="543">IF($E30="H",IF($F29="Hybrid - Thrust + 2 connections","Hybrid_Mix_Req_Value","HybridDD_Value"),IF($E30=3,"TreDD_Value",IF($E30="PA","AcroPair_Value",IF(LEFT($F29,4)="Acro",CONCATENATE(BQ$16,$E30,"_Value"),""))))</f>
        <v/>
      </c>
      <c r="BR30" s="104" t="str">
        <f t="shared" ref="BR30" si="544">IF($E30="H",IF($F29="Hybrid - Thrust + 2 connections","Data!$BI$1:$BI$5","HybridDD_Value"),"Data!$BI$1:$BI$5")</f>
        <v>Data!$BI$1:$BI$5</v>
      </c>
      <c r="BS30" s="104" t="str">
        <f t="shared" ref="BS30" si="545">IF($E30="H",IF($F29="Hybrid - Thrust + 2 connections","Data!$BI$1:$BI$5","HybridDD_Value"),"Data!$BI$1:$BI$5")</f>
        <v>Data!$BI$1:$BI$5</v>
      </c>
      <c r="BT30" s="104" t="str">
        <f t="shared" ref="BT30" si="546">IF($E30="H",IF($F29="Hybrid - Thrust + 2 connections","Data!$BI$1:$BI$5","HybridDD_Value"),"Data!$BI$1:$BI$5")</f>
        <v>Data!$BI$1:$BI$5</v>
      </c>
      <c r="BU30" s="104" t="str">
        <f t="shared" ref="BU30" si="547">IF($E30="H",IF($F29="Hybrid - Thrust + 2 connections","Data!$BI$1:$BI$5","HybridDD_Value"),"Data!$BI$1:$BI$5")</f>
        <v>Data!$BI$1:$BI$5</v>
      </c>
      <c r="BV30" s="104" t="str">
        <f t="shared" ref="BV30" si="548">IF($E30="H",IF($F29="Hybrid - Thrust + 2 connections","Data!$BI$1:$BI$5","HybridDD_Value"),"Data!$BI$1:$BI$5")</f>
        <v>Data!$BI$1:$BI$5</v>
      </c>
      <c r="BW30" s="104" t="str">
        <f t="shared" ref="BW30" si="549">IF($E30="H",IF($F29="Hybrid - Thrust + 2 connections","Data!$BI$1:$BI$5","HybridDD_Value"),"Data!$BI$1:$BI$5")</f>
        <v>Data!$BI$1:$BI$5</v>
      </c>
      <c r="BX30" s="104" t="str">
        <f t="shared" ref="BX30" si="550">IF($E30="H",IF($F29="Hybrid - Thrust + 2 connections","Data!$BI$1:$BI$5","HybridDD_Value"),"Data!$BI$1:$BI$5")</f>
        <v>Data!$BI$1:$BI$5</v>
      </c>
      <c r="BY30" s="104" t="str">
        <f t="shared" ref="BY30" si="551">IF($E30="H",IF($F29="Hybrid - Thrust + 2 connections","Data!$BI$1:$BI$5","HybridDD_Value"),"Data!$BI$1:$BI$5")</f>
        <v>Data!$BI$1:$BI$5</v>
      </c>
      <c r="BZ30" s="104" t="str">
        <f t="shared" ref="BZ30" si="552">IF($E30="H",IF($F29="Hybrid - Thrust + 2 connections","Data!$BI$1:$BI$5","HybridDD_Value"),"Data!$BI$1:$BI$5")</f>
        <v>Data!$BI$1:$BI$5</v>
      </c>
      <c r="CA30" s="104" t="str">
        <f t="shared" ref="CA30" si="553">IF($E30="H",IF($F29="Hybrid - Thrust + 2 connections","Data!$BI$1:$BI$5","HybridDD_Value"),"Data!$BI$1:$BI$5")</f>
        <v>Data!$BI$1:$BI$5</v>
      </c>
      <c r="CB30" s="104" t="str">
        <f t="shared" ref="CB30" si="554">IF($E30="H",IF($F29="Hybrid - Thrust + 2 connections","Data!$BI$1:$BI$5","HybridDD_Value"),"Data!$BI$1:$BI$5")</f>
        <v>Data!$BI$1:$BI$5</v>
      </c>
      <c r="CC30" s="104" t="str">
        <f t="shared" ref="CC30" si="555">IF($E30="H",IF($F29="Hybrid - Thrust + 2 connections","Data!$BI$1:$BI$5","HybridDD_Value"),"Data!$BI$1:$BI$5")</f>
        <v>Data!$BI$1:$BI$5</v>
      </c>
      <c r="CD30" s="104" t="str">
        <f t="shared" ref="CD30" si="556">IF($E30="H",IF($F29="Hybrid - Thrust + 2 connections","Data!$BI$1:$BI$5","HybridDD_Value"),"Data!$BI$1:$BI$5")</f>
        <v>Data!$BI$1:$BI$5</v>
      </c>
      <c r="CE30" s="104" t="str">
        <f t="shared" ref="CE30" si="557">IF($E30="H",IF($F29="Hybrid - Thrust + 2 connections","Data!$BI$1:$BI$5","HybridDD_Value"),"Data!$BI$1:$BI$5")</f>
        <v>Data!$BI$1:$BI$5</v>
      </c>
      <c r="CF30" s="104" t="str">
        <f t="shared" ref="CF30" si="558">IF($E30="H",IF($F29="Hybrid - Thrust + 2 connections","Data!$BI$1:$BI$5","HybridDD_Value"),"Data!$BI$1:$BI$5")</f>
        <v>Data!$BI$1:$BI$5</v>
      </c>
      <c r="CG30" s="104" t="str">
        <f t="shared" ref="CG30" si="559">IF($E30="H",IF($F29="Hybrid - Thrust + 2 connections","Data!$BI$1:$BI$5","HybridDD_Value"),"Data!$BI$1:$BI$5")</f>
        <v>Data!$BI$1:$BI$5</v>
      </c>
      <c r="CH30" s="104" t="str">
        <f t="shared" ref="CH30" si="560">IF($E30="H",IF($F29="Hybrid - Thrust + 2 connections","Data!$BI$1:$BI$5","HybridDD_Value"),"Data!$BI$1:$BI$5")</f>
        <v>Data!$BI$1:$BI$5</v>
      </c>
      <c r="CI30" s="104" t="str">
        <f t="shared" ref="CI30" si="561">IF($E30="H",IF($F29="Hybrid - Thrust + 2 connections","Data!$BI$1:$BI$5","HybridDD_Value"),"Data!$BI$1:$BI$5")</f>
        <v>Data!$BI$1:$BI$5</v>
      </c>
      <c r="CJ30" s="104" t="str">
        <f t="shared" ref="CJ30" si="562">IF($E30="H",IF($F29="Hybrid - Thrust + 2 connections","Data!$BI$1:$BI$5","HybridDD_Value"),"Data!$BI$1:$BI$5")</f>
        <v>Data!$BI$1:$BI$5</v>
      </c>
      <c r="CK30" s="104" t="str">
        <f t="shared" ref="CK30" si="563">IF($E30="H",IF($F29="Hybrid - Thrust + 2 connections","Data!$BI$1:$BI$5","HybridDD_Value"),"Data!$BI$1:$BI$5")</f>
        <v>Data!$BI$1:$BI$5</v>
      </c>
      <c r="CL30" s="104" t="str">
        <f t="shared" ref="CL30" si="564">IF($E30="H",IF($F29="Hybrid - Thrust + 2 connections","Data!$BI$1:$BI$5","HybridDD_Value"),"Data!$BI$1:$BI$5")</f>
        <v>Data!$BI$1:$BI$5</v>
      </c>
      <c r="CM30" s="115"/>
      <c r="CN30" s="115"/>
      <c r="CO30" s="116" t="str">
        <f>IFERROR(IF(AND($BV$6="T",$BV$8="T",LEFT(F29,4)="Acro",AO30&gt;3),"X",IF($N$7="X",IF(AND(E30="C",AO30&gt;$CN$6),"X",IF(AND(E30="A",AO30&gt;$CN$4),"X",IF(AND(E30="B",AO30&gt;$CN$5),"X",IF(AND(E30="P",AO30&gt;$CN$7),"X","")))),"")),"")</f>
        <v/>
      </c>
      <c r="CP30" s="108"/>
      <c r="CQ30" s="105"/>
      <c r="CS30" s="105"/>
      <c r="CT30" s="105"/>
      <c r="CU30" s="105"/>
      <c r="CV30" s="105"/>
      <c r="CW30" s="105"/>
      <c r="CX30" s="105"/>
      <c r="CY30" s="105"/>
      <c r="CZ30" s="105"/>
      <c r="DD30" s="102" t="str">
        <f t="shared" si="10"/>
        <v/>
      </c>
      <c r="DE30" s="102" t="str">
        <f t="shared" si="11"/>
        <v/>
      </c>
      <c r="DF30" s="102" t="str">
        <f t="shared" si="12"/>
        <v/>
      </c>
      <c r="DG30" s="102" t="str">
        <f t="shared" si="13"/>
        <v/>
      </c>
      <c r="DO30" s="102">
        <v>12</v>
      </c>
      <c r="ED30" s="102" t="str">
        <f t="shared" si="14"/>
        <v/>
      </c>
      <c r="EE30" s="102" t="str">
        <f t="shared" si="15"/>
        <v/>
      </c>
      <c r="EI30" s="102" t="str" cm="1">
        <f t="array" ref="EI30">IFERROR(INDEX(EK30:FN30,MATCH(TRUE,INDEX((EK30:FN30&lt;&gt;""),),0)),"")</f>
        <v/>
      </c>
      <c r="EK30" s="102" t="str">
        <f t="shared" ref="EK30:EZ30" si="565">IF(F29="Hybrid - Thrust + 2 connections",IF(COUNTIF($EK29:$FD29,EK29)&gt;1,EK29,""),IF(COUNTIF($EK29:$FD29,EK29)&gt;5,EK29,""))</f>
        <v/>
      </c>
      <c r="EL30" s="102" t="str">
        <f t="shared" si="565"/>
        <v/>
      </c>
      <c r="EM30" s="102" t="str">
        <f t="shared" si="565"/>
        <v/>
      </c>
      <c r="EN30" s="102" t="str">
        <f t="shared" si="565"/>
        <v/>
      </c>
      <c r="EO30" s="102" t="str">
        <f t="shared" si="565"/>
        <v/>
      </c>
      <c r="EP30" s="102" t="str">
        <f t="shared" si="565"/>
        <v/>
      </c>
      <c r="EQ30" s="102" t="str">
        <f t="shared" si="565"/>
        <v/>
      </c>
      <c r="ER30" s="102" t="str">
        <f t="shared" si="565"/>
        <v/>
      </c>
      <c r="ES30" s="102" t="str">
        <f t="shared" si="565"/>
        <v/>
      </c>
      <c r="ET30" s="102" t="str">
        <f t="shared" si="565"/>
        <v/>
      </c>
      <c r="EU30" s="102" t="str">
        <f t="shared" si="565"/>
        <v/>
      </c>
      <c r="EV30" s="102" t="str">
        <f t="shared" si="565"/>
        <v/>
      </c>
      <c r="EW30" s="102" t="str">
        <f t="shared" si="565"/>
        <v/>
      </c>
      <c r="EX30" s="102" t="str">
        <f t="shared" si="565"/>
        <v/>
      </c>
      <c r="EY30" s="102" t="str">
        <f t="shared" si="565"/>
        <v/>
      </c>
      <c r="EZ30" s="102" t="str">
        <f t="shared" si="565"/>
        <v/>
      </c>
      <c r="FA30" s="102" t="str">
        <f t="shared" ref="FA30" si="566">IF(V29="Hybrid - Thrust + 2 connections",IF(COUNTIF($EK29:$FD29,FA29)&gt;1,FA29,""),IF(COUNTIF($EK29:$FD29,FA29)&gt;5,FA29,""))</f>
        <v/>
      </c>
      <c r="FB30" s="102" t="str">
        <f t="shared" ref="FB30" si="567">IF(W29="Hybrid - Thrust + 2 connections",IF(COUNTIF($EK29:$FD29,FB29)&gt;1,FB29,""),IF(COUNTIF($EK29:$FD29,FB29)&gt;5,FB29,""))</f>
        <v/>
      </c>
      <c r="FC30" s="102" t="str">
        <f t="shared" ref="FC30" si="568">IF(X29="Hybrid - Thrust + 2 connections",IF(COUNTIF($EK29:$FD29,FC29)&gt;1,FC29,""),IF(COUNTIF($EK29:$FD29,FC29)&gt;5,FC29,""))</f>
        <v/>
      </c>
      <c r="FD30" s="102" t="str">
        <f t="shared" ref="FD30" si="569">IF(Y29="Hybrid - Thrust + 2 connections",IF(COUNTIF($EK29:$FD29,FD29)&gt;1,FD29,""),IF(COUNTIF($EK29:$FD29,FD29)&gt;5,FD29,""))</f>
        <v/>
      </c>
      <c r="FE30" s="102" t="str">
        <f t="shared" ref="FE30" si="570">IF(Z29="Hybrid - Thrust + 2 connections",IF(COUNTIF($EK29:$FD29,FE29)&gt;1,FE29,""),IF(COUNTIF($EK29:$FD29,FE29)&gt;5,FE29,""))</f>
        <v/>
      </c>
      <c r="FF30" s="102" t="str">
        <f t="shared" ref="FF30" si="571">IF(AA29="Hybrid - Thrust + 2 connections",IF(COUNTIF($EK29:$FD29,FF29)&gt;1,FF29,""),IF(COUNTIF($EK29:$FD29,FF29)&gt;5,FF29,""))</f>
        <v/>
      </c>
      <c r="FG30" s="102" t="str">
        <f t="shared" ref="FG30" si="572">IF(AB29="Hybrid - Thrust + 2 connections",IF(COUNTIF($EK29:$FD29,FG29)&gt;1,FG29,""),IF(COUNTIF($EK29:$FD29,FG29)&gt;5,FG29,""))</f>
        <v/>
      </c>
      <c r="FH30" s="102" t="str">
        <f t="shared" ref="FH30" si="573">IF(AC29="Hybrid - Thrust + 2 connections",IF(COUNTIF($EK29:$FD29,FH29)&gt;1,FH29,""),IF(COUNTIF($EK29:$FD29,FH29)&gt;5,FH29,""))</f>
        <v/>
      </c>
      <c r="FI30" s="102" t="str">
        <f t="shared" ref="FI30" si="574">IF(AD29="Hybrid - Thrust + 2 connections",IF(COUNTIF($EK29:$FD29,FI29)&gt;1,FI29,""),IF(COUNTIF($EK29:$FD29,FI29)&gt;5,FI29,""))</f>
        <v/>
      </c>
      <c r="FJ30" s="102" t="str">
        <f t="shared" ref="FJ30" si="575">IF(AE29="Hybrid - Thrust + 2 connections",IF(COUNTIF($EK29:$FD29,FJ29)&gt;1,FJ29,""),IF(COUNTIF($EK29:$FD29,FJ29)&gt;5,FJ29,""))</f>
        <v/>
      </c>
      <c r="FK30" s="102" t="str">
        <f t="shared" ref="FK30" si="576">IF(AF29="Hybrid - Thrust + 2 connections",IF(COUNTIF($EK29:$FD29,FK29)&gt;1,FK29,""),IF(COUNTIF($EK29:$FD29,FK29)&gt;5,FK29,""))</f>
        <v/>
      </c>
      <c r="FL30" s="102" t="str">
        <f t="shared" ref="FL30" si="577">IF(AG29="Hybrid - Thrust + 2 connections",IF(COUNTIF($EK29:$FD29,FL29)&gt;1,FL29,""),IF(COUNTIF($EK29:$FD29,FL29)&gt;5,FL29,""))</f>
        <v/>
      </c>
      <c r="FM30" s="102" t="str">
        <f t="shared" ref="FM30" si="578">IF(AH29="Hybrid - Thrust + 2 connections",IF(COUNTIF($EK29:$FD29,FM29)&gt;1,FM29,""),IF(COUNTIF($EK29:$FD29,FM29)&gt;5,FM29,""))</f>
        <v/>
      </c>
      <c r="FN30" s="102" t="str">
        <f t="shared" ref="FN30" si="579">IF(AI29="Hybrid - Thrust + 2 connections",IF(COUNTIF($EK29:$FD29,FN29)&gt;1,FN29,""),IF(COUNTIF($EK29:$FD29,FN29)&gt;5,FN29,""))</f>
        <v/>
      </c>
      <c r="FO30" s="102">
        <f t="shared" ref="FO30" si="580">FO28+5</f>
        <v>25</v>
      </c>
      <c r="FP30" s="102" t="str">
        <f t="shared" ref="FP30" ca="1" si="581">OFFSET($FP$75,FO30,0)</f>
        <v/>
      </c>
      <c r="FQ30" s="102" t="str">
        <f t="shared" ref="FQ30" ca="1" si="582">OFFSET($FQ$75,FO30,0)</f>
        <v/>
      </c>
      <c r="FR30" s="282"/>
      <c r="FS30" s="282"/>
      <c r="FT30" s="282"/>
      <c r="FU30" s="282"/>
      <c r="FV30" s="282"/>
      <c r="FW30" s="282"/>
      <c r="FX30" s="282"/>
      <c r="FY30" s="282"/>
      <c r="FZ30" s="282"/>
      <c r="GA30" s="282"/>
      <c r="GB30" s="282"/>
      <c r="GC30" s="282"/>
      <c r="GD30" s="282"/>
      <c r="GE30" s="282"/>
      <c r="GF30" s="282"/>
      <c r="GG30" s="282"/>
      <c r="GH30" s="282"/>
      <c r="GI30" s="282"/>
      <c r="GJ30" s="282"/>
      <c r="GK30" s="282"/>
      <c r="GL30" s="282"/>
      <c r="GM30" s="282"/>
      <c r="GN30" s="282"/>
      <c r="GO30" s="282"/>
      <c r="GP30" s="282"/>
      <c r="GQ30" s="282"/>
      <c r="GR30" s="282"/>
      <c r="GS30" s="282"/>
      <c r="GT30" s="282"/>
      <c r="GU30" s="282"/>
      <c r="GV30" s="102"/>
      <c r="GW30" s="102"/>
      <c r="GX30" s="102"/>
      <c r="GY30" s="102"/>
      <c r="GZ30" s="102"/>
      <c r="HA30" s="102"/>
      <c r="HB30" s="102"/>
      <c r="HC30" s="102"/>
      <c r="HD30" s="102" t="str">
        <f>IF($F29="Hybrid - Thrust + 2 connections",COUNTBLANK(J29:L29),"")</f>
        <v/>
      </c>
      <c r="HE30" s="102"/>
      <c r="HF30" s="105"/>
      <c r="HG30" s="105"/>
      <c r="HH30" s="105"/>
      <c r="HI30" s="105"/>
    </row>
    <row r="31" spans="1:222" x14ac:dyDescent="0.25">
      <c r="A31" s="39" t="str">
        <f>IF(AND(E29="",A29&lt;&gt;""),IF(CP29=$CP$18,"",IF(C29&lt;&gt;"",IF(D29=59,MINUTE(CP29)+1,MINUTE(CP29)),"")),"")</f>
        <v/>
      </c>
      <c r="B31" s="40" t="str">
        <f>IF(AND(E29="",B29&lt;&gt;""),IF(CP29=$CP$18,"",IF(C29&lt;&gt;"",IF(D29=59,0,SECOND(CP29)+1),"")),"")</f>
        <v/>
      </c>
      <c r="C31" s="50"/>
      <c r="D31" s="50"/>
      <c r="E31" s="9"/>
      <c r="F31" s="51"/>
      <c r="G31" s="42" t="str">
        <f>IF(F31&lt;&gt;"",IF(OR(F31="Transition",F31="Transition - Surface Connection"),0,MAX($G$19:G30)+1),"")</f>
        <v/>
      </c>
      <c r="H31" s="56" t="str">
        <f t="shared" ref="H31" si="583">IFERROR(IF(E32="3","",IF(OR(F31="Hybrid - min 4 swimmers (no DD)",LEFT(F31,5)="Trans"),"No DD",CONCATENATE("BM = ",I32))),"")</f>
        <v/>
      </c>
      <c r="I31" s="57"/>
      <c r="J31" s="124"/>
      <c r="K31" s="129"/>
      <c r="L31" s="129"/>
      <c r="M31" s="129"/>
      <c r="N31" s="129"/>
      <c r="O31" s="129"/>
      <c r="P31" s="129"/>
      <c r="Q31" s="129"/>
      <c r="R31" s="129"/>
      <c r="S31" s="129"/>
      <c r="T31" s="129"/>
      <c r="U31" s="129"/>
      <c r="V31" s="129"/>
      <c r="W31" s="129"/>
      <c r="X31" s="129"/>
      <c r="Y31" s="129"/>
      <c r="Z31" s="129"/>
      <c r="AA31" s="129"/>
      <c r="AB31" s="129"/>
      <c r="AC31" s="129"/>
      <c r="AD31" s="129"/>
      <c r="AE31" s="129"/>
      <c r="AF31" s="129"/>
      <c r="AG31" s="129"/>
      <c r="AH31" s="129"/>
      <c r="AI31" s="129"/>
      <c r="AJ31" s="129"/>
      <c r="AK31" s="129"/>
      <c r="AL31" s="129"/>
      <c r="AM31" s="129"/>
      <c r="AN31" s="179"/>
      <c r="AO31" s="43"/>
      <c r="AP31" s="74"/>
      <c r="AQ31" s="74"/>
      <c r="AR31" s="104"/>
      <c r="AS31" s="104"/>
      <c r="AT31" s="104"/>
      <c r="AU31" s="104"/>
      <c r="AV31" s="104"/>
      <c r="AW31" s="105" t="str">
        <f t="shared" ref="AW31" si="584">E32</f>
        <v/>
      </c>
      <c r="AX31" s="108" t="str">
        <f t="shared" ref="AX31" si="585">IF(AY31=0,"",TIME(0,A31,B31))</f>
        <v/>
      </c>
      <c r="AY31" s="108">
        <f t="shared" ref="AY31" si="586">TIME(0,C31,D31)</f>
        <v>0</v>
      </c>
      <c r="AZ31" s="108" t="str">
        <f t="shared" ref="AZ31" si="587">IFERROR(AY31-AX31,"")</f>
        <v/>
      </c>
      <c r="BA31" s="276" t="str">
        <f t="shared" ref="BA31" si="588">IF($AX$17=0,"",IF(AND($C$10&lt;&gt;"",AW31="H",AZ31&gt;$AX$17),"X",""))</f>
        <v/>
      </c>
      <c r="BB31" s="104"/>
      <c r="BC31" s="104"/>
      <c r="BD31" s="104"/>
      <c r="BE31" s="104"/>
      <c r="BF31" s="104"/>
      <c r="BG31" s="104" t="str">
        <f>IFERROR(IF(F31&lt;&gt;"",INDEX(Parts_Active,MATCH(F31,Parts_Active,0)),""),"No")</f>
        <v/>
      </c>
      <c r="BH31" s="104"/>
      <c r="BI31" s="104" t="str">
        <f t="shared" ref="BI31" si="589">IF($E32="H",IF($F31="Hybrid - Thrust + 2 connections","Hybrid_Mix_Req",IF($F31="Hybrid - min 4 swimmers (no DD)","Hybrid_ChoHY","HybridDD_Code")),IF($E32=3,"TreDD_Code",IF($E32="PA","AcroPair_Code",IF(LEFT($F31,4)="Acro",CONCATENATE(BI$16,$E32,"_Code"),"Data!$BI$1:$BI$5"))))</f>
        <v>Data!$BI$1:$BI$5</v>
      </c>
      <c r="BJ31" s="104" t="str">
        <f t="shared" ref="BJ31" si="590">IF($E32="H",IF($F31="Hybrid - Thrust + 2 connections","Hybrid_Mix_Req",IF($F31="Hybrid - min 4 swimmers (no DD)","Data!$BI$1:$BI$5","HybridDD_Code")),IF($E32=3,"TreDD_Code",IF($E32="PA","AcroPair_Code",IF(LEFT($F31,4)="Acro",CONCATENATE(BJ$16,$E32,"_Code"),"Data!$BI$1:$BI$5"))))</f>
        <v>Data!$BI$1:$BI$5</v>
      </c>
      <c r="BK31" s="104" t="str">
        <f t="shared" si="6"/>
        <v>Data!$BI$1:$BI$5</v>
      </c>
      <c r="BL31" s="104" t="str">
        <f t="shared" si="6"/>
        <v>Data!$BI$1:$BI$5</v>
      </c>
      <c r="BM31" s="104" t="str">
        <f t="shared" si="6"/>
        <v>Data!$BI$1:$BI$5</v>
      </c>
      <c r="BN31" s="104" t="str">
        <f t="shared" si="6"/>
        <v>Data!$BI$1:$BI$5</v>
      </c>
      <c r="BO31" s="104" t="str">
        <f t="shared" si="6"/>
        <v>Data!$BI$1:$BI$5</v>
      </c>
      <c r="BP31" s="104" t="str">
        <f t="shared" si="6"/>
        <v>Data!$BI$1:$BI$5</v>
      </c>
      <c r="BQ31" s="104" t="str">
        <f t="shared" si="6"/>
        <v>Data!$BI$1:$BI$5</v>
      </c>
      <c r="BR31" s="104" t="str">
        <f t="shared" ref="BR31" si="591">IF($E32="H",IF($F31="Hybrid - Thrust + 2 connections","Data!$BI$1:$BI$5","HybridDD_Code"),"Data!$BI$1:$BI$5")</f>
        <v>Data!$BI$1:$BI$5</v>
      </c>
      <c r="BS31" s="104" t="str">
        <f t="shared" si="369"/>
        <v>Data!$BI$1:$BI$5</v>
      </c>
      <c r="BT31" s="104" t="str">
        <f t="shared" si="369"/>
        <v>Data!$BI$1:$BI$5</v>
      </c>
      <c r="BU31" s="104" t="str">
        <f t="shared" si="369"/>
        <v>Data!$BI$1:$BI$5</v>
      </c>
      <c r="BV31" s="104" t="str">
        <f t="shared" si="369"/>
        <v>Data!$BI$1:$BI$5</v>
      </c>
      <c r="BW31" s="104" t="str">
        <f t="shared" si="369"/>
        <v>Data!$BI$1:$BI$5</v>
      </c>
      <c r="BX31" s="104" t="str">
        <f t="shared" si="369"/>
        <v>Data!$BI$1:$BI$5</v>
      </c>
      <c r="BY31" s="104" t="str">
        <f t="shared" si="369"/>
        <v>Data!$BI$1:$BI$5</v>
      </c>
      <c r="BZ31" s="104" t="str">
        <f t="shared" si="369"/>
        <v>Data!$BI$1:$BI$5</v>
      </c>
      <c r="CA31" s="104" t="str">
        <f t="shared" si="369"/>
        <v>Data!$BI$1:$BI$5</v>
      </c>
      <c r="CB31" s="104" t="str">
        <f t="shared" si="369"/>
        <v>Data!$BI$1:$BI$5</v>
      </c>
      <c r="CC31" s="104" t="str">
        <f t="shared" si="369"/>
        <v>Data!$BI$1:$BI$5</v>
      </c>
      <c r="CD31" s="104" t="str">
        <f t="shared" si="369"/>
        <v>Data!$BI$1:$BI$5</v>
      </c>
      <c r="CE31" s="104" t="str">
        <f t="shared" si="369"/>
        <v>Data!$BI$1:$BI$5</v>
      </c>
      <c r="CF31" s="104" t="str">
        <f t="shared" si="369"/>
        <v>Data!$BI$1:$BI$5</v>
      </c>
      <c r="CG31" s="104" t="str">
        <f t="shared" si="369"/>
        <v>Data!$BI$1:$BI$5</v>
      </c>
      <c r="CH31" s="104" t="str">
        <f t="shared" si="369"/>
        <v>Data!$BI$1:$BI$5</v>
      </c>
      <c r="CI31" s="104" t="str">
        <f t="shared" si="8"/>
        <v>Data!$BI$1:$BI$5</v>
      </c>
      <c r="CJ31" s="104" t="str">
        <f t="shared" si="8"/>
        <v>Data!$BI$1:$BI$5</v>
      </c>
      <c r="CK31" s="104" t="str">
        <f t="shared" si="8"/>
        <v>Data!$BI$1:$BI$5</v>
      </c>
      <c r="CL31" s="104" t="str">
        <f t="shared" si="8"/>
        <v>Data!$BI$1:$BI$5</v>
      </c>
      <c r="CM31" s="104"/>
      <c r="CN31" s="104"/>
      <c r="CO31" s="107" t="str">
        <f>IFERROR(TIME(0,A31,B31),"")</f>
        <v/>
      </c>
      <c r="CP31" s="108">
        <f>IFERROR(TIME(0,C31,D31),"")</f>
        <v>0</v>
      </c>
      <c r="CQ31" s="108" t="str">
        <f t="shared" ref="CQ31" si="592">IF(CP31&gt;$D$12,"X","")</f>
        <v/>
      </c>
      <c r="CR31" s="102" t="str">
        <f>IF(AND(F31="Hybrid - Thrust + 2 connections",OR(LEFT(J31,1)="T",LEFT(K31,1)="T",LEFT(L31,1)="T",LEFT(PB31,1)="T",LEFT(M31,1)="T",LEFT(N31,1)="T",LEFT(O31,1)="T",LEFT(P31,1)="T",LEFT(Q31,1)="T",LEFT(R31,1)="T",LEFT(S31,1)="T",LEFT(T31,1)="T",LEFT(U31,1)="T",LEFT(V31,1)="T",LEFT(W31,1)="T",LEFT(X31,1)="T",LEFT(AK31,1)="T",LEFT(AL31,1)="T",LEFT(AM31,1)="T")),IF(OR(LEN(J31)=2,LEN(K31)=2,LEN(L31)=2,LEN(M31)=2,LEN(N31)=2,LEN(O31)=2,LEN(P31)=2,LEN(Q31)=2,LEN(R31)=2,LEN(S31)=2,LEN(T31)=2,LEN(U31)=2,LEN(V31)=2,LEN(W31)=2,LEN(X31)=2,LEN(Y31)=2,LEN(Z31)=2,LEN(AK31)=2,LEN(AL31)=2,LEN(AM31)=2),"X",""),"")</f>
        <v/>
      </c>
      <c r="CS31" s="105"/>
      <c r="CT31" s="102" t="str">
        <f>IF(LEFT(F31,4)="Acro",IF(AND(N31&lt;&gt;"",M31=RIGHT(N31,2)),"X","OK"),"")</f>
        <v/>
      </c>
      <c r="CU31" s="104" t="str">
        <f t="shared" ref="CU31:DB31" si="593">IFERROR(IF(AND(LEFT($F31,4)="Acro",INDEX(Requ_App,MATCH(BI31,Requ_Code,0))="No"),"X",""),"")</f>
        <v/>
      </c>
      <c r="CV31" s="104" t="str">
        <f t="shared" si="593"/>
        <v/>
      </c>
      <c r="CW31" s="104" t="str">
        <f t="shared" si="593"/>
        <v/>
      </c>
      <c r="CX31" s="104" t="str">
        <f t="shared" si="593"/>
        <v/>
      </c>
      <c r="CY31" s="104" t="str">
        <f t="shared" si="593"/>
        <v/>
      </c>
      <c r="CZ31" s="104" t="str">
        <f t="shared" si="593"/>
        <v/>
      </c>
      <c r="DA31" s="104" t="str">
        <f t="shared" si="593"/>
        <v/>
      </c>
      <c r="DB31" s="104" t="str">
        <f t="shared" si="593"/>
        <v/>
      </c>
      <c r="DC31" s="104" t="str">
        <f>IFERROR(IF(AND(LEFT($F31,4)="Acro",INDEX(Requ_App,MATCH(BP31,Requ_Code,0))="No"),"X",""),"")</f>
        <v/>
      </c>
      <c r="DD31" s="102" t="str">
        <f t="shared" si="10"/>
        <v/>
      </c>
      <c r="DE31" s="102" t="str">
        <f t="shared" si="11"/>
        <v/>
      </c>
      <c r="DF31" s="102" t="str">
        <f t="shared" si="12"/>
        <v/>
      </c>
      <c r="DG31" s="102" t="str">
        <f t="shared" si="13"/>
        <v/>
      </c>
      <c r="DK31" s="102">
        <f t="shared" ref="DK31" si="594">IF(AND(E32="A",OR(Q31="Grip",Q31="Conn",Q31="Catch")),"A1",IF(AND(E32="A",OR(Q31="Hula",Q31="RetSq",Q31="RetPa")),"A2",IF(AND(E32="B",OR(Q31="Twirl",Q31="RotF")),"B1",IF(AND(E32="B",OR(Q31="Moon",Q31="Mov",Q31="Hold")),"B2",IF(AND(E32="P",OR(Q31="Porp",Q31="Splch")),"P1",IF(AND(E32="P",OR(Q31="Diva",Q31="Stand")),"P2",IF(AND(E32="P",OR(Q31="Spider",Q31="Climb")),"P3",IF(AND(E32="P",OR(Q31="Fall",Q31="FTurn")),"P4",IF(AND(E32="C",OR(Q31="Jump",Q31="Jump&gt;",Q31="On1Foot",Q31="1F&gt;1F")),"C1",IF(AND(E32="C",OR(Q31="Run",Q31="BRun")),"C2",1))))))))))</f>
        <v>1</v>
      </c>
      <c r="DL31" s="102">
        <f t="shared" ref="DL31" si="595">IF(AND(E32="A",OR(R31="Grip",R31="Conn",R31="Catch")),"A1",IF(AND(E32="A",OR(R31="Hula",R31="RetSq",R31="RetPa")),"A2",IF(AND(E32="B",OR(R31="Twirl",R31="RotF")),"B1",IF(AND(E32="B",OR(R31="Moon",R31="Mov",R31="Hold")),"B2",IF(AND(E32="P",OR(R31="Porp",R31="Spich")),"P1",IF(AND(E32="P",OR(R31="Diva",R31="Stand")),"P2",IF(AND(E32="P",OR(R31="Spider",R31="Climb")),"P3",IF(AND(E32="P",OR(R31="Fall",R31="FTurn")),"P4",IF(AND(E32="C",OR(R31="Jump",R31="Jump&gt;",R31="On1Foot",R31="1F&gt;1F")),"C1",IF(AND(E32="C",OR(R31="Run",R31="BRun")),"C2",2))))))))))</f>
        <v>2</v>
      </c>
      <c r="DM31" s="102" t="str">
        <f>IF(AND(LEFT(F31,4)="Acro",Q31&lt;&gt;"",OR(Q31=R31,DK31=DL31)),IF(R31="C-Roll","","X"),IF(OR(AND(E32="A",Q31="Catch",R31&lt;&gt;"Dbl"),AND(E32="A",R31="Catch",Q31&lt;&gt;"Dbl")),"X",""))</f>
        <v/>
      </c>
      <c r="DN31" s="102" t="str">
        <f>IF(E32="PA",J31,"")</f>
        <v/>
      </c>
      <c r="DO31" s="102">
        <v>13</v>
      </c>
      <c r="DQ31" s="102" t="str">
        <f>IF(AND($E32="A",COUNTIF($DZ$19:$EA$68,DZ31)&gt;1),DZ31,"")</f>
        <v/>
      </c>
      <c r="DR31" s="102" t="str">
        <f>IF(AND($E32="A",COUNTIF($DZ$19:$EA$68,EA31)&gt;1),EA31,"")</f>
        <v/>
      </c>
      <c r="DS31" s="102" t="str">
        <f ca="1">IF(AND($E32="B",COUNTIF($J$19:$J$68,J31)&gt;1),J31,"")</f>
        <v/>
      </c>
      <c r="DT31" s="102" t="str">
        <f ca="1">IF(AND($E32="B",COUNTIF($K$19:$K$68,K31)&gt;1),K31,"")</f>
        <v/>
      </c>
      <c r="DU31" s="102" t="str">
        <f ca="1">IF(AND($E32="C",COUNTIF($J$19:$J$68,J31)&gt;1),J31,"")</f>
        <v/>
      </c>
      <c r="DV31" s="102" t="str">
        <f ca="1">IF(AND($E32="P",COUNTIF($J$19:$J$68,J31)&gt;1),J31,"")</f>
        <v/>
      </c>
      <c r="DW31" s="102" t="str">
        <f ca="1">IF(AND($E32="P",COUNTIF($K$19:$K$68,K31)&gt;1),K31,"")</f>
        <v/>
      </c>
      <c r="DX31" s="102" t="str">
        <f>IF(AND($E32="P",COUNTIF($DZ$19:$EA$68,DZ31)&gt;1),DZ31,"")</f>
        <v/>
      </c>
      <c r="DY31" s="102" t="str">
        <f>IF(AND($E32="P",COUNTIF($DZ$19:$EA$68,EA31)&gt;1),EA31,"")</f>
        <v/>
      </c>
      <c r="DZ31" s="102" t="str">
        <f>IFERROR(IF(OR(E32="A",E32="P"),M31,""),"")</f>
        <v/>
      </c>
      <c r="EA31" s="102" t="str">
        <f>IFERROR(IF(OR(E32="A",E32="P"),RIGHT(N31,2),""),"")</f>
        <v/>
      </c>
      <c r="EB31" s="102" t="str">
        <f t="shared" ref="EB31" si="596">IF(Q31="","",IF(AND($E32="P",COUNTIF($Q$19:$R$68,Q31)&gt;1),Q31,""))</f>
        <v/>
      </c>
      <c r="EC31" s="102" t="str">
        <f t="shared" ref="EC31" si="597">IF(R31="","",IF(AND($E32="P",COUNTIF($Q$19:$R$68,R31)&gt;1),R31,""))</f>
        <v/>
      </c>
      <c r="ED31" s="102" t="str">
        <f t="shared" si="14"/>
        <v/>
      </c>
      <c r="EE31" s="102" t="str">
        <f t="shared" si="15"/>
        <v/>
      </c>
      <c r="EF31" s="102" t="str">
        <f>IF(AND($F$8="Open Team Acrobatic",LEFT(F31,4)="Acro"),E32,"")</f>
        <v/>
      </c>
      <c r="EG31" s="102" t="str">
        <f t="shared" ref="EG31" si="598">IFERROR(IF(HLOOKUP(EF31,$DQ$12:$DT$13,2,FALSE)&gt;2,"X",""),"")</f>
        <v/>
      </c>
      <c r="EI31" s="102" t="str">
        <f t="shared" ref="EI31" si="599">IF(OR(AND(F31="Hybrid - Thrust + 2 connections",EI32="T"),AND(E32="H",EI32&lt;&gt;"",EI85="X")),"X","")</f>
        <v/>
      </c>
      <c r="EK31" s="102">
        <f t="shared" ref="EK31" si="600">IFERROR(IF(AND($E32="H",J31&lt;&gt;"",J31&lt;&gt;"ChoHY"),IF(OR(LEFT(J31,1)="T",LEFT(J31,1)="S",LEFT(J31,1)="A",LEFT(J31,1)="F",LEFT(J31,1)="C"),LEFT(J31,1),"R"),EK$18),"")</f>
        <v>1</v>
      </c>
      <c r="EL31" s="102">
        <f t="shared" ref="EL31:EZ31" si="601">IFERROR(IF(AND($E32="H",K31&lt;&gt;""),IF(OR(LEFT(K31,1)="T",LEFT(K31,1)="S",LEFT(K31,1)="A",LEFT(K31,1)="F",LEFT(K31,1)="C"),LEFT(K31,1),"R"),EL$18),"")</f>
        <v>2</v>
      </c>
      <c r="EM31" s="102">
        <f t="shared" si="601"/>
        <v>3</v>
      </c>
      <c r="EN31" s="102">
        <f t="shared" si="601"/>
        <v>4</v>
      </c>
      <c r="EO31" s="102">
        <f t="shared" si="601"/>
        <v>5</v>
      </c>
      <c r="EP31" s="102">
        <f t="shared" si="601"/>
        <v>6</v>
      </c>
      <c r="EQ31" s="102">
        <f t="shared" si="601"/>
        <v>7</v>
      </c>
      <c r="ER31" s="102">
        <f t="shared" si="601"/>
        <v>8</v>
      </c>
      <c r="ES31" s="102">
        <f t="shared" si="601"/>
        <v>9</v>
      </c>
      <c r="ET31" s="102">
        <f t="shared" si="601"/>
        <v>10</v>
      </c>
      <c r="EU31" s="102">
        <f t="shared" si="601"/>
        <v>11</v>
      </c>
      <c r="EV31" s="102">
        <f t="shared" si="601"/>
        <v>12</v>
      </c>
      <c r="EW31" s="102">
        <f t="shared" si="601"/>
        <v>13</v>
      </c>
      <c r="EX31" s="102">
        <f t="shared" si="601"/>
        <v>14</v>
      </c>
      <c r="EY31" s="102">
        <f t="shared" si="601"/>
        <v>15</v>
      </c>
      <c r="EZ31" s="102">
        <f t="shared" si="601"/>
        <v>16</v>
      </c>
      <c r="FA31" s="102">
        <f t="shared" ref="FA31" si="602">IFERROR(IF(AND($E32="H",Z31&lt;&gt;""),IF(OR(LEFT(Z31,1)="T",LEFT(Z31,1)="S",LEFT(Z31,1)="A",LEFT(Z31,1)="F",LEFT(Z31,1)="C"),LEFT(Z31,1),"R"),FA$18),"")</f>
        <v>17</v>
      </c>
      <c r="FB31" s="102">
        <f t="shared" ref="FB31" si="603">IFERROR(IF(AND($E32="H",AA31&lt;&gt;""),IF(OR(LEFT(AA31,1)="T",LEFT(AA31,1)="S",LEFT(AA31,1)="A",LEFT(AA31,1)="F",LEFT(AA31,1)="C"),LEFT(AA31,1),"R"),FB$18),"")</f>
        <v>18</v>
      </c>
      <c r="FC31" s="102">
        <f t="shared" ref="FC31" si="604">IFERROR(IF(AND($E32="H",AB31&lt;&gt;""),IF(OR(LEFT(AB31,1)="T",LEFT(AB31,1)="S",LEFT(AB31,1)="A",LEFT(AB31,1)="F",LEFT(AB31,1)="C"),LEFT(AB31,1),"R"),FC$18),"")</f>
        <v>19</v>
      </c>
      <c r="FD31" s="102">
        <f t="shared" ref="FD31" si="605">IFERROR(IF(AND($E32="H",AC31&lt;&gt;""),IF(OR(LEFT(AC31,1)="T",LEFT(AC31,1)="S",LEFT(AC31,1)="A",LEFT(AC31,1)="F",LEFT(AC31,1)="C"),LEFT(AC31,1),"R"),FD$18),"")</f>
        <v>20</v>
      </c>
      <c r="FE31" s="102">
        <f t="shared" ref="FE31" si="606">IFERROR(IF(AND($E32="H",AD31&lt;&gt;""),IF(OR(LEFT(AD31,1)="T",LEFT(AD31,1)="S",LEFT(AD31,1)="A",LEFT(AD31,1)="F",LEFT(AD31,1)="C"),LEFT(AD31,1),"R"),FE$18),"")</f>
        <v>21</v>
      </c>
      <c r="FF31" s="102">
        <f t="shared" ref="FF31" si="607">IFERROR(IF(AND($E32="H",AE31&lt;&gt;""),IF(OR(LEFT(AE31,1)="T",LEFT(AE31,1)="S",LEFT(AE31,1)="A",LEFT(AE31,1)="F",LEFT(AE31,1)="C"),LEFT(AE31,1),"R"),FF$18),"")</f>
        <v>22</v>
      </c>
      <c r="FG31" s="102">
        <f t="shared" ref="FG31" si="608">IFERROR(IF(AND($E32="H",AF31&lt;&gt;""),IF(OR(LEFT(AF31,1)="T",LEFT(AF31,1)="S",LEFT(AF31,1)="A",LEFT(AF31,1)="F",LEFT(AF31,1)="C"),LEFT(AF31,1),"R"),FG$18),"")</f>
        <v>23</v>
      </c>
      <c r="FH31" s="102">
        <f t="shared" ref="FH31" si="609">IFERROR(IF(AND($E32="H",AG31&lt;&gt;""),IF(OR(LEFT(AG31,1)="T",LEFT(AG31,1)="S",LEFT(AG31,1)="A",LEFT(AG31,1)="F",LEFT(AG31,1)="C"),LEFT(AG31,1),"R"),FH$18),"")</f>
        <v>24</v>
      </c>
      <c r="FI31" s="102">
        <f t="shared" ref="FI31" si="610">IFERROR(IF(AND($E32="H",AH31&lt;&gt;""),IF(OR(LEFT(AH31,1)="T",LEFT(AH31,1)="S",LEFT(AH31,1)="A",LEFT(AH31,1)="F",LEFT(AH31,1)="C"),LEFT(AH31,1),"R"),FI$18),"")</f>
        <v>25</v>
      </c>
      <c r="FJ31" s="102">
        <f t="shared" ref="FJ31" si="611">IFERROR(IF(AND($E32="H",AI31&lt;&gt;""),IF(OR(LEFT(AI31,1)="T",LEFT(AI31,1)="S",LEFT(AI31,1)="A",LEFT(AI31,1)="F",LEFT(AI31,1)="C"),LEFT(AI31,1),"R"),FJ$18),"")</f>
        <v>26</v>
      </c>
      <c r="FK31" s="102">
        <f t="shared" ref="FK31" si="612">IFERROR(IF(AND($E32="H",AJ31&lt;&gt;""),IF(OR(LEFT(AJ31,1)="T",LEFT(AJ31,1)="S",LEFT(AJ31,1)="A",LEFT(AJ31,1)="F",LEFT(AJ31,1)="C"),LEFT(AJ31,1),"R"),FK$18),"")</f>
        <v>27</v>
      </c>
      <c r="FL31" s="102">
        <f t="shared" ref="FL31" si="613">IFERROR(IF(AND($E32="H",AK31&lt;&gt;""),IF(OR(LEFT(AK31,1)="T",LEFT(AK31,1)="S",LEFT(AK31,1)="A",LEFT(AK31,1)="F",LEFT(AK31,1)="C"),LEFT(AK31,1),"R"),FL$18),"")</f>
        <v>28</v>
      </c>
      <c r="FM31" s="102">
        <f t="shared" ref="FM31" si="614">IFERROR(IF(AND($E32="H",AL31&lt;&gt;""),IF(OR(LEFT(AL31,1)="T",LEFT(AL31,1)="S",LEFT(AL31,1)="A",LEFT(AL31,1)="F",LEFT(AL31,1)="C"),LEFT(AL31,1),"R"),FM$18),"")</f>
        <v>29</v>
      </c>
      <c r="FN31" s="102">
        <f t="shared" ref="FN31" si="615">IFERROR(IF(AND($E32="H",AM31&lt;&gt;""),IF(OR(LEFT(AM31,1)="T",LEFT(AM31,1)="S",LEFT(AM31,1)="A",LEFT(AM31,1)="F",LEFT(AM31,1)="C"),LEFT(AM31,1),"R"),FN$18),"")</f>
        <v>30</v>
      </c>
      <c r="FO31" s="102"/>
      <c r="FP31" s="102"/>
      <c r="FQ31" s="102"/>
      <c r="FR31" s="282"/>
      <c r="FS31" s="282"/>
      <c r="FT31" s="282"/>
      <c r="FU31" s="282"/>
      <c r="FV31" s="282"/>
      <c r="FW31" s="282"/>
      <c r="FX31" s="282"/>
      <c r="FY31" s="282"/>
      <c r="FZ31" s="282"/>
      <c r="GA31" s="282"/>
      <c r="GB31" s="282"/>
      <c r="GC31" s="282"/>
      <c r="GD31" s="282"/>
      <c r="GE31" s="282"/>
      <c r="GF31" s="282"/>
      <c r="GG31" s="282"/>
      <c r="GH31" s="282"/>
      <c r="GI31" s="282"/>
      <c r="GJ31" s="282"/>
      <c r="GK31" s="282"/>
      <c r="GL31" s="282"/>
      <c r="GM31" s="282"/>
      <c r="GN31" s="282"/>
      <c r="GO31" s="282"/>
      <c r="GP31" s="282"/>
      <c r="GQ31" s="282"/>
      <c r="GR31" s="282"/>
      <c r="GS31" s="282"/>
      <c r="GT31" s="282"/>
      <c r="GU31" s="282"/>
      <c r="GV31" s="102"/>
      <c r="GW31" s="102">
        <f t="shared" ref="GW31" si="616">COUNTIF($EK31:$FN31,GW$18)</f>
        <v>0</v>
      </c>
      <c r="GX31" s="102">
        <f t="shared" si="29"/>
        <v>0</v>
      </c>
      <c r="GY31" s="102">
        <f t="shared" si="29"/>
        <v>0</v>
      </c>
      <c r="GZ31" s="102">
        <f t="shared" si="29"/>
        <v>0</v>
      </c>
      <c r="HA31" s="102">
        <f t="shared" si="29"/>
        <v>0</v>
      </c>
      <c r="HB31" s="102">
        <f t="shared" si="29"/>
        <v>0</v>
      </c>
      <c r="HC31" s="102"/>
      <c r="HD31" s="102" t="str">
        <f t="shared" ref="HD31" si="617">IF(AND($F31="Hybrid - Thrust + 2 connections",HD32=0,LEFT($J31,1)="C",LEFT($K31,1)="C",LEFT($L31,1)="C"),"X","")</f>
        <v/>
      </c>
      <c r="HE31" s="102"/>
      <c r="HF31" s="105"/>
      <c r="HG31" s="114"/>
      <c r="HH31" s="114"/>
      <c r="HI31" s="105" t="str">
        <f t="shared" ref="HI31" si="618">IF(E32=3,IF(_xlfn.NUMBERVALUE(LEFT(J31,1))&gt;0,_xlfn.NUMBERVALUE(LEFT(J31,1)),""),"")</f>
        <v/>
      </c>
      <c r="HK31" s="105" t="str">
        <f t="shared" ref="HK31" si="619">IF(OR(E32="B",E32="P"),E32,"")</f>
        <v/>
      </c>
      <c r="HL31" s="105" t="str">
        <f>IF(AND(J31&lt;&gt;"",HK31&lt;&gt;""),IF(HK31="B",MATCH(J31,AcroDD!$U$3:$AE$3,0),MATCH(J31,AcroDD!$U$30:$AC$30,0)),"")</f>
        <v/>
      </c>
      <c r="HM31" s="105" t="str">
        <f t="shared" ref="HM31" si="620">IF(AND(K31&lt;&gt;"",HK31&lt;&gt;""),K31,"")</f>
        <v/>
      </c>
      <c r="HN31" s="105" t="str">
        <f ca="1">IF(AND(OR(HK31="B",HK31="P"),HL31&lt;&gt;"",HM31&lt;&gt;""),IF(IFERROR(IF(HK31="B",MATCH(HM31,OFFSET(AcroDD!$T$4,0,HL31,20),0),MATCH(HM31,OFFSET(AcroDD!$T$31,0,HL31,20),0)),"")&lt;&gt;"","OK","X"),"")</f>
        <v/>
      </c>
    </row>
    <row r="32" spans="1:222" x14ac:dyDescent="0.25">
      <c r="A32" s="39"/>
      <c r="B32" s="40"/>
      <c r="C32" s="40"/>
      <c r="D32" s="40"/>
      <c r="E32" s="20" t="str">
        <f>IF(F31="Acrobatic - Pair","PA",IF(F31="Acrobatic Airborn","A",IF(F31="Acrobatic Balance","B",IF(F31="Acrobatic Combined","C",IF(F31="Acrobatic Platform","P",IF(F31="Technical Required Element",3,IF(LEFT(F31,4)="Hybr","H","")))))))</f>
        <v/>
      </c>
      <c r="F32" s="20" t="str">
        <f>IF(AND(F31="Hybrid - Thrust + 2 connections",CR31="X"),"Hybrid - Thrust",IF(OR(E32="A",E32="B",E32="C",E32="P"),"Acrobatic",""))</f>
        <v/>
      </c>
      <c r="G32" s="42"/>
      <c r="H32" s="207" t="str">
        <f t="shared" ref="H32" si="621">IF(E32="PA",IF(OR(LEFT(J31,1)="L",LEFT(J31,1)="S"),"A-Pair-Lift",IF(OR(LEFT(J31,1)="W",LEFT(J31,1)="T"),"A-Pair-Throw",IF(LEFT(J31,1)="J","A-Pair-Jump","A-Pair"))),IF(OR(E32="A",E32="B",E32="C",E32="P"),CONCATENATE("Acro-",E32),""))</f>
        <v/>
      </c>
      <c r="I32" s="201" t="e">
        <f t="shared" ref="I32" si="622">IF(OR(F31="Hybrid - min 4 swimmers (no DD)",LEFT(F31,5)="Trans"),0,INDEX($BY$3:$BY$9,MATCH(E32,$BX$3:$BX$9,0)))</f>
        <v>#N/A</v>
      </c>
      <c r="J32" s="196">
        <f ca="1">IFERROR(IF($H31="No DD",IF(J31="ChoHY",1,0),IF(OR(ISBLANK(J31),J31="N/A"),0,INDEX(INDIRECT(BI32),MATCH(J31,INDIRECT(BI31),0)))),0)</f>
        <v>0</v>
      </c>
      <c r="K32" s="196">
        <f t="shared" ref="K32:Y32" ca="1" si="623">IFERROR(IF($H31="No DD",0,IF(OR(ISBLANK(K31),K31="N/A"),0,INDEX(INDIRECT(BJ32),MATCH(K31,INDIRECT(BJ31),0)))),0)</f>
        <v>0</v>
      </c>
      <c r="L32" s="196">
        <f t="shared" ca="1" si="623"/>
        <v>0</v>
      </c>
      <c r="M32" s="196">
        <f t="shared" ca="1" si="623"/>
        <v>0</v>
      </c>
      <c r="N32" s="196">
        <f t="shared" ca="1" si="623"/>
        <v>0</v>
      </c>
      <c r="O32" s="196">
        <f t="shared" ca="1" si="623"/>
        <v>0</v>
      </c>
      <c r="P32" s="196">
        <f t="shared" ca="1" si="623"/>
        <v>0</v>
      </c>
      <c r="Q32" s="196">
        <f t="shared" ca="1" si="623"/>
        <v>0</v>
      </c>
      <c r="R32" s="196">
        <f t="shared" ca="1" si="623"/>
        <v>0</v>
      </c>
      <c r="S32" s="196">
        <f t="shared" ca="1" si="623"/>
        <v>0</v>
      </c>
      <c r="T32" s="196">
        <f t="shared" ca="1" si="623"/>
        <v>0</v>
      </c>
      <c r="U32" s="196">
        <f t="shared" ca="1" si="623"/>
        <v>0</v>
      </c>
      <c r="V32" s="196">
        <f t="shared" ca="1" si="623"/>
        <v>0</v>
      </c>
      <c r="W32" s="196">
        <f t="shared" ca="1" si="623"/>
        <v>0</v>
      </c>
      <c r="X32" s="196">
        <f t="shared" ca="1" si="623"/>
        <v>0</v>
      </c>
      <c r="Y32" s="196">
        <f t="shared" ca="1" si="623"/>
        <v>0</v>
      </c>
      <c r="Z32" s="196">
        <f t="shared" ref="Z32" ca="1" si="624">IFERROR(IF($H31="No DD",0,IF(OR(ISBLANK(Z31),Z31="N/A"),0,INDEX(INDIRECT(BY32),MATCH(Z31,INDIRECT(BY31),0)))),0)</f>
        <v>0</v>
      </c>
      <c r="AA32" s="196">
        <f t="shared" ref="AA32" ca="1" si="625">IFERROR(IF($H31="No DD",0,IF(OR(ISBLANK(AA31),AA31="N/A"),0,INDEX(INDIRECT(BZ32),MATCH(AA31,INDIRECT(BZ31),0)))),0)</f>
        <v>0</v>
      </c>
      <c r="AB32" s="196">
        <f t="shared" ref="AB32" ca="1" si="626">IFERROR(IF($H31="No DD",0,IF(OR(ISBLANK(AB31),AB31="N/A"),0,INDEX(INDIRECT(CA32),MATCH(AB31,INDIRECT(CA31),0)))),0)</f>
        <v>0</v>
      </c>
      <c r="AC32" s="196">
        <f t="shared" ref="AC32" ca="1" si="627">IFERROR(IF($H31="No DD",0,IF(OR(ISBLANK(AC31),AC31="N/A"),0,INDEX(INDIRECT(CB32),MATCH(AC31,INDIRECT(CB31),0)))),0)</f>
        <v>0</v>
      </c>
      <c r="AD32" s="196">
        <f t="shared" ref="AD32" ca="1" si="628">IFERROR(IF($H31="No DD",0,IF(OR(ISBLANK(AD31),AD31="N/A"),0,INDEX(INDIRECT(CC32),MATCH(AD31,INDIRECT(CC31),0)))),0)</f>
        <v>0</v>
      </c>
      <c r="AE32" s="196">
        <f t="shared" ref="AE32" ca="1" si="629">IFERROR(IF($H31="No DD",0,IF(OR(ISBLANK(AE31),AE31="N/A"),0,INDEX(INDIRECT(CD32),MATCH(AE31,INDIRECT(CD31),0)))),0)</f>
        <v>0</v>
      </c>
      <c r="AF32" s="196">
        <f t="shared" ref="AF32" ca="1" si="630">IFERROR(IF($H31="No DD",0,IF(OR(ISBLANK(AF31),AF31="N/A"),0,INDEX(INDIRECT(CE32),MATCH(AF31,INDIRECT(CE31),0)))),0)</f>
        <v>0</v>
      </c>
      <c r="AG32" s="196">
        <f t="shared" ref="AG32" ca="1" si="631">IFERROR(IF($H31="No DD",0,IF(OR(ISBLANK(AG31),AG31="N/A"),0,INDEX(INDIRECT(CF32),MATCH(AG31,INDIRECT(CF31),0)))),0)</f>
        <v>0</v>
      </c>
      <c r="AH32" s="196">
        <f t="shared" ref="AH32" ca="1" si="632">IFERROR(IF($H31="No DD",0,IF(OR(ISBLANK(AH31),AH31="N/A"),0,INDEX(INDIRECT(CG32),MATCH(AH31,INDIRECT(CG31),0)))),0)</f>
        <v>0</v>
      </c>
      <c r="AI32" s="196">
        <f t="shared" ref="AI32" ca="1" si="633">IFERROR(IF($H31="No DD",0,IF(OR(ISBLANK(AI31),AI31="N/A"),0,INDEX(INDIRECT(CH32),MATCH(AI31,INDIRECT(CH31),0)))),0)</f>
        <v>0</v>
      </c>
      <c r="AJ32" s="196">
        <f t="shared" ref="AJ32" ca="1" si="634">IFERROR(IF($H31="No DD",0,IF(OR(ISBLANK(AJ31),AJ31="N/A"),0,INDEX(INDIRECT(CI32),MATCH(AJ31,INDIRECT(CI31),0)))),0)</f>
        <v>0</v>
      </c>
      <c r="AK32" s="196">
        <f t="shared" ref="AK32" ca="1" si="635">IFERROR(IF($H31="No DD",0,IF(OR(ISBLANK(AK31),AK31="N/A"),0,INDEX(INDIRECT(CJ32),MATCH(AK31,INDIRECT(CJ31),0)))),0)</f>
        <v>0</v>
      </c>
      <c r="AL32" s="196">
        <f t="shared" ref="AL32" ca="1" si="636">IFERROR(IF($H31="No DD",0,IF(OR(ISBLANK(AL31),AL31="N/A"),0,INDEX(INDIRECT(CK32),MATCH(AL31,INDIRECT(CK31),0)))),0)</f>
        <v>0</v>
      </c>
      <c r="AM32" s="196">
        <f t="shared" ref="AM32" ca="1" si="637">IFERROR(IF($H31="No DD",0,IF(OR(ISBLANK(AM31),AM31="N/A"),0,INDEX(INDIRECT(CL32),MATCH(AM31,INDIRECT(CL31),0)))),0)</f>
        <v>0</v>
      </c>
      <c r="AN32" s="197" t="str">
        <f>IFERROR(IF(E32="H",INDEX(HybridBonus_Value,MATCH(AN31,HybridBonus_Code,0)),""),"")</f>
        <v/>
      </c>
      <c r="AO32" s="195" t="str">
        <f t="shared" ref="AO32" si="638">IFERROR(SUM(I32:AN32),"")</f>
        <v/>
      </c>
      <c r="AP32" s="75"/>
      <c r="AQ32" s="75"/>
      <c r="AR32" s="115"/>
      <c r="AS32" s="115"/>
      <c r="AT32" s="115"/>
      <c r="AU32" s="115"/>
      <c r="AV32" s="115"/>
      <c r="BA32" s="104"/>
      <c r="BB32" s="115"/>
      <c r="BC32" s="115"/>
      <c r="BD32" s="115"/>
      <c r="BE32" s="115"/>
      <c r="BF32" s="115"/>
      <c r="BG32" s="104"/>
      <c r="BH32" s="115"/>
      <c r="BI32" s="105" t="str">
        <f t="shared" ref="BI32" si="639">IF($E32="H",IF($F31="Hybrid - Thrust + 2 connections","Hybrid_Mix_Req_Value","HybridDD_Value"),IF($E32=3,"TreDD_Value",IF($E32="PA","AcroPair_Value",IF(LEFT($F31,4)="Acro",CONCATENATE(BI$16,$E32,"_Value"),""))))</f>
        <v/>
      </c>
      <c r="BJ32" s="105" t="str">
        <f t="shared" ref="BJ32" si="640">IF($E32="H",IF($F31="Hybrid - Thrust + 2 connections","Hybrid_Mix_Req_Value","HybridDD_Value"),IF($E32=3,"TreDD_Value",IF($E32="PA","AcroPair_Value",IF(LEFT($F31,4)="Acro",CONCATENATE(BJ$16,$E32,"_Value"),""))))</f>
        <v/>
      </c>
      <c r="BK32" s="105" t="str">
        <f t="shared" ref="BK32" si="641">IF($E32="H",IF($F31="Hybrid - Thrust + 2 connections","Hybrid_Mix_Req_Value","HybridDD_Value"),IF($E32=3,"TreDD_Value",IF($E32="PA","AcroPair_Value",IF(LEFT($F31,4)="Acro",CONCATENATE(BK$16,$E32,"_Value"),""))))</f>
        <v/>
      </c>
      <c r="BL32" s="105" t="str">
        <f t="shared" ref="BL32" si="642">IF($E32="H",IF($F31="Hybrid - Thrust + 2 connections","Hybrid_Mix_Req_Value","HybridDD_Value"),IF($E32=3,"TreDD_Value",IF($E32="PA","AcroPair_Value",IF(LEFT($F31,4)="Acro",CONCATENATE(BL$16,$E32,"_Value"),""))))</f>
        <v/>
      </c>
      <c r="BM32" s="105" t="str">
        <f t="shared" ref="BM32" si="643">IF($E32="H",IF($F31="Hybrid - Thrust + 2 connections","Hybrid_Mix_Req_Value","HybridDD_Value"),IF($E32=3,"TreDD_Value",IF($E32="PA","AcroPair_Value",IF(LEFT($F31,4)="Acro",CONCATENATE(BM$16,$E32,"_Value"),""))))</f>
        <v/>
      </c>
      <c r="BN32" s="105" t="str">
        <f t="shared" ref="BN32" si="644">IF($E32="H",IF($F31="Hybrid - Thrust + 2 connections","Hybrid_Mix_Req_Value","HybridDD_Value"),IF($E32=3,"TreDD_Value",IF($E32="PA","AcroPair_Value",IF(LEFT($F31,4)="Acro",CONCATENATE(BN$16,$E32,"_Value"),""))))</f>
        <v/>
      </c>
      <c r="BO32" s="105" t="str">
        <f t="shared" ref="BO32" si="645">IF($E32="H",IF($F31="Hybrid - Thrust + 2 connections","Hybrid_Mix_Req_Value","HybridDD_Value"),IF($E32=3,"TreDD_Value",IF($E32="PA","AcroPair_Value",IF(LEFT($F31,4)="Acro",CONCATENATE(BO$16,$E32,"_Value"),""))))</f>
        <v/>
      </c>
      <c r="BP32" s="105" t="str">
        <f t="shared" ref="BP32" si="646">IF($E32="H",IF($F31="Hybrid - Thrust + 2 connections","Hybrid_Mix_Req_Value","HybridDD_Value"),IF($E32=3,"TreDD_Value",IF($E32="PA","AcroPair_Value",IF(LEFT($F31,4)="Acro",CONCATENATE(BP$16,$E32,"_Value"),""))))</f>
        <v/>
      </c>
      <c r="BQ32" s="105" t="str">
        <f t="shared" ref="BQ32" si="647">IF($E32="H",IF($F31="Hybrid - Thrust + 2 connections","Hybrid_Mix_Req_Value","HybridDD_Value"),IF($E32=3,"TreDD_Value",IF($E32="PA","AcroPair_Value",IF(LEFT($F31,4)="Acro",CONCATENATE(BQ$16,$E32,"_Value"),""))))</f>
        <v/>
      </c>
      <c r="BR32" s="104" t="str">
        <f t="shared" ref="BR32" si="648">IF($E32="H",IF($F31="Hybrid - Thrust + 2 connections","Data!$BI$1:$BI$5","HybridDD_Value"),"Data!$BI$1:$BI$5")</f>
        <v>Data!$BI$1:$BI$5</v>
      </c>
      <c r="BS32" s="104" t="str">
        <f t="shared" ref="BS32" si="649">IF($E32="H",IF($F31="Hybrid - Thrust + 2 connections","Data!$BI$1:$BI$5","HybridDD_Value"),"Data!$BI$1:$BI$5")</f>
        <v>Data!$BI$1:$BI$5</v>
      </c>
      <c r="BT32" s="104" t="str">
        <f t="shared" ref="BT32" si="650">IF($E32="H",IF($F31="Hybrid - Thrust + 2 connections","Data!$BI$1:$BI$5","HybridDD_Value"),"Data!$BI$1:$BI$5")</f>
        <v>Data!$BI$1:$BI$5</v>
      </c>
      <c r="BU32" s="104" t="str">
        <f t="shared" ref="BU32" si="651">IF($E32="H",IF($F31="Hybrid - Thrust + 2 connections","Data!$BI$1:$BI$5","HybridDD_Value"),"Data!$BI$1:$BI$5")</f>
        <v>Data!$BI$1:$BI$5</v>
      </c>
      <c r="BV32" s="104" t="str">
        <f t="shared" ref="BV32" si="652">IF($E32="H",IF($F31="Hybrid - Thrust + 2 connections","Data!$BI$1:$BI$5","HybridDD_Value"),"Data!$BI$1:$BI$5")</f>
        <v>Data!$BI$1:$BI$5</v>
      </c>
      <c r="BW32" s="104" t="str">
        <f t="shared" ref="BW32" si="653">IF($E32="H",IF($F31="Hybrid - Thrust + 2 connections","Data!$BI$1:$BI$5","HybridDD_Value"),"Data!$BI$1:$BI$5")</f>
        <v>Data!$BI$1:$BI$5</v>
      </c>
      <c r="BX32" s="104" t="str">
        <f t="shared" ref="BX32" si="654">IF($E32="H",IF($F31="Hybrid - Thrust + 2 connections","Data!$BI$1:$BI$5","HybridDD_Value"),"Data!$BI$1:$BI$5")</f>
        <v>Data!$BI$1:$BI$5</v>
      </c>
      <c r="BY32" s="104" t="str">
        <f t="shared" ref="BY32" si="655">IF($E32="H",IF($F31="Hybrid - Thrust + 2 connections","Data!$BI$1:$BI$5","HybridDD_Value"),"Data!$BI$1:$BI$5")</f>
        <v>Data!$BI$1:$BI$5</v>
      </c>
      <c r="BZ32" s="104" t="str">
        <f t="shared" ref="BZ32" si="656">IF($E32="H",IF($F31="Hybrid - Thrust + 2 connections","Data!$BI$1:$BI$5","HybridDD_Value"),"Data!$BI$1:$BI$5")</f>
        <v>Data!$BI$1:$BI$5</v>
      </c>
      <c r="CA32" s="104" t="str">
        <f t="shared" ref="CA32" si="657">IF($E32="H",IF($F31="Hybrid - Thrust + 2 connections","Data!$BI$1:$BI$5","HybridDD_Value"),"Data!$BI$1:$BI$5")</f>
        <v>Data!$BI$1:$BI$5</v>
      </c>
      <c r="CB32" s="104" t="str">
        <f t="shared" ref="CB32" si="658">IF($E32="H",IF($F31="Hybrid - Thrust + 2 connections","Data!$BI$1:$BI$5","HybridDD_Value"),"Data!$BI$1:$BI$5")</f>
        <v>Data!$BI$1:$BI$5</v>
      </c>
      <c r="CC32" s="104" t="str">
        <f t="shared" ref="CC32" si="659">IF($E32="H",IF($F31="Hybrid - Thrust + 2 connections","Data!$BI$1:$BI$5","HybridDD_Value"),"Data!$BI$1:$BI$5")</f>
        <v>Data!$BI$1:$BI$5</v>
      </c>
      <c r="CD32" s="104" t="str">
        <f t="shared" ref="CD32" si="660">IF($E32="H",IF($F31="Hybrid - Thrust + 2 connections","Data!$BI$1:$BI$5","HybridDD_Value"),"Data!$BI$1:$BI$5")</f>
        <v>Data!$BI$1:$BI$5</v>
      </c>
      <c r="CE32" s="104" t="str">
        <f t="shared" ref="CE32" si="661">IF($E32="H",IF($F31="Hybrid - Thrust + 2 connections","Data!$BI$1:$BI$5","HybridDD_Value"),"Data!$BI$1:$BI$5")</f>
        <v>Data!$BI$1:$BI$5</v>
      </c>
      <c r="CF32" s="104" t="str">
        <f t="shared" ref="CF32" si="662">IF($E32="H",IF($F31="Hybrid - Thrust + 2 connections","Data!$BI$1:$BI$5","HybridDD_Value"),"Data!$BI$1:$BI$5")</f>
        <v>Data!$BI$1:$BI$5</v>
      </c>
      <c r="CG32" s="104" t="str">
        <f t="shared" ref="CG32" si="663">IF($E32="H",IF($F31="Hybrid - Thrust + 2 connections","Data!$BI$1:$BI$5","HybridDD_Value"),"Data!$BI$1:$BI$5")</f>
        <v>Data!$BI$1:$BI$5</v>
      </c>
      <c r="CH32" s="104" t="str">
        <f t="shared" ref="CH32" si="664">IF($E32="H",IF($F31="Hybrid - Thrust + 2 connections","Data!$BI$1:$BI$5","HybridDD_Value"),"Data!$BI$1:$BI$5")</f>
        <v>Data!$BI$1:$BI$5</v>
      </c>
      <c r="CI32" s="104" t="str">
        <f t="shared" ref="CI32" si="665">IF($E32="H",IF($F31="Hybrid - Thrust + 2 connections","Data!$BI$1:$BI$5","HybridDD_Value"),"Data!$BI$1:$BI$5")</f>
        <v>Data!$BI$1:$BI$5</v>
      </c>
      <c r="CJ32" s="104" t="str">
        <f t="shared" ref="CJ32" si="666">IF($E32="H",IF($F31="Hybrid - Thrust + 2 connections","Data!$BI$1:$BI$5","HybridDD_Value"),"Data!$BI$1:$BI$5")</f>
        <v>Data!$BI$1:$BI$5</v>
      </c>
      <c r="CK32" s="104" t="str">
        <f t="shared" ref="CK32" si="667">IF($E32="H",IF($F31="Hybrid - Thrust + 2 connections","Data!$BI$1:$BI$5","HybridDD_Value"),"Data!$BI$1:$BI$5")</f>
        <v>Data!$BI$1:$BI$5</v>
      </c>
      <c r="CL32" s="104" t="str">
        <f t="shared" ref="CL32" si="668">IF($E32="H",IF($F31="Hybrid - Thrust + 2 connections","Data!$BI$1:$BI$5","HybridDD_Value"),"Data!$BI$1:$BI$5")</f>
        <v>Data!$BI$1:$BI$5</v>
      </c>
      <c r="CM32" s="115"/>
      <c r="CN32" s="115"/>
      <c r="CO32" s="116" t="str">
        <f>IFERROR(IF(AND($BV$6="T",$BV$8="T",LEFT(F31,4)="Acro",AO32&gt;3),"X",IF($N$7="X",IF(AND(E32="C",AO32&gt;$CN$6),"X",IF(AND(E32="A",AO32&gt;$CN$4),"X",IF(AND(E32="B",AO32&gt;$CN$5),"X",IF(AND(E32="P",AO32&gt;$CN$7),"X","")))),"")),"")</f>
        <v/>
      </c>
      <c r="CP32" s="108"/>
      <c r="CQ32" s="105"/>
      <c r="CS32" s="105"/>
      <c r="CT32" s="105"/>
      <c r="CU32" s="105"/>
      <c r="CV32" s="105"/>
      <c r="CW32" s="105"/>
      <c r="CX32" s="105"/>
      <c r="CY32" s="105"/>
      <c r="CZ32" s="105"/>
      <c r="DD32" s="102" t="str">
        <f t="shared" si="10"/>
        <v/>
      </c>
      <c r="DE32" s="102" t="str">
        <f t="shared" si="11"/>
        <v/>
      </c>
      <c r="DF32" s="102" t="str">
        <f t="shared" si="12"/>
        <v/>
      </c>
      <c r="DG32" s="102" t="str">
        <f t="shared" si="13"/>
        <v/>
      </c>
      <c r="DO32" s="102">
        <v>14</v>
      </c>
      <c r="ED32" s="102" t="str">
        <f t="shared" si="14"/>
        <v/>
      </c>
      <c r="EE32" s="102" t="str">
        <f t="shared" si="15"/>
        <v/>
      </c>
      <c r="EI32" s="102" t="str" cm="1">
        <f t="array" ref="EI32">IFERROR(INDEX(EK32:FN32,MATCH(TRUE,INDEX((EK32:FN32&lt;&gt;""),),0)),"")</f>
        <v/>
      </c>
      <c r="EK32" s="102" t="str">
        <f t="shared" ref="EK32:EZ32" si="669">IF(F31="Hybrid - Thrust + 2 connections",IF(COUNTIF($EK31:$FD31,EK31)&gt;1,EK31,""),IF(COUNTIF($EK31:$FD31,EK31)&gt;5,EK31,""))</f>
        <v/>
      </c>
      <c r="EL32" s="102" t="str">
        <f t="shared" si="669"/>
        <v/>
      </c>
      <c r="EM32" s="102" t="str">
        <f t="shared" si="669"/>
        <v/>
      </c>
      <c r="EN32" s="102" t="str">
        <f t="shared" si="669"/>
        <v/>
      </c>
      <c r="EO32" s="102" t="str">
        <f t="shared" si="669"/>
        <v/>
      </c>
      <c r="EP32" s="102" t="str">
        <f t="shared" si="669"/>
        <v/>
      </c>
      <c r="EQ32" s="102" t="str">
        <f t="shared" si="669"/>
        <v/>
      </c>
      <c r="ER32" s="102" t="str">
        <f t="shared" si="669"/>
        <v/>
      </c>
      <c r="ES32" s="102" t="str">
        <f t="shared" si="669"/>
        <v/>
      </c>
      <c r="ET32" s="102" t="str">
        <f t="shared" si="669"/>
        <v/>
      </c>
      <c r="EU32" s="102" t="str">
        <f t="shared" si="669"/>
        <v/>
      </c>
      <c r="EV32" s="102" t="str">
        <f t="shared" si="669"/>
        <v/>
      </c>
      <c r="EW32" s="102" t="str">
        <f t="shared" si="669"/>
        <v/>
      </c>
      <c r="EX32" s="102" t="str">
        <f t="shared" si="669"/>
        <v/>
      </c>
      <c r="EY32" s="102" t="str">
        <f t="shared" si="669"/>
        <v/>
      </c>
      <c r="EZ32" s="102" t="str">
        <f t="shared" si="669"/>
        <v/>
      </c>
      <c r="FA32" s="102" t="str">
        <f t="shared" ref="FA32" si="670">IF(V31="Hybrid - Thrust + 2 connections",IF(COUNTIF($EK31:$FD31,FA31)&gt;1,FA31,""),IF(COUNTIF($EK31:$FD31,FA31)&gt;5,FA31,""))</f>
        <v/>
      </c>
      <c r="FB32" s="102" t="str">
        <f t="shared" ref="FB32" si="671">IF(W31="Hybrid - Thrust + 2 connections",IF(COUNTIF($EK31:$FD31,FB31)&gt;1,FB31,""),IF(COUNTIF($EK31:$FD31,FB31)&gt;5,FB31,""))</f>
        <v/>
      </c>
      <c r="FC32" s="102" t="str">
        <f t="shared" ref="FC32" si="672">IF(X31="Hybrid - Thrust + 2 connections",IF(COUNTIF($EK31:$FD31,FC31)&gt;1,FC31,""),IF(COUNTIF($EK31:$FD31,FC31)&gt;5,FC31,""))</f>
        <v/>
      </c>
      <c r="FD32" s="102" t="str">
        <f t="shared" ref="FD32" si="673">IF(Y31="Hybrid - Thrust + 2 connections",IF(COUNTIF($EK31:$FD31,FD31)&gt;1,FD31,""),IF(COUNTIF($EK31:$FD31,FD31)&gt;5,FD31,""))</f>
        <v/>
      </c>
      <c r="FE32" s="102" t="str">
        <f t="shared" ref="FE32" si="674">IF(Z31="Hybrid - Thrust + 2 connections",IF(COUNTIF($EK31:$FD31,FE31)&gt;1,FE31,""),IF(COUNTIF($EK31:$FD31,FE31)&gt;5,FE31,""))</f>
        <v/>
      </c>
      <c r="FF32" s="102" t="str">
        <f t="shared" ref="FF32" si="675">IF(AA31="Hybrid - Thrust + 2 connections",IF(COUNTIF($EK31:$FD31,FF31)&gt;1,FF31,""),IF(COUNTIF($EK31:$FD31,FF31)&gt;5,FF31,""))</f>
        <v/>
      </c>
      <c r="FG32" s="102" t="str">
        <f t="shared" ref="FG32" si="676">IF(AB31="Hybrid - Thrust + 2 connections",IF(COUNTIF($EK31:$FD31,FG31)&gt;1,FG31,""),IF(COUNTIF($EK31:$FD31,FG31)&gt;5,FG31,""))</f>
        <v/>
      </c>
      <c r="FH32" s="102" t="str">
        <f t="shared" ref="FH32" si="677">IF(AC31="Hybrid - Thrust + 2 connections",IF(COUNTIF($EK31:$FD31,FH31)&gt;1,FH31,""),IF(COUNTIF($EK31:$FD31,FH31)&gt;5,FH31,""))</f>
        <v/>
      </c>
      <c r="FI32" s="102" t="str">
        <f t="shared" ref="FI32" si="678">IF(AD31="Hybrid - Thrust + 2 connections",IF(COUNTIF($EK31:$FD31,FI31)&gt;1,FI31,""),IF(COUNTIF($EK31:$FD31,FI31)&gt;5,FI31,""))</f>
        <v/>
      </c>
      <c r="FJ32" s="102" t="str">
        <f t="shared" ref="FJ32" si="679">IF(AE31="Hybrid - Thrust + 2 connections",IF(COUNTIF($EK31:$FD31,FJ31)&gt;1,FJ31,""),IF(COUNTIF($EK31:$FD31,FJ31)&gt;5,FJ31,""))</f>
        <v/>
      </c>
      <c r="FK32" s="102" t="str">
        <f t="shared" ref="FK32" si="680">IF(AF31="Hybrid - Thrust + 2 connections",IF(COUNTIF($EK31:$FD31,FK31)&gt;1,FK31,""),IF(COUNTIF($EK31:$FD31,FK31)&gt;5,FK31,""))</f>
        <v/>
      </c>
      <c r="FL32" s="102" t="str">
        <f t="shared" ref="FL32" si="681">IF(AG31="Hybrid - Thrust + 2 connections",IF(COUNTIF($EK31:$FD31,FL31)&gt;1,FL31,""),IF(COUNTIF($EK31:$FD31,FL31)&gt;5,FL31,""))</f>
        <v/>
      </c>
      <c r="FM32" s="102" t="str">
        <f t="shared" ref="FM32" si="682">IF(AH31="Hybrid - Thrust + 2 connections",IF(COUNTIF($EK31:$FD31,FM31)&gt;1,FM31,""),IF(COUNTIF($EK31:$FD31,FM31)&gt;5,FM31,""))</f>
        <v/>
      </c>
      <c r="FN32" s="102" t="str">
        <f t="shared" ref="FN32" si="683">IF(AI31="Hybrid - Thrust + 2 connections",IF(COUNTIF($EK31:$FD31,FN31)&gt;1,FN31,""),IF(COUNTIF($EK31:$FD31,FN31)&gt;5,FN31,""))</f>
        <v/>
      </c>
      <c r="FO32" s="102">
        <f t="shared" ref="FO32" si="684">FO30+5</f>
        <v>30</v>
      </c>
      <c r="FP32" s="102" t="str">
        <f t="shared" ref="FP32" ca="1" si="685">OFFSET($FP$75,FO32,0)</f>
        <v/>
      </c>
      <c r="FQ32" s="102" t="str">
        <f t="shared" ref="FQ32" ca="1" si="686">OFFSET($FQ$75,FO32,0)</f>
        <v/>
      </c>
      <c r="FR32" s="282"/>
      <c r="FS32" s="282"/>
      <c r="FT32" s="282"/>
      <c r="FU32" s="282"/>
      <c r="FV32" s="282"/>
      <c r="FW32" s="282"/>
      <c r="FX32" s="282"/>
      <c r="FY32" s="282"/>
      <c r="FZ32" s="282"/>
      <c r="GA32" s="282"/>
      <c r="GB32" s="282"/>
      <c r="GC32" s="282"/>
      <c r="GD32" s="282"/>
      <c r="GE32" s="282"/>
      <c r="GF32" s="282"/>
      <c r="GG32" s="282"/>
      <c r="GH32" s="282"/>
      <c r="GI32" s="282"/>
      <c r="GJ32" s="282"/>
      <c r="GK32" s="282"/>
      <c r="GL32" s="282"/>
      <c r="GM32" s="282"/>
      <c r="GN32" s="282"/>
      <c r="GO32" s="282"/>
      <c r="GP32" s="282"/>
      <c r="GQ32" s="282"/>
      <c r="GR32" s="282"/>
      <c r="GS32" s="282"/>
      <c r="GT32" s="282"/>
      <c r="GU32" s="282"/>
      <c r="GV32" s="102"/>
      <c r="GW32" s="102"/>
      <c r="GX32" s="102"/>
      <c r="GY32" s="102"/>
      <c r="GZ32" s="102"/>
      <c r="HA32" s="102"/>
      <c r="HB32" s="102"/>
      <c r="HC32" s="102"/>
      <c r="HD32" s="102" t="str">
        <f>IF($F31="Hybrid - Thrust + 2 connections",COUNTBLANK(J31:L31),"")</f>
        <v/>
      </c>
      <c r="HE32" s="102"/>
      <c r="HF32" s="105"/>
      <c r="HG32" s="105"/>
      <c r="HH32" s="105"/>
      <c r="HI32" s="105"/>
    </row>
    <row r="33" spans="1:222" x14ac:dyDescent="0.25">
      <c r="A33" s="39" t="str">
        <f>IF(AND(E31="",A31&lt;&gt;""),IF(CP31=$CP$18,"",IF(C31&lt;&gt;"",IF(D31=59,MINUTE(CP31)+1,MINUTE(CP31)),"")),"")</f>
        <v/>
      </c>
      <c r="B33" s="40" t="str">
        <f>IF(AND(E31="",B31&lt;&gt;""),IF(CP31=$CP$18,"",IF(C31&lt;&gt;"",IF(D31=59,0,SECOND(CP31)+1),"")),"")</f>
        <v/>
      </c>
      <c r="C33" s="50"/>
      <c r="D33" s="50"/>
      <c r="E33" s="9"/>
      <c r="F33" s="51"/>
      <c r="G33" s="42" t="str">
        <f>IF(F33&lt;&gt;"",IF(OR(F33="Transition",F33="Transition - Surface Connection"),0,MAX($G$19:G32)+1),"")</f>
        <v/>
      </c>
      <c r="H33" s="56" t="str">
        <f t="shared" ref="H33" si="687">IFERROR(IF(E34="3","",IF(OR(F33="Hybrid - min 4 swimmers (no DD)",LEFT(F33,5)="Trans"),"No DD",CONCATENATE("BM = ",I34))),"")</f>
        <v/>
      </c>
      <c r="I33" s="57"/>
      <c r="J33" s="124"/>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79"/>
      <c r="AO33" s="43"/>
      <c r="AP33" s="74"/>
      <c r="AQ33" s="74"/>
      <c r="AR33" s="104"/>
      <c r="AS33" s="104"/>
      <c r="AT33" s="104"/>
      <c r="AU33" s="104"/>
      <c r="AV33" s="104"/>
      <c r="AW33" s="105" t="str">
        <f t="shared" ref="AW33" si="688">E34</f>
        <v/>
      </c>
      <c r="AX33" s="108" t="str">
        <f t="shared" ref="AX33" si="689">IF(AY33=0,"",TIME(0,A33,B33))</f>
        <v/>
      </c>
      <c r="AY33" s="108">
        <f t="shared" ref="AY33" si="690">TIME(0,C33,D33)</f>
        <v>0</v>
      </c>
      <c r="AZ33" s="108" t="str">
        <f t="shared" ref="AZ33" si="691">IFERROR(AY33-AX33,"")</f>
        <v/>
      </c>
      <c r="BA33" s="276" t="str">
        <f t="shared" ref="BA33" si="692">IF($AX$17=0,"",IF(AND($C$10&lt;&gt;"",AW33="H",AZ33&gt;$AX$17),"X",""))</f>
        <v/>
      </c>
      <c r="BB33" s="104"/>
      <c r="BC33" s="104"/>
      <c r="BD33" s="104"/>
      <c r="BE33" s="104"/>
      <c r="BF33" s="104"/>
      <c r="BG33" s="104" t="str">
        <f>IFERROR(IF(F33&lt;&gt;"",INDEX(Parts_Active,MATCH(F33,Parts_Active,0)),""),"No")</f>
        <v/>
      </c>
      <c r="BH33" s="104"/>
      <c r="BI33" s="104" t="str">
        <f t="shared" ref="BI33" si="693">IF($E34="H",IF($F33="Hybrid - Thrust + 2 connections","Hybrid_Mix_Req",IF($F33="Hybrid - min 4 swimmers (no DD)","Hybrid_ChoHY","HybridDD_Code")),IF($E34=3,"TreDD_Code",IF($E34="PA","AcroPair_Code",IF(LEFT($F33,4)="Acro",CONCATENATE(BI$16,$E34,"_Code"),"Data!$BI$1:$BI$5"))))</f>
        <v>Data!$BI$1:$BI$5</v>
      </c>
      <c r="BJ33" s="104" t="str">
        <f t="shared" ref="BJ33" si="694">IF($E34="H",IF($F33="Hybrid - Thrust + 2 connections","Hybrid_Mix_Req",IF($F33="Hybrid - min 4 swimmers (no DD)","Data!$BI$1:$BI$5","HybridDD_Code")),IF($E34=3,"TreDD_Code",IF($E34="PA","AcroPair_Code",IF(LEFT($F33,4)="Acro",CONCATENATE(BJ$16,$E34,"_Code"),"Data!$BI$1:$BI$5"))))</f>
        <v>Data!$BI$1:$BI$5</v>
      </c>
      <c r="BK33" s="104" t="str">
        <f t="shared" si="6"/>
        <v>Data!$BI$1:$BI$5</v>
      </c>
      <c r="BL33" s="104" t="str">
        <f t="shared" si="6"/>
        <v>Data!$BI$1:$BI$5</v>
      </c>
      <c r="BM33" s="104" t="str">
        <f t="shared" si="6"/>
        <v>Data!$BI$1:$BI$5</v>
      </c>
      <c r="BN33" s="104" t="str">
        <f t="shared" si="6"/>
        <v>Data!$BI$1:$BI$5</v>
      </c>
      <c r="BO33" s="104" t="str">
        <f t="shared" si="6"/>
        <v>Data!$BI$1:$BI$5</v>
      </c>
      <c r="BP33" s="104" t="str">
        <f t="shared" si="6"/>
        <v>Data!$BI$1:$BI$5</v>
      </c>
      <c r="BQ33" s="104" t="str">
        <f t="shared" si="6"/>
        <v>Data!$BI$1:$BI$5</v>
      </c>
      <c r="BR33" s="104" t="str">
        <f t="shared" ref="BR33" si="695">IF($E34="H",IF($F33="Hybrid - Thrust + 2 connections","Data!$BI$1:$BI$5","HybridDD_Code"),"Data!$BI$1:$BI$5")</f>
        <v>Data!$BI$1:$BI$5</v>
      </c>
      <c r="BS33" s="104" t="str">
        <f t="shared" si="369"/>
        <v>Data!$BI$1:$BI$5</v>
      </c>
      <c r="BT33" s="104" t="str">
        <f t="shared" si="369"/>
        <v>Data!$BI$1:$BI$5</v>
      </c>
      <c r="BU33" s="104" t="str">
        <f t="shared" si="369"/>
        <v>Data!$BI$1:$BI$5</v>
      </c>
      <c r="BV33" s="104" t="str">
        <f t="shared" si="369"/>
        <v>Data!$BI$1:$BI$5</v>
      </c>
      <c r="BW33" s="104" t="str">
        <f t="shared" si="369"/>
        <v>Data!$BI$1:$BI$5</v>
      </c>
      <c r="BX33" s="104" t="str">
        <f t="shared" si="369"/>
        <v>Data!$BI$1:$BI$5</v>
      </c>
      <c r="BY33" s="104" t="str">
        <f t="shared" si="369"/>
        <v>Data!$BI$1:$BI$5</v>
      </c>
      <c r="BZ33" s="104" t="str">
        <f t="shared" si="369"/>
        <v>Data!$BI$1:$BI$5</v>
      </c>
      <c r="CA33" s="104" t="str">
        <f t="shared" si="369"/>
        <v>Data!$BI$1:$BI$5</v>
      </c>
      <c r="CB33" s="104" t="str">
        <f t="shared" si="369"/>
        <v>Data!$BI$1:$BI$5</v>
      </c>
      <c r="CC33" s="104" t="str">
        <f t="shared" si="369"/>
        <v>Data!$BI$1:$BI$5</v>
      </c>
      <c r="CD33" s="104" t="str">
        <f t="shared" si="369"/>
        <v>Data!$BI$1:$BI$5</v>
      </c>
      <c r="CE33" s="104" t="str">
        <f t="shared" si="369"/>
        <v>Data!$BI$1:$BI$5</v>
      </c>
      <c r="CF33" s="104" t="str">
        <f t="shared" si="369"/>
        <v>Data!$BI$1:$BI$5</v>
      </c>
      <c r="CG33" s="104" t="str">
        <f t="shared" si="369"/>
        <v>Data!$BI$1:$BI$5</v>
      </c>
      <c r="CH33" s="104" t="str">
        <f t="shared" si="369"/>
        <v>Data!$BI$1:$BI$5</v>
      </c>
      <c r="CI33" s="104" t="str">
        <f t="shared" si="8"/>
        <v>Data!$BI$1:$BI$5</v>
      </c>
      <c r="CJ33" s="104" t="str">
        <f t="shared" si="8"/>
        <v>Data!$BI$1:$BI$5</v>
      </c>
      <c r="CK33" s="104" t="str">
        <f t="shared" si="8"/>
        <v>Data!$BI$1:$BI$5</v>
      </c>
      <c r="CL33" s="104" t="str">
        <f t="shared" si="8"/>
        <v>Data!$BI$1:$BI$5</v>
      </c>
      <c r="CM33" s="104"/>
      <c r="CN33" s="104"/>
      <c r="CO33" s="107" t="str">
        <f>IFERROR(TIME(0,A33,B33),"")</f>
        <v/>
      </c>
      <c r="CP33" s="108">
        <f>IFERROR(TIME(0,C33,D33),"")</f>
        <v>0</v>
      </c>
      <c r="CQ33" s="108" t="str">
        <f t="shared" ref="CQ33" si="696">IF(CP33&gt;$D$12,"X","")</f>
        <v/>
      </c>
      <c r="CR33" s="102" t="str">
        <f>IF(AND(F33="Hybrid - Thrust + 2 connections",OR(LEFT(J33,1)="T",LEFT(K33,1)="T",LEFT(L33,1)="T",LEFT(PB33,1)="T",LEFT(M33,1)="T",LEFT(N33,1)="T",LEFT(O33,1)="T",LEFT(P33,1)="T",LEFT(Q33,1)="T",LEFT(R33,1)="T",LEFT(S33,1)="T",LEFT(T33,1)="T",LEFT(U33,1)="T",LEFT(V33,1)="T",LEFT(W33,1)="T",LEFT(X33,1)="T",LEFT(AK33,1)="T",LEFT(AL33,1)="T",LEFT(AM33,1)="T")),IF(OR(LEN(J33)=2,LEN(K33)=2,LEN(L33)=2,LEN(M33)=2,LEN(N33)=2,LEN(O33)=2,LEN(P33)=2,LEN(Q33)=2,LEN(R33)=2,LEN(S33)=2,LEN(T33)=2,LEN(U33)=2,LEN(V33)=2,LEN(W33)=2,LEN(X33)=2,LEN(Y33)=2,LEN(Z33)=2,LEN(AK33)=2,LEN(AL33)=2,LEN(AM33)=2),"X",""),"")</f>
        <v/>
      </c>
      <c r="CS33" s="105"/>
      <c r="CT33" s="102" t="str">
        <f>IF(LEFT(F33,4)="Acro",IF(AND(N33&lt;&gt;"",M33=RIGHT(N33,2)),"X","OK"),"")</f>
        <v/>
      </c>
      <c r="CU33" s="104" t="str">
        <f t="shared" ref="CU33:DB33" si="697">IFERROR(IF(AND(LEFT($F33,4)="Acro",INDEX(Requ_App,MATCH(BI33,Requ_Code,0))="No"),"X",""),"")</f>
        <v/>
      </c>
      <c r="CV33" s="104" t="str">
        <f t="shared" si="697"/>
        <v/>
      </c>
      <c r="CW33" s="104" t="str">
        <f t="shared" si="697"/>
        <v/>
      </c>
      <c r="CX33" s="104" t="str">
        <f t="shared" si="697"/>
        <v/>
      </c>
      <c r="CY33" s="104" t="str">
        <f t="shared" si="697"/>
        <v/>
      </c>
      <c r="CZ33" s="104" t="str">
        <f t="shared" si="697"/>
        <v/>
      </c>
      <c r="DA33" s="104" t="str">
        <f t="shared" si="697"/>
        <v/>
      </c>
      <c r="DB33" s="104" t="str">
        <f t="shared" si="697"/>
        <v/>
      </c>
      <c r="DC33" s="104" t="str">
        <f>IFERROR(IF(AND(LEFT($F33,4)="Acro",INDEX(Requ_App,MATCH(BP33,Requ_Code,0))="No"),"X",""),"")</f>
        <v/>
      </c>
      <c r="DD33" s="102" t="str">
        <f t="shared" si="10"/>
        <v/>
      </c>
      <c r="DE33" s="102" t="str">
        <f t="shared" si="11"/>
        <v/>
      </c>
      <c r="DF33" s="102" t="str">
        <f t="shared" si="12"/>
        <v/>
      </c>
      <c r="DG33" s="102" t="str">
        <f t="shared" si="13"/>
        <v/>
      </c>
      <c r="DK33" s="102">
        <f t="shared" ref="DK33" si="698">IF(AND(E34="A",OR(Q33="Grip",Q33="Conn",Q33="Catch")),"A1",IF(AND(E34="A",OR(Q33="Hula",Q33="RetSq",Q33="RetPa")),"A2",IF(AND(E34="B",OR(Q33="Twirl",Q33="RotF")),"B1",IF(AND(E34="B",OR(Q33="Moon",Q33="Mov",Q33="Hold")),"B2",IF(AND(E34="P",OR(Q33="Porp",Q33="Splch")),"P1",IF(AND(E34="P",OR(Q33="Diva",Q33="Stand")),"P2",IF(AND(E34="P",OR(Q33="Spider",Q33="Climb")),"P3",IF(AND(E34="P",OR(Q33="Fall",Q33="FTurn")),"P4",IF(AND(E34="C",OR(Q33="Jump",Q33="Jump&gt;",Q33="On1Foot",Q33="1F&gt;1F")),"C1",IF(AND(E34="C",OR(Q33="Run",Q33="BRun")),"C2",1))))))))))</f>
        <v>1</v>
      </c>
      <c r="DL33" s="102">
        <f t="shared" ref="DL33" si="699">IF(AND(E34="A",OR(R33="Grip",R33="Conn",R33="Catch")),"A1",IF(AND(E34="A",OR(R33="Hula",R33="RetSq",R33="RetPa")),"A2",IF(AND(E34="B",OR(R33="Twirl",R33="RotF")),"B1",IF(AND(E34="B",OR(R33="Moon",R33="Mov",R33="Hold")),"B2",IF(AND(E34="P",OR(R33="Porp",R33="Spich")),"P1",IF(AND(E34="P",OR(R33="Diva",R33="Stand")),"P2",IF(AND(E34="P",OR(R33="Spider",R33="Climb")),"P3",IF(AND(E34="P",OR(R33="Fall",R33="FTurn")),"P4",IF(AND(E34="C",OR(R33="Jump",R33="Jump&gt;",R33="On1Foot",R33="1F&gt;1F")),"C1",IF(AND(E34="C",OR(R33="Run",R33="BRun")),"C2",2))))))))))</f>
        <v>2</v>
      </c>
      <c r="DM33" s="102" t="str">
        <f>IF(AND(LEFT(F33,4)="Acro",Q33&lt;&gt;"",OR(Q33=R33,DK33=DL33)),IF(R33="C-Roll","","X"),IF(OR(AND(E34="A",Q33="Catch",R33&lt;&gt;"Dbl"),AND(E34="A",R33="Catch",Q33&lt;&gt;"Dbl")),"X",""))</f>
        <v/>
      </c>
      <c r="DN33" s="102" t="str">
        <f>IF(E34="PA",J33,"")</f>
        <v/>
      </c>
      <c r="DO33" s="102">
        <v>15</v>
      </c>
      <c r="DQ33" s="102" t="str">
        <f>IF(AND($E34="A",COUNTIF($DZ$19:$EA$68,DZ33)&gt;1),DZ33,"")</f>
        <v/>
      </c>
      <c r="DR33" s="102" t="str">
        <f>IF(AND($E34="A",COUNTIF($DZ$19:$EA$68,EA33)&gt;1),EA33,"")</f>
        <v/>
      </c>
      <c r="DS33" s="102" t="str">
        <f ca="1">IF(AND($E34="B",COUNTIF($J$19:$J$68,J33)&gt;1),J33,"")</f>
        <v/>
      </c>
      <c r="DT33" s="102" t="str">
        <f ca="1">IF(AND($E34="B",COUNTIF($K$19:$K$68,K33)&gt;1),K33,"")</f>
        <v/>
      </c>
      <c r="DU33" s="102" t="str">
        <f ca="1">IF(AND($E34="C",COUNTIF($J$19:$J$68,J33)&gt;1),J33,"")</f>
        <v/>
      </c>
      <c r="DV33" s="102" t="str">
        <f ca="1">IF(AND($E34="P",COUNTIF($J$19:$J$68,J33)&gt;1),J33,"")</f>
        <v/>
      </c>
      <c r="DW33" s="102" t="str">
        <f ca="1">IF(AND($E34="P",COUNTIF($K$19:$K$68,K33)&gt;1),K33,"")</f>
        <v/>
      </c>
      <c r="DX33" s="102" t="str">
        <f>IF(AND($E34="P",COUNTIF($DZ$19:$EA$68,DZ33)&gt;1),DZ33,"")</f>
        <v/>
      </c>
      <c r="DY33" s="102" t="str">
        <f>IF(AND($E34="P",COUNTIF($DZ$19:$EA$68,EA33)&gt;1),EA33,"")</f>
        <v/>
      </c>
      <c r="DZ33" s="102" t="str">
        <f>IFERROR(IF(OR(E34="A",E34="P"),M33,""),"")</f>
        <v/>
      </c>
      <c r="EA33" s="102" t="str">
        <f>IFERROR(IF(OR(E34="A",E34="P"),RIGHT(N33,2),""),"")</f>
        <v/>
      </c>
      <c r="EB33" s="102" t="str">
        <f t="shared" ref="EB33" si="700">IF(Q33="","",IF(AND($E34="P",COUNTIF($Q$19:$R$68,Q33)&gt;1),Q33,""))</f>
        <v/>
      </c>
      <c r="EC33" s="102" t="str">
        <f t="shared" ref="EC33" si="701">IF(R33="","",IF(AND($E34="P",COUNTIF($Q$19:$R$68,R33)&gt;1),R33,""))</f>
        <v/>
      </c>
      <c r="ED33" s="102" t="str">
        <f t="shared" si="14"/>
        <v/>
      </c>
      <c r="EE33" s="102" t="str">
        <f t="shared" si="15"/>
        <v/>
      </c>
      <c r="EF33" s="102" t="str">
        <f>IF(AND($F$8="Open Team Acrobatic",LEFT(F33,4)="Acro"),E34,"")</f>
        <v/>
      </c>
      <c r="EG33" s="102" t="str">
        <f t="shared" ref="EG33" si="702">IFERROR(IF(HLOOKUP(EF33,$DQ$12:$DT$13,2,FALSE)&gt;2,"X",""),"")</f>
        <v/>
      </c>
      <c r="EI33" s="102" t="str">
        <f t="shared" ref="EI33" si="703">IF(OR(AND(F33="Hybrid - Thrust + 2 connections",EI34="T"),AND(E34="H",EI34&lt;&gt;"",EI87="X")),"X","")</f>
        <v/>
      </c>
      <c r="EK33" s="102">
        <f t="shared" ref="EK33" si="704">IFERROR(IF(AND($E34="H",J33&lt;&gt;"",J33&lt;&gt;"ChoHY"),IF(OR(LEFT(J33,1)="T",LEFT(J33,1)="S",LEFT(J33,1)="A",LEFT(J33,1)="F",LEFT(J33,1)="C"),LEFT(J33,1),"R"),EK$18),"")</f>
        <v>1</v>
      </c>
      <c r="EL33" s="102">
        <f t="shared" ref="EL33:EZ33" si="705">IFERROR(IF(AND($E34="H",K33&lt;&gt;""),IF(OR(LEFT(K33,1)="T",LEFT(K33,1)="S",LEFT(K33,1)="A",LEFT(K33,1)="F",LEFT(K33,1)="C"),LEFT(K33,1),"R"),EL$18),"")</f>
        <v>2</v>
      </c>
      <c r="EM33" s="102">
        <f t="shared" si="705"/>
        <v>3</v>
      </c>
      <c r="EN33" s="102">
        <f t="shared" si="705"/>
        <v>4</v>
      </c>
      <c r="EO33" s="102">
        <f t="shared" si="705"/>
        <v>5</v>
      </c>
      <c r="EP33" s="102">
        <f t="shared" si="705"/>
        <v>6</v>
      </c>
      <c r="EQ33" s="102">
        <f t="shared" si="705"/>
        <v>7</v>
      </c>
      <c r="ER33" s="102">
        <f t="shared" si="705"/>
        <v>8</v>
      </c>
      <c r="ES33" s="102">
        <f t="shared" si="705"/>
        <v>9</v>
      </c>
      <c r="ET33" s="102">
        <f t="shared" si="705"/>
        <v>10</v>
      </c>
      <c r="EU33" s="102">
        <f t="shared" si="705"/>
        <v>11</v>
      </c>
      <c r="EV33" s="102">
        <f t="shared" si="705"/>
        <v>12</v>
      </c>
      <c r="EW33" s="102">
        <f t="shared" si="705"/>
        <v>13</v>
      </c>
      <c r="EX33" s="102">
        <f t="shared" si="705"/>
        <v>14</v>
      </c>
      <c r="EY33" s="102">
        <f t="shared" si="705"/>
        <v>15</v>
      </c>
      <c r="EZ33" s="102">
        <f t="shared" si="705"/>
        <v>16</v>
      </c>
      <c r="FA33" s="102">
        <f t="shared" ref="FA33" si="706">IFERROR(IF(AND($E34="H",Z33&lt;&gt;""),IF(OR(LEFT(Z33,1)="T",LEFT(Z33,1)="S",LEFT(Z33,1)="A",LEFT(Z33,1)="F",LEFT(Z33,1)="C"),LEFT(Z33,1),"R"),FA$18),"")</f>
        <v>17</v>
      </c>
      <c r="FB33" s="102">
        <f t="shared" ref="FB33" si="707">IFERROR(IF(AND($E34="H",AA33&lt;&gt;""),IF(OR(LEFT(AA33,1)="T",LEFT(AA33,1)="S",LEFT(AA33,1)="A",LEFT(AA33,1)="F",LEFT(AA33,1)="C"),LEFT(AA33,1),"R"),FB$18),"")</f>
        <v>18</v>
      </c>
      <c r="FC33" s="102">
        <f t="shared" ref="FC33" si="708">IFERROR(IF(AND($E34="H",AB33&lt;&gt;""),IF(OR(LEFT(AB33,1)="T",LEFT(AB33,1)="S",LEFT(AB33,1)="A",LEFT(AB33,1)="F",LEFT(AB33,1)="C"),LEFT(AB33,1),"R"),FC$18),"")</f>
        <v>19</v>
      </c>
      <c r="FD33" s="102">
        <f t="shared" ref="FD33" si="709">IFERROR(IF(AND($E34="H",AC33&lt;&gt;""),IF(OR(LEFT(AC33,1)="T",LEFT(AC33,1)="S",LEFT(AC33,1)="A",LEFT(AC33,1)="F",LEFT(AC33,1)="C"),LEFT(AC33,1),"R"),FD$18),"")</f>
        <v>20</v>
      </c>
      <c r="FE33" s="102">
        <f t="shared" ref="FE33" si="710">IFERROR(IF(AND($E34="H",AD33&lt;&gt;""),IF(OR(LEFT(AD33,1)="T",LEFT(AD33,1)="S",LEFT(AD33,1)="A",LEFT(AD33,1)="F",LEFT(AD33,1)="C"),LEFT(AD33,1),"R"),FE$18),"")</f>
        <v>21</v>
      </c>
      <c r="FF33" s="102">
        <f t="shared" ref="FF33" si="711">IFERROR(IF(AND($E34="H",AE33&lt;&gt;""),IF(OR(LEFT(AE33,1)="T",LEFT(AE33,1)="S",LEFT(AE33,1)="A",LEFT(AE33,1)="F",LEFT(AE33,1)="C"),LEFT(AE33,1),"R"),FF$18),"")</f>
        <v>22</v>
      </c>
      <c r="FG33" s="102">
        <f t="shared" ref="FG33" si="712">IFERROR(IF(AND($E34="H",AF33&lt;&gt;""),IF(OR(LEFT(AF33,1)="T",LEFT(AF33,1)="S",LEFT(AF33,1)="A",LEFT(AF33,1)="F",LEFT(AF33,1)="C"),LEFT(AF33,1),"R"),FG$18),"")</f>
        <v>23</v>
      </c>
      <c r="FH33" s="102">
        <f t="shared" ref="FH33" si="713">IFERROR(IF(AND($E34="H",AG33&lt;&gt;""),IF(OR(LEFT(AG33,1)="T",LEFT(AG33,1)="S",LEFT(AG33,1)="A",LEFT(AG33,1)="F",LEFT(AG33,1)="C"),LEFT(AG33,1),"R"),FH$18),"")</f>
        <v>24</v>
      </c>
      <c r="FI33" s="102">
        <f t="shared" ref="FI33" si="714">IFERROR(IF(AND($E34="H",AH33&lt;&gt;""),IF(OR(LEFT(AH33,1)="T",LEFT(AH33,1)="S",LEFT(AH33,1)="A",LEFT(AH33,1)="F",LEFT(AH33,1)="C"),LEFT(AH33,1),"R"),FI$18),"")</f>
        <v>25</v>
      </c>
      <c r="FJ33" s="102">
        <f t="shared" ref="FJ33" si="715">IFERROR(IF(AND($E34="H",AI33&lt;&gt;""),IF(OR(LEFT(AI33,1)="T",LEFT(AI33,1)="S",LEFT(AI33,1)="A",LEFT(AI33,1)="F",LEFT(AI33,1)="C"),LEFT(AI33,1),"R"),FJ$18),"")</f>
        <v>26</v>
      </c>
      <c r="FK33" s="102">
        <f t="shared" ref="FK33" si="716">IFERROR(IF(AND($E34="H",AJ33&lt;&gt;""),IF(OR(LEFT(AJ33,1)="T",LEFT(AJ33,1)="S",LEFT(AJ33,1)="A",LEFT(AJ33,1)="F",LEFT(AJ33,1)="C"),LEFT(AJ33,1),"R"),FK$18),"")</f>
        <v>27</v>
      </c>
      <c r="FL33" s="102">
        <f t="shared" ref="FL33" si="717">IFERROR(IF(AND($E34="H",AK33&lt;&gt;""),IF(OR(LEFT(AK33,1)="T",LEFT(AK33,1)="S",LEFT(AK33,1)="A",LEFT(AK33,1)="F",LEFT(AK33,1)="C"),LEFT(AK33,1),"R"),FL$18),"")</f>
        <v>28</v>
      </c>
      <c r="FM33" s="102">
        <f t="shared" ref="FM33" si="718">IFERROR(IF(AND($E34="H",AL33&lt;&gt;""),IF(OR(LEFT(AL33,1)="T",LEFT(AL33,1)="S",LEFT(AL33,1)="A",LEFT(AL33,1)="F",LEFT(AL33,1)="C"),LEFT(AL33,1),"R"),FM$18),"")</f>
        <v>29</v>
      </c>
      <c r="FN33" s="102">
        <f t="shared" ref="FN33" si="719">IFERROR(IF(AND($E34="H",AM33&lt;&gt;""),IF(OR(LEFT(AM33,1)="T",LEFT(AM33,1)="S",LEFT(AM33,1)="A",LEFT(AM33,1)="F",LEFT(AM33,1)="C"),LEFT(AM33,1),"R"),FN$18),"")</f>
        <v>30</v>
      </c>
      <c r="FO33" s="102"/>
      <c r="FP33" s="102"/>
      <c r="FQ33" s="102"/>
      <c r="FR33" s="282"/>
      <c r="FS33" s="282"/>
      <c r="FT33" s="282"/>
      <c r="FU33" s="282"/>
      <c r="FV33" s="282"/>
      <c r="FW33" s="282"/>
      <c r="FX33" s="282"/>
      <c r="FY33" s="282"/>
      <c r="FZ33" s="282"/>
      <c r="GA33" s="282"/>
      <c r="GB33" s="282"/>
      <c r="GC33" s="282"/>
      <c r="GD33" s="282"/>
      <c r="GE33" s="282"/>
      <c r="GF33" s="282"/>
      <c r="GG33" s="282"/>
      <c r="GH33" s="282"/>
      <c r="GI33" s="282"/>
      <c r="GJ33" s="282"/>
      <c r="GK33" s="282"/>
      <c r="GL33" s="282"/>
      <c r="GM33" s="282"/>
      <c r="GN33" s="282"/>
      <c r="GO33" s="282"/>
      <c r="GP33" s="282"/>
      <c r="GQ33" s="282"/>
      <c r="GR33" s="282"/>
      <c r="GS33" s="282"/>
      <c r="GT33" s="282"/>
      <c r="GU33" s="282"/>
      <c r="GV33" s="102"/>
      <c r="GW33" s="102">
        <f t="shared" ref="GW33" si="720">COUNTIF($EK33:$FN33,GW$18)</f>
        <v>0</v>
      </c>
      <c r="GX33" s="102">
        <f t="shared" si="29"/>
        <v>0</v>
      </c>
      <c r="GY33" s="102">
        <f t="shared" si="29"/>
        <v>0</v>
      </c>
      <c r="GZ33" s="102">
        <f t="shared" si="29"/>
        <v>0</v>
      </c>
      <c r="HA33" s="102">
        <f t="shared" si="29"/>
        <v>0</v>
      </c>
      <c r="HB33" s="102">
        <f t="shared" si="29"/>
        <v>0</v>
      </c>
      <c r="HC33" s="102"/>
      <c r="HD33" s="102" t="str">
        <f t="shared" ref="HD33" si="721">IF(AND($F33="Hybrid - Thrust + 2 connections",HD34=0,LEFT($J33,1)="C",LEFT($K33,1)="C",LEFT($L33,1)="C"),"X","")</f>
        <v/>
      </c>
      <c r="HE33" s="102"/>
      <c r="HF33" s="105"/>
      <c r="HG33" s="114"/>
      <c r="HH33" s="114"/>
      <c r="HI33" s="105" t="str">
        <f t="shared" ref="HI33" si="722">IF(E34=3,IF(_xlfn.NUMBERVALUE(LEFT(J33,1))&gt;0,_xlfn.NUMBERVALUE(LEFT(J33,1)),""),"")</f>
        <v/>
      </c>
      <c r="HK33" s="105" t="str">
        <f t="shared" ref="HK33" si="723">IF(OR(E34="B",E34="P"),E34,"")</f>
        <v/>
      </c>
      <c r="HL33" s="105" t="str">
        <f>IF(AND(J33&lt;&gt;"",HK33&lt;&gt;""),IF(HK33="B",MATCH(J33,AcroDD!$U$3:$AE$3,0),MATCH(J33,AcroDD!$U$30:$AC$30,0)),"")</f>
        <v/>
      </c>
      <c r="HM33" s="105" t="str">
        <f t="shared" ref="HM33" si="724">IF(AND(K33&lt;&gt;"",HK33&lt;&gt;""),K33,"")</f>
        <v/>
      </c>
      <c r="HN33" s="105" t="str">
        <f ca="1">IF(AND(OR(HK33="B",HK33="P"),HL33&lt;&gt;"",HM33&lt;&gt;""),IF(IFERROR(IF(HK33="B",MATCH(HM33,OFFSET(AcroDD!$T$4,0,HL33,20),0),MATCH(HM33,OFFSET(AcroDD!$T$31,0,HL33,20),0)),"")&lt;&gt;"","OK","X"),"")</f>
        <v/>
      </c>
    </row>
    <row r="34" spans="1:222" x14ac:dyDescent="0.25">
      <c r="A34" s="39"/>
      <c r="B34" s="40"/>
      <c r="C34" s="40"/>
      <c r="D34" s="40"/>
      <c r="E34" s="20" t="str">
        <f>IF(F33="Acrobatic - Pair","PA",IF(F33="Acrobatic Airborn","A",IF(F33="Acrobatic Balance","B",IF(F33="Acrobatic Combined","C",IF(F33="Acrobatic Platform","P",IF(F33="Technical Required Element",3,IF(LEFT(F33,4)="Hybr","H","")))))))</f>
        <v/>
      </c>
      <c r="F34" s="20" t="str">
        <f>IF(AND(F33="Hybrid - Thrust + 2 connections",CR33="X"),"Hybrid - Thrust",IF(OR(E34="A",E34="B",E34="C",E34="P"),"Acrobatic",""))</f>
        <v/>
      </c>
      <c r="G34" s="42"/>
      <c r="H34" s="207" t="str">
        <f t="shared" ref="H34" si="725">IF(E34="PA",IF(OR(LEFT(J33,1)="L",LEFT(J33,1)="S"),"A-Pair-Lift",IF(OR(LEFT(J33,1)="W",LEFT(J33,1)="T"),"A-Pair-Throw",IF(LEFT(J33,1)="J","A-Pair-Jump","A-Pair"))),IF(OR(E34="A",E34="B",E34="C",E34="P"),CONCATENATE("Acro-",E34),""))</f>
        <v/>
      </c>
      <c r="I34" s="201" t="e">
        <f t="shared" ref="I34" si="726">IF(OR(F33="Hybrid - min 4 swimmers (no DD)",LEFT(F33,5)="Trans"),0,INDEX($BY$3:$BY$9,MATCH(E34,$BX$3:$BX$9,0)))</f>
        <v>#N/A</v>
      </c>
      <c r="J34" s="196">
        <f ca="1">IFERROR(IF($H33="No DD",IF(J33="ChoHY",1,0),IF(OR(ISBLANK(J33),J33="N/A"),0,INDEX(INDIRECT(BI34),MATCH(J33,INDIRECT(BI33),0)))),0)</f>
        <v>0</v>
      </c>
      <c r="K34" s="196">
        <f t="shared" ref="K34:Y34" ca="1" si="727">IFERROR(IF($H33="No DD",0,IF(OR(ISBLANK(K33),K33="N/A"),0,INDEX(INDIRECT(BJ34),MATCH(K33,INDIRECT(BJ33),0)))),0)</f>
        <v>0</v>
      </c>
      <c r="L34" s="196">
        <f t="shared" ca="1" si="727"/>
        <v>0</v>
      </c>
      <c r="M34" s="196">
        <f t="shared" ca="1" si="727"/>
        <v>0</v>
      </c>
      <c r="N34" s="196">
        <f t="shared" ca="1" si="727"/>
        <v>0</v>
      </c>
      <c r="O34" s="196">
        <f t="shared" ca="1" si="727"/>
        <v>0</v>
      </c>
      <c r="P34" s="196">
        <f t="shared" ca="1" si="727"/>
        <v>0</v>
      </c>
      <c r="Q34" s="196">
        <f t="shared" ca="1" si="727"/>
        <v>0</v>
      </c>
      <c r="R34" s="196">
        <f t="shared" ca="1" si="727"/>
        <v>0</v>
      </c>
      <c r="S34" s="196">
        <f t="shared" ca="1" si="727"/>
        <v>0</v>
      </c>
      <c r="T34" s="196">
        <f t="shared" ca="1" si="727"/>
        <v>0</v>
      </c>
      <c r="U34" s="196">
        <f t="shared" ca="1" si="727"/>
        <v>0</v>
      </c>
      <c r="V34" s="196">
        <f t="shared" ca="1" si="727"/>
        <v>0</v>
      </c>
      <c r="W34" s="196">
        <f t="shared" ca="1" si="727"/>
        <v>0</v>
      </c>
      <c r="X34" s="196">
        <f t="shared" ca="1" si="727"/>
        <v>0</v>
      </c>
      <c r="Y34" s="196">
        <f t="shared" ca="1" si="727"/>
        <v>0</v>
      </c>
      <c r="Z34" s="196">
        <f t="shared" ref="Z34" ca="1" si="728">IFERROR(IF($H33="No DD",0,IF(OR(ISBLANK(Z33),Z33="N/A"),0,INDEX(INDIRECT(BY34),MATCH(Z33,INDIRECT(BY33),0)))),0)</f>
        <v>0</v>
      </c>
      <c r="AA34" s="196">
        <f t="shared" ref="AA34" ca="1" si="729">IFERROR(IF($H33="No DD",0,IF(OR(ISBLANK(AA33),AA33="N/A"),0,INDEX(INDIRECT(BZ34),MATCH(AA33,INDIRECT(BZ33),0)))),0)</f>
        <v>0</v>
      </c>
      <c r="AB34" s="196">
        <f t="shared" ref="AB34" ca="1" si="730">IFERROR(IF($H33="No DD",0,IF(OR(ISBLANK(AB33),AB33="N/A"),0,INDEX(INDIRECT(CA34),MATCH(AB33,INDIRECT(CA33),0)))),0)</f>
        <v>0</v>
      </c>
      <c r="AC34" s="196">
        <f t="shared" ref="AC34" ca="1" si="731">IFERROR(IF($H33="No DD",0,IF(OR(ISBLANK(AC33),AC33="N/A"),0,INDEX(INDIRECT(CB34),MATCH(AC33,INDIRECT(CB33),0)))),0)</f>
        <v>0</v>
      </c>
      <c r="AD34" s="196">
        <f t="shared" ref="AD34" ca="1" si="732">IFERROR(IF($H33="No DD",0,IF(OR(ISBLANK(AD33),AD33="N/A"),0,INDEX(INDIRECT(CC34),MATCH(AD33,INDIRECT(CC33),0)))),0)</f>
        <v>0</v>
      </c>
      <c r="AE34" s="196">
        <f t="shared" ref="AE34" ca="1" si="733">IFERROR(IF($H33="No DD",0,IF(OR(ISBLANK(AE33),AE33="N/A"),0,INDEX(INDIRECT(CD34),MATCH(AE33,INDIRECT(CD33),0)))),0)</f>
        <v>0</v>
      </c>
      <c r="AF34" s="196">
        <f t="shared" ref="AF34" ca="1" si="734">IFERROR(IF($H33="No DD",0,IF(OR(ISBLANK(AF33),AF33="N/A"),0,INDEX(INDIRECT(CE34),MATCH(AF33,INDIRECT(CE33),0)))),0)</f>
        <v>0</v>
      </c>
      <c r="AG34" s="196">
        <f t="shared" ref="AG34" ca="1" si="735">IFERROR(IF($H33="No DD",0,IF(OR(ISBLANK(AG33),AG33="N/A"),0,INDEX(INDIRECT(CF34),MATCH(AG33,INDIRECT(CF33),0)))),0)</f>
        <v>0</v>
      </c>
      <c r="AH34" s="196">
        <f t="shared" ref="AH34" ca="1" si="736">IFERROR(IF($H33="No DD",0,IF(OR(ISBLANK(AH33),AH33="N/A"),0,INDEX(INDIRECT(CG34),MATCH(AH33,INDIRECT(CG33),0)))),0)</f>
        <v>0</v>
      </c>
      <c r="AI34" s="196">
        <f t="shared" ref="AI34" ca="1" si="737">IFERROR(IF($H33="No DD",0,IF(OR(ISBLANK(AI33),AI33="N/A"),0,INDEX(INDIRECT(CH34),MATCH(AI33,INDIRECT(CH33),0)))),0)</f>
        <v>0</v>
      </c>
      <c r="AJ34" s="196">
        <f t="shared" ref="AJ34" ca="1" si="738">IFERROR(IF($H33="No DD",0,IF(OR(ISBLANK(AJ33),AJ33="N/A"),0,INDEX(INDIRECT(CI34),MATCH(AJ33,INDIRECT(CI33),0)))),0)</f>
        <v>0</v>
      </c>
      <c r="AK34" s="196">
        <f t="shared" ref="AK34" ca="1" si="739">IFERROR(IF($H33="No DD",0,IF(OR(ISBLANK(AK33),AK33="N/A"),0,INDEX(INDIRECT(CJ34),MATCH(AK33,INDIRECT(CJ33),0)))),0)</f>
        <v>0</v>
      </c>
      <c r="AL34" s="196">
        <f t="shared" ref="AL34" ca="1" si="740">IFERROR(IF($H33="No DD",0,IF(OR(ISBLANK(AL33),AL33="N/A"),0,INDEX(INDIRECT(CK34),MATCH(AL33,INDIRECT(CK33),0)))),0)</f>
        <v>0</v>
      </c>
      <c r="AM34" s="196">
        <f t="shared" ref="AM34" ca="1" si="741">IFERROR(IF($H33="No DD",0,IF(OR(ISBLANK(AM33),AM33="N/A"),0,INDEX(INDIRECT(CL34),MATCH(AM33,INDIRECT(CL33),0)))),0)</f>
        <v>0</v>
      </c>
      <c r="AN34" s="197" t="str">
        <f>IFERROR(IF(E34="H",INDEX(HybridBonus_Value,MATCH(AN33,HybridBonus_Code,0)),""),"")</f>
        <v/>
      </c>
      <c r="AO34" s="195" t="str">
        <f t="shared" ref="AO34" si="742">IFERROR(SUM(I34:AN34),"")</f>
        <v/>
      </c>
      <c r="AP34" s="75"/>
      <c r="AQ34" s="75"/>
      <c r="AR34" s="115"/>
      <c r="AS34" s="115"/>
      <c r="AT34" s="115"/>
      <c r="AU34" s="115"/>
      <c r="AV34" s="115"/>
      <c r="BA34" s="104"/>
      <c r="BB34" s="115"/>
      <c r="BC34" s="115"/>
      <c r="BD34" s="115"/>
      <c r="BE34" s="115"/>
      <c r="BF34" s="115"/>
      <c r="BG34" s="104"/>
      <c r="BH34" s="115"/>
      <c r="BI34" s="105" t="str">
        <f t="shared" ref="BI34" si="743">IF($E34="H",IF($F33="Hybrid - Thrust + 2 connections","Hybrid_Mix_Req_Value","HybridDD_Value"),IF($E34=3,"TreDD_Value",IF($E34="PA","AcroPair_Value",IF(LEFT($F33,4)="Acro",CONCATENATE(BI$16,$E34,"_Value"),""))))</f>
        <v/>
      </c>
      <c r="BJ34" s="105" t="str">
        <f t="shared" ref="BJ34" si="744">IF($E34="H",IF($F33="Hybrid - Thrust + 2 connections","Hybrid_Mix_Req_Value","HybridDD_Value"),IF($E34=3,"TreDD_Value",IF($E34="PA","AcroPair_Value",IF(LEFT($F33,4)="Acro",CONCATENATE(BJ$16,$E34,"_Value"),""))))</f>
        <v/>
      </c>
      <c r="BK34" s="105" t="str">
        <f t="shared" ref="BK34" si="745">IF($E34="H",IF($F33="Hybrid - Thrust + 2 connections","Hybrid_Mix_Req_Value","HybridDD_Value"),IF($E34=3,"TreDD_Value",IF($E34="PA","AcroPair_Value",IF(LEFT($F33,4)="Acro",CONCATENATE(BK$16,$E34,"_Value"),""))))</f>
        <v/>
      </c>
      <c r="BL34" s="105" t="str">
        <f t="shared" ref="BL34" si="746">IF($E34="H",IF($F33="Hybrid - Thrust + 2 connections","Hybrid_Mix_Req_Value","HybridDD_Value"),IF($E34=3,"TreDD_Value",IF($E34="PA","AcroPair_Value",IF(LEFT($F33,4)="Acro",CONCATENATE(BL$16,$E34,"_Value"),""))))</f>
        <v/>
      </c>
      <c r="BM34" s="105" t="str">
        <f t="shared" ref="BM34" si="747">IF($E34="H",IF($F33="Hybrid - Thrust + 2 connections","Hybrid_Mix_Req_Value","HybridDD_Value"),IF($E34=3,"TreDD_Value",IF($E34="PA","AcroPair_Value",IF(LEFT($F33,4)="Acro",CONCATENATE(BM$16,$E34,"_Value"),""))))</f>
        <v/>
      </c>
      <c r="BN34" s="105" t="str">
        <f t="shared" ref="BN34" si="748">IF($E34="H",IF($F33="Hybrid - Thrust + 2 connections","Hybrid_Mix_Req_Value","HybridDD_Value"),IF($E34=3,"TreDD_Value",IF($E34="PA","AcroPair_Value",IF(LEFT($F33,4)="Acro",CONCATENATE(BN$16,$E34,"_Value"),""))))</f>
        <v/>
      </c>
      <c r="BO34" s="105" t="str">
        <f t="shared" ref="BO34" si="749">IF($E34="H",IF($F33="Hybrid - Thrust + 2 connections","Hybrid_Mix_Req_Value","HybridDD_Value"),IF($E34=3,"TreDD_Value",IF($E34="PA","AcroPair_Value",IF(LEFT($F33,4)="Acro",CONCATENATE(BO$16,$E34,"_Value"),""))))</f>
        <v/>
      </c>
      <c r="BP34" s="105" t="str">
        <f t="shared" ref="BP34" si="750">IF($E34="H",IF($F33="Hybrid - Thrust + 2 connections","Hybrid_Mix_Req_Value","HybridDD_Value"),IF($E34=3,"TreDD_Value",IF($E34="PA","AcroPair_Value",IF(LEFT($F33,4)="Acro",CONCATENATE(BP$16,$E34,"_Value"),""))))</f>
        <v/>
      </c>
      <c r="BQ34" s="105" t="str">
        <f t="shared" ref="BQ34" si="751">IF($E34="H",IF($F33="Hybrid - Thrust + 2 connections","Hybrid_Mix_Req_Value","HybridDD_Value"),IF($E34=3,"TreDD_Value",IF($E34="PA","AcroPair_Value",IF(LEFT($F33,4)="Acro",CONCATENATE(BQ$16,$E34,"_Value"),""))))</f>
        <v/>
      </c>
      <c r="BR34" s="104" t="str">
        <f t="shared" ref="BR34" si="752">IF($E34="H",IF($F33="Hybrid - Thrust + 2 connections","Data!$BI$1:$BI$5","HybridDD_Value"),"Data!$BI$1:$BI$5")</f>
        <v>Data!$BI$1:$BI$5</v>
      </c>
      <c r="BS34" s="104" t="str">
        <f t="shared" ref="BS34" si="753">IF($E34="H",IF($F33="Hybrid - Thrust + 2 connections","Data!$BI$1:$BI$5","HybridDD_Value"),"Data!$BI$1:$BI$5")</f>
        <v>Data!$BI$1:$BI$5</v>
      </c>
      <c r="BT34" s="104" t="str">
        <f t="shared" ref="BT34" si="754">IF($E34="H",IF($F33="Hybrid - Thrust + 2 connections","Data!$BI$1:$BI$5","HybridDD_Value"),"Data!$BI$1:$BI$5")</f>
        <v>Data!$BI$1:$BI$5</v>
      </c>
      <c r="BU34" s="104" t="str">
        <f t="shared" ref="BU34" si="755">IF($E34="H",IF($F33="Hybrid - Thrust + 2 connections","Data!$BI$1:$BI$5","HybridDD_Value"),"Data!$BI$1:$BI$5")</f>
        <v>Data!$BI$1:$BI$5</v>
      </c>
      <c r="BV34" s="104" t="str">
        <f t="shared" ref="BV34" si="756">IF($E34="H",IF($F33="Hybrid - Thrust + 2 connections","Data!$BI$1:$BI$5","HybridDD_Value"),"Data!$BI$1:$BI$5")</f>
        <v>Data!$BI$1:$BI$5</v>
      </c>
      <c r="BW34" s="104" t="str">
        <f t="shared" ref="BW34" si="757">IF($E34="H",IF($F33="Hybrid - Thrust + 2 connections","Data!$BI$1:$BI$5","HybridDD_Value"),"Data!$BI$1:$BI$5")</f>
        <v>Data!$BI$1:$BI$5</v>
      </c>
      <c r="BX34" s="104" t="str">
        <f t="shared" ref="BX34" si="758">IF($E34="H",IF($F33="Hybrid - Thrust + 2 connections","Data!$BI$1:$BI$5","HybridDD_Value"),"Data!$BI$1:$BI$5")</f>
        <v>Data!$BI$1:$BI$5</v>
      </c>
      <c r="BY34" s="104" t="str">
        <f t="shared" ref="BY34" si="759">IF($E34="H",IF($F33="Hybrid - Thrust + 2 connections","Data!$BI$1:$BI$5","HybridDD_Value"),"Data!$BI$1:$BI$5")</f>
        <v>Data!$BI$1:$BI$5</v>
      </c>
      <c r="BZ34" s="104" t="str">
        <f t="shared" ref="BZ34" si="760">IF($E34="H",IF($F33="Hybrid - Thrust + 2 connections","Data!$BI$1:$BI$5","HybridDD_Value"),"Data!$BI$1:$BI$5")</f>
        <v>Data!$BI$1:$BI$5</v>
      </c>
      <c r="CA34" s="104" t="str">
        <f t="shared" ref="CA34" si="761">IF($E34="H",IF($F33="Hybrid - Thrust + 2 connections","Data!$BI$1:$BI$5","HybridDD_Value"),"Data!$BI$1:$BI$5")</f>
        <v>Data!$BI$1:$BI$5</v>
      </c>
      <c r="CB34" s="104" t="str">
        <f t="shared" ref="CB34" si="762">IF($E34="H",IF($F33="Hybrid - Thrust + 2 connections","Data!$BI$1:$BI$5","HybridDD_Value"),"Data!$BI$1:$BI$5")</f>
        <v>Data!$BI$1:$BI$5</v>
      </c>
      <c r="CC34" s="104" t="str">
        <f t="shared" ref="CC34" si="763">IF($E34="H",IF($F33="Hybrid - Thrust + 2 connections","Data!$BI$1:$BI$5","HybridDD_Value"),"Data!$BI$1:$BI$5")</f>
        <v>Data!$BI$1:$BI$5</v>
      </c>
      <c r="CD34" s="104" t="str">
        <f t="shared" ref="CD34" si="764">IF($E34="H",IF($F33="Hybrid - Thrust + 2 connections","Data!$BI$1:$BI$5","HybridDD_Value"),"Data!$BI$1:$BI$5")</f>
        <v>Data!$BI$1:$BI$5</v>
      </c>
      <c r="CE34" s="104" t="str">
        <f t="shared" ref="CE34" si="765">IF($E34="H",IF($F33="Hybrid - Thrust + 2 connections","Data!$BI$1:$BI$5","HybridDD_Value"),"Data!$BI$1:$BI$5")</f>
        <v>Data!$BI$1:$BI$5</v>
      </c>
      <c r="CF34" s="104" t="str">
        <f t="shared" ref="CF34" si="766">IF($E34="H",IF($F33="Hybrid - Thrust + 2 connections","Data!$BI$1:$BI$5","HybridDD_Value"),"Data!$BI$1:$BI$5")</f>
        <v>Data!$BI$1:$BI$5</v>
      </c>
      <c r="CG34" s="104" t="str">
        <f t="shared" ref="CG34" si="767">IF($E34="H",IF($F33="Hybrid - Thrust + 2 connections","Data!$BI$1:$BI$5","HybridDD_Value"),"Data!$BI$1:$BI$5")</f>
        <v>Data!$BI$1:$BI$5</v>
      </c>
      <c r="CH34" s="104" t="str">
        <f t="shared" ref="CH34" si="768">IF($E34="H",IF($F33="Hybrid - Thrust + 2 connections","Data!$BI$1:$BI$5","HybridDD_Value"),"Data!$BI$1:$BI$5")</f>
        <v>Data!$BI$1:$BI$5</v>
      </c>
      <c r="CI34" s="104" t="str">
        <f t="shared" ref="CI34" si="769">IF($E34="H",IF($F33="Hybrid - Thrust + 2 connections","Data!$BI$1:$BI$5","HybridDD_Value"),"Data!$BI$1:$BI$5")</f>
        <v>Data!$BI$1:$BI$5</v>
      </c>
      <c r="CJ34" s="104" t="str">
        <f t="shared" ref="CJ34" si="770">IF($E34="H",IF($F33="Hybrid - Thrust + 2 connections","Data!$BI$1:$BI$5","HybridDD_Value"),"Data!$BI$1:$BI$5")</f>
        <v>Data!$BI$1:$BI$5</v>
      </c>
      <c r="CK34" s="104" t="str">
        <f t="shared" ref="CK34" si="771">IF($E34="H",IF($F33="Hybrid - Thrust + 2 connections","Data!$BI$1:$BI$5","HybridDD_Value"),"Data!$BI$1:$BI$5")</f>
        <v>Data!$BI$1:$BI$5</v>
      </c>
      <c r="CL34" s="104" t="str">
        <f t="shared" ref="CL34" si="772">IF($E34="H",IF($F33="Hybrid - Thrust + 2 connections","Data!$BI$1:$BI$5","HybridDD_Value"),"Data!$BI$1:$BI$5")</f>
        <v>Data!$BI$1:$BI$5</v>
      </c>
      <c r="CM34" s="115"/>
      <c r="CN34" s="115"/>
      <c r="CO34" s="116" t="str">
        <f>IFERROR(IF(AND($BV$6="T",$BV$8="T",LEFT(F33,4)="Acro",AO34&gt;3),"X",IF($N$7="X",IF(AND(E34="C",AO34&gt;$CN$6),"X",IF(AND(E34="A",AO34&gt;$CN$4),"X",IF(AND(E34="B",AO34&gt;$CN$5),"X",IF(AND(E34="P",AO34&gt;$CN$7),"X","")))),"")),"")</f>
        <v/>
      </c>
      <c r="CP34" s="108"/>
      <c r="CQ34" s="105"/>
      <c r="CS34" s="105"/>
      <c r="CT34" s="105"/>
      <c r="CU34" s="105"/>
      <c r="CV34" s="105"/>
      <c r="CW34" s="105"/>
      <c r="CX34" s="105"/>
      <c r="CY34" s="105"/>
      <c r="CZ34" s="105"/>
      <c r="DD34" s="102" t="str">
        <f t="shared" si="10"/>
        <v/>
      </c>
      <c r="DE34" s="102" t="str">
        <f t="shared" si="11"/>
        <v/>
      </c>
      <c r="DF34" s="102" t="str">
        <f t="shared" si="12"/>
        <v/>
      </c>
      <c r="DG34" s="102" t="str">
        <f t="shared" si="13"/>
        <v/>
      </c>
      <c r="DO34" s="102">
        <v>16</v>
      </c>
      <c r="ED34" s="102" t="str">
        <f t="shared" si="14"/>
        <v/>
      </c>
      <c r="EE34" s="102" t="str">
        <f t="shared" si="15"/>
        <v/>
      </c>
      <c r="EI34" s="102" t="str" cm="1">
        <f t="array" ref="EI34">IFERROR(INDEX(EK34:FN34,MATCH(TRUE,INDEX((EK34:FN34&lt;&gt;""),),0)),"")</f>
        <v/>
      </c>
      <c r="EK34" s="102" t="str">
        <f t="shared" ref="EK34:EZ34" si="773">IF(F33="Hybrid - Thrust + 2 connections",IF(COUNTIF($EK33:$FD33,EK33)&gt;1,EK33,""),IF(COUNTIF($EK33:$FD33,EK33)&gt;5,EK33,""))</f>
        <v/>
      </c>
      <c r="EL34" s="102" t="str">
        <f t="shared" si="773"/>
        <v/>
      </c>
      <c r="EM34" s="102" t="str">
        <f t="shared" si="773"/>
        <v/>
      </c>
      <c r="EN34" s="102" t="str">
        <f t="shared" si="773"/>
        <v/>
      </c>
      <c r="EO34" s="102" t="str">
        <f t="shared" si="773"/>
        <v/>
      </c>
      <c r="EP34" s="102" t="str">
        <f t="shared" si="773"/>
        <v/>
      </c>
      <c r="EQ34" s="102" t="str">
        <f t="shared" si="773"/>
        <v/>
      </c>
      <c r="ER34" s="102" t="str">
        <f t="shared" si="773"/>
        <v/>
      </c>
      <c r="ES34" s="102" t="str">
        <f t="shared" si="773"/>
        <v/>
      </c>
      <c r="ET34" s="102" t="str">
        <f t="shared" si="773"/>
        <v/>
      </c>
      <c r="EU34" s="102" t="str">
        <f t="shared" si="773"/>
        <v/>
      </c>
      <c r="EV34" s="102" t="str">
        <f t="shared" si="773"/>
        <v/>
      </c>
      <c r="EW34" s="102" t="str">
        <f t="shared" si="773"/>
        <v/>
      </c>
      <c r="EX34" s="102" t="str">
        <f t="shared" si="773"/>
        <v/>
      </c>
      <c r="EY34" s="102" t="str">
        <f t="shared" si="773"/>
        <v/>
      </c>
      <c r="EZ34" s="102" t="str">
        <f t="shared" si="773"/>
        <v/>
      </c>
      <c r="FA34" s="102" t="str">
        <f t="shared" ref="FA34" si="774">IF(V33="Hybrid - Thrust + 2 connections",IF(COUNTIF($EK33:$FD33,FA33)&gt;1,FA33,""),IF(COUNTIF($EK33:$FD33,FA33)&gt;5,FA33,""))</f>
        <v/>
      </c>
      <c r="FB34" s="102" t="str">
        <f t="shared" ref="FB34" si="775">IF(W33="Hybrid - Thrust + 2 connections",IF(COUNTIF($EK33:$FD33,FB33)&gt;1,FB33,""),IF(COUNTIF($EK33:$FD33,FB33)&gt;5,FB33,""))</f>
        <v/>
      </c>
      <c r="FC34" s="102" t="str">
        <f t="shared" ref="FC34" si="776">IF(X33="Hybrid - Thrust + 2 connections",IF(COUNTIF($EK33:$FD33,FC33)&gt;1,FC33,""),IF(COUNTIF($EK33:$FD33,FC33)&gt;5,FC33,""))</f>
        <v/>
      </c>
      <c r="FD34" s="102" t="str">
        <f t="shared" ref="FD34" si="777">IF(Y33="Hybrid - Thrust + 2 connections",IF(COUNTIF($EK33:$FD33,FD33)&gt;1,FD33,""),IF(COUNTIF($EK33:$FD33,FD33)&gt;5,FD33,""))</f>
        <v/>
      </c>
      <c r="FE34" s="102" t="str">
        <f t="shared" ref="FE34" si="778">IF(Z33="Hybrid - Thrust + 2 connections",IF(COUNTIF($EK33:$FD33,FE33)&gt;1,FE33,""),IF(COUNTIF($EK33:$FD33,FE33)&gt;5,FE33,""))</f>
        <v/>
      </c>
      <c r="FF34" s="102" t="str">
        <f t="shared" ref="FF34" si="779">IF(AA33="Hybrid - Thrust + 2 connections",IF(COUNTIF($EK33:$FD33,FF33)&gt;1,FF33,""),IF(COUNTIF($EK33:$FD33,FF33)&gt;5,FF33,""))</f>
        <v/>
      </c>
      <c r="FG34" s="102" t="str">
        <f t="shared" ref="FG34" si="780">IF(AB33="Hybrid - Thrust + 2 connections",IF(COUNTIF($EK33:$FD33,FG33)&gt;1,FG33,""),IF(COUNTIF($EK33:$FD33,FG33)&gt;5,FG33,""))</f>
        <v/>
      </c>
      <c r="FH34" s="102" t="str">
        <f t="shared" ref="FH34" si="781">IF(AC33="Hybrid - Thrust + 2 connections",IF(COUNTIF($EK33:$FD33,FH33)&gt;1,FH33,""),IF(COUNTIF($EK33:$FD33,FH33)&gt;5,FH33,""))</f>
        <v/>
      </c>
      <c r="FI34" s="102" t="str">
        <f t="shared" ref="FI34" si="782">IF(AD33="Hybrid - Thrust + 2 connections",IF(COUNTIF($EK33:$FD33,FI33)&gt;1,FI33,""),IF(COUNTIF($EK33:$FD33,FI33)&gt;5,FI33,""))</f>
        <v/>
      </c>
      <c r="FJ34" s="102" t="str">
        <f t="shared" ref="FJ34" si="783">IF(AE33="Hybrid - Thrust + 2 connections",IF(COUNTIF($EK33:$FD33,FJ33)&gt;1,FJ33,""),IF(COUNTIF($EK33:$FD33,FJ33)&gt;5,FJ33,""))</f>
        <v/>
      </c>
      <c r="FK34" s="102" t="str">
        <f t="shared" ref="FK34" si="784">IF(AF33="Hybrid - Thrust + 2 connections",IF(COUNTIF($EK33:$FD33,FK33)&gt;1,FK33,""),IF(COUNTIF($EK33:$FD33,FK33)&gt;5,FK33,""))</f>
        <v/>
      </c>
      <c r="FL34" s="102" t="str">
        <f t="shared" ref="FL34" si="785">IF(AG33="Hybrid - Thrust + 2 connections",IF(COUNTIF($EK33:$FD33,FL33)&gt;1,FL33,""),IF(COUNTIF($EK33:$FD33,FL33)&gt;5,FL33,""))</f>
        <v/>
      </c>
      <c r="FM34" s="102" t="str">
        <f t="shared" ref="FM34" si="786">IF(AH33="Hybrid - Thrust + 2 connections",IF(COUNTIF($EK33:$FD33,FM33)&gt;1,FM33,""),IF(COUNTIF($EK33:$FD33,FM33)&gt;5,FM33,""))</f>
        <v/>
      </c>
      <c r="FN34" s="102" t="str">
        <f t="shared" ref="FN34" si="787">IF(AI33="Hybrid - Thrust + 2 connections",IF(COUNTIF($EK33:$FD33,FN33)&gt;1,FN33,""),IF(COUNTIF($EK33:$FD33,FN33)&gt;5,FN33,""))</f>
        <v/>
      </c>
      <c r="FO34" s="102">
        <f t="shared" ref="FO34" si="788">FO32+5</f>
        <v>35</v>
      </c>
      <c r="FP34" s="102" t="str">
        <f t="shared" ref="FP34" ca="1" si="789">OFFSET($FP$75,FO34,0)</f>
        <v/>
      </c>
      <c r="FQ34" s="102" t="str">
        <f t="shared" ref="FQ34" ca="1" si="790">OFFSET($FQ$75,FO34,0)</f>
        <v/>
      </c>
      <c r="FR34" s="282"/>
      <c r="FS34" s="282"/>
      <c r="FT34" s="282"/>
      <c r="FU34" s="282"/>
      <c r="FV34" s="282"/>
      <c r="FW34" s="282"/>
      <c r="FX34" s="282"/>
      <c r="FY34" s="282"/>
      <c r="FZ34" s="282"/>
      <c r="GA34" s="282"/>
      <c r="GB34" s="282"/>
      <c r="GC34" s="282"/>
      <c r="GD34" s="282"/>
      <c r="GE34" s="282"/>
      <c r="GF34" s="282"/>
      <c r="GG34" s="282"/>
      <c r="GH34" s="282"/>
      <c r="GI34" s="282"/>
      <c r="GJ34" s="282"/>
      <c r="GK34" s="282"/>
      <c r="GL34" s="282"/>
      <c r="GM34" s="282"/>
      <c r="GN34" s="282"/>
      <c r="GO34" s="282"/>
      <c r="GP34" s="282"/>
      <c r="GQ34" s="282"/>
      <c r="GR34" s="282"/>
      <c r="GS34" s="282"/>
      <c r="GT34" s="282"/>
      <c r="GU34" s="282"/>
      <c r="GV34" s="102"/>
      <c r="GW34" s="102"/>
      <c r="GX34" s="102"/>
      <c r="GY34" s="102"/>
      <c r="GZ34" s="102"/>
      <c r="HA34" s="102"/>
      <c r="HB34" s="102"/>
      <c r="HC34" s="102"/>
      <c r="HD34" s="102" t="str">
        <f>IF($F33="Hybrid - Thrust + 2 connections",COUNTBLANK(J33:L33),"")</f>
        <v/>
      </c>
      <c r="HE34" s="102"/>
      <c r="HF34" s="105"/>
      <c r="HG34" s="105"/>
      <c r="HH34" s="105"/>
      <c r="HI34" s="105"/>
    </row>
    <row r="35" spans="1:222" x14ac:dyDescent="0.25">
      <c r="A35" s="39" t="str">
        <f>IF(AND(E33="",A33&lt;&gt;""),IF(CP33=$CP$18,"",IF(C33&lt;&gt;"",IF(D33=59,MINUTE(CP33)+1,MINUTE(CP33)),"")),"")</f>
        <v/>
      </c>
      <c r="B35" s="40" t="str">
        <f>IF(AND(E33="",B33&lt;&gt;""),IF(CP33=$CP$18,"",IF(C33&lt;&gt;"",IF(D33=59,0,SECOND(CP33)+1),"")),"")</f>
        <v/>
      </c>
      <c r="C35" s="50"/>
      <c r="D35" s="50"/>
      <c r="E35" s="9"/>
      <c r="F35" s="51"/>
      <c r="G35" s="42" t="str">
        <f>IF(F35&lt;&gt;"",IF(OR(F35="Transition",F35="Transition - Surface Connection"),0,MAX($G$19:G34)+1),"")</f>
        <v/>
      </c>
      <c r="H35" s="56" t="str">
        <f t="shared" ref="H35" si="791">IFERROR(IF(E36="3","",IF(OR(F35="Hybrid - min 4 swimmers (no DD)",LEFT(F35,5)="Trans"),"No DD",CONCATENATE("BM = ",I36))),"")</f>
        <v/>
      </c>
      <c r="I35" s="57"/>
      <c r="J35" s="124"/>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79"/>
      <c r="AO35" s="43"/>
      <c r="AP35" s="74"/>
      <c r="AQ35" s="74"/>
      <c r="AR35" s="104"/>
      <c r="AS35" s="104"/>
      <c r="AT35" s="104"/>
      <c r="AU35" s="104"/>
      <c r="AV35" s="104"/>
      <c r="AW35" s="105" t="str">
        <f t="shared" ref="AW35" si="792">E36</f>
        <v/>
      </c>
      <c r="AX35" s="108" t="str">
        <f t="shared" ref="AX35" si="793">IF(AY35=0,"",TIME(0,A35,B35))</f>
        <v/>
      </c>
      <c r="AY35" s="108">
        <f t="shared" ref="AY35" si="794">TIME(0,C35,D35)</f>
        <v>0</v>
      </c>
      <c r="AZ35" s="108" t="str">
        <f t="shared" ref="AZ35" si="795">IFERROR(AY35-AX35,"")</f>
        <v/>
      </c>
      <c r="BA35" s="276" t="str">
        <f t="shared" ref="BA35" si="796">IF($AX$17=0,"",IF(AND($C$10&lt;&gt;"",AW35="H",AZ35&gt;$AX$17),"X",""))</f>
        <v/>
      </c>
      <c r="BB35" s="104"/>
      <c r="BC35" s="104"/>
      <c r="BD35" s="104"/>
      <c r="BE35" s="104"/>
      <c r="BF35" s="104"/>
      <c r="BG35" s="104" t="str">
        <f>IFERROR(IF(F35&lt;&gt;"",INDEX(Parts_Active,MATCH(F35,Parts_Active,0)),""),"No")</f>
        <v/>
      </c>
      <c r="BH35" s="104"/>
      <c r="BI35" s="104" t="str">
        <f t="shared" ref="BI35" si="797">IF($E36="H",IF($F35="Hybrid - Thrust + 2 connections","Hybrid_Mix_Req",IF($F35="Hybrid - min 4 swimmers (no DD)","Hybrid_ChoHY","HybridDD_Code")),IF($E36=3,"TreDD_Code",IF($E36="PA","AcroPair_Code",IF(LEFT($F35,4)="Acro",CONCATENATE(BI$16,$E36,"_Code"),"Data!$BI$1:$BI$5"))))</f>
        <v>Data!$BI$1:$BI$5</v>
      </c>
      <c r="BJ35" s="104" t="str">
        <f t="shared" ref="BJ35:BQ57" si="798">IF($E36="H",IF($F35="Hybrid - Thrust + 2 connections","Hybrid_Mix_Req",IF($F35="Hybrid - min 4 swimmers (no DD)","Data!$BI$1:$BI$5","HybridDD_Code")),IF($E36=3,"TreDD_Code",IF($E36="PA","AcroPair_Code",IF(LEFT($F35,4)="Acro",CONCATENATE(BJ$16,$E36,"_Code"),"Data!$BI$1:$BI$5"))))</f>
        <v>Data!$BI$1:$BI$5</v>
      </c>
      <c r="BK35" s="104" t="str">
        <f t="shared" si="798"/>
        <v>Data!$BI$1:$BI$5</v>
      </c>
      <c r="BL35" s="104" t="str">
        <f t="shared" si="798"/>
        <v>Data!$BI$1:$BI$5</v>
      </c>
      <c r="BM35" s="104" t="str">
        <f t="shared" si="798"/>
        <v>Data!$BI$1:$BI$5</v>
      </c>
      <c r="BN35" s="104" t="str">
        <f t="shared" si="798"/>
        <v>Data!$BI$1:$BI$5</v>
      </c>
      <c r="BO35" s="104" t="str">
        <f t="shared" si="798"/>
        <v>Data!$BI$1:$BI$5</v>
      </c>
      <c r="BP35" s="104" t="str">
        <f t="shared" si="798"/>
        <v>Data!$BI$1:$BI$5</v>
      </c>
      <c r="BQ35" s="104" t="str">
        <f t="shared" si="798"/>
        <v>Data!$BI$1:$BI$5</v>
      </c>
      <c r="BR35" s="104" t="str">
        <f t="shared" ref="BR35" si="799">IF($E36="H",IF($F35="Hybrid - Thrust + 2 connections","Data!$BI$1:$BI$5","HybridDD_Code"),"Data!$BI$1:$BI$5")</f>
        <v>Data!$BI$1:$BI$5</v>
      </c>
      <c r="BS35" s="104" t="str">
        <f t="shared" si="369"/>
        <v>Data!$BI$1:$BI$5</v>
      </c>
      <c r="BT35" s="104" t="str">
        <f t="shared" si="369"/>
        <v>Data!$BI$1:$BI$5</v>
      </c>
      <c r="BU35" s="104" t="str">
        <f t="shared" si="369"/>
        <v>Data!$BI$1:$BI$5</v>
      </c>
      <c r="BV35" s="104" t="str">
        <f t="shared" si="369"/>
        <v>Data!$BI$1:$BI$5</v>
      </c>
      <c r="BW35" s="104" t="str">
        <f t="shared" si="369"/>
        <v>Data!$BI$1:$BI$5</v>
      </c>
      <c r="BX35" s="104" t="str">
        <f t="shared" si="369"/>
        <v>Data!$BI$1:$BI$5</v>
      </c>
      <c r="BY35" s="104" t="str">
        <f t="shared" si="369"/>
        <v>Data!$BI$1:$BI$5</v>
      </c>
      <c r="BZ35" s="104" t="str">
        <f t="shared" si="369"/>
        <v>Data!$BI$1:$BI$5</v>
      </c>
      <c r="CA35" s="104" t="str">
        <f t="shared" si="369"/>
        <v>Data!$BI$1:$BI$5</v>
      </c>
      <c r="CB35" s="104" t="str">
        <f t="shared" si="369"/>
        <v>Data!$BI$1:$BI$5</v>
      </c>
      <c r="CC35" s="104" t="str">
        <f t="shared" si="369"/>
        <v>Data!$BI$1:$BI$5</v>
      </c>
      <c r="CD35" s="104" t="str">
        <f t="shared" si="369"/>
        <v>Data!$BI$1:$BI$5</v>
      </c>
      <c r="CE35" s="104" t="str">
        <f t="shared" si="369"/>
        <v>Data!$BI$1:$BI$5</v>
      </c>
      <c r="CF35" s="104" t="str">
        <f t="shared" si="369"/>
        <v>Data!$BI$1:$BI$5</v>
      </c>
      <c r="CG35" s="104" t="str">
        <f t="shared" si="369"/>
        <v>Data!$BI$1:$BI$5</v>
      </c>
      <c r="CH35" s="104" t="str">
        <f t="shared" si="369"/>
        <v>Data!$BI$1:$BI$5</v>
      </c>
      <c r="CI35" s="104" t="str">
        <f t="shared" ref="CI35:CL57" si="800">$BR35</f>
        <v>Data!$BI$1:$BI$5</v>
      </c>
      <c r="CJ35" s="104" t="str">
        <f t="shared" si="800"/>
        <v>Data!$BI$1:$BI$5</v>
      </c>
      <c r="CK35" s="104" t="str">
        <f t="shared" si="800"/>
        <v>Data!$BI$1:$BI$5</v>
      </c>
      <c r="CL35" s="104" t="str">
        <f t="shared" si="800"/>
        <v>Data!$BI$1:$BI$5</v>
      </c>
      <c r="CM35" s="104"/>
      <c r="CN35" s="104"/>
      <c r="CO35" s="107" t="str">
        <f>IFERROR(TIME(0,A35,B35),"")</f>
        <v/>
      </c>
      <c r="CP35" s="108">
        <f>IFERROR(TIME(0,C35,D35),"")</f>
        <v>0</v>
      </c>
      <c r="CQ35" s="108" t="str">
        <f t="shared" ref="CQ35" si="801">IF(CP35&gt;$D$12,"X","")</f>
        <v/>
      </c>
      <c r="CR35" s="102" t="str">
        <f>IF(AND(F35="Hybrid - Thrust + 2 connections",OR(LEFT(J35,1)="T",LEFT(K35,1)="T",LEFT(L35,1)="T",LEFT(PB35,1)="T",LEFT(M35,1)="T",LEFT(N35,1)="T",LEFT(O35,1)="T",LEFT(P35,1)="T",LEFT(Q35,1)="T",LEFT(R35,1)="T",LEFT(S35,1)="T",LEFT(T35,1)="T",LEFT(U35,1)="T",LEFT(V35,1)="T",LEFT(W35,1)="T",LEFT(X35,1)="T",LEFT(AK35,1)="T",LEFT(AL35,1)="T",LEFT(AM35,1)="T")),IF(OR(LEN(J35)=2,LEN(K35)=2,LEN(L35)=2,LEN(M35)=2,LEN(N35)=2,LEN(O35)=2,LEN(P35)=2,LEN(Q35)=2,LEN(R35)=2,LEN(S35)=2,LEN(T35)=2,LEN(U35)=2,LEN(V35)=2,LEN(W35)=2,LEN(X35)=2,LEN(Y35)=2,LEN(Z35)=2,LEN(AK35)=2,LEN(AL35)=2,LEN(AM35)=2),"X",""),"")</f>
        <v/>
      </c>
      <c r="CS35" s="105"/>
      <c r="CT35" s="102" t="str">
        <f>IF(LEFT(F35,4)="Acro",IF(AND(N35&lt;&gt;"",M35=RIGHT(N35,2)),"X","OK"),"")</f>
        <v/>
      </c>
      <c r="CU35" s="104" t="str">
        <f t="shared" ref="CU35:DB35" si="802">IFERROR(IF(AND(LEFT($F35,4)="Acro",INDEX(Requ_App,MATCH(BI35,Requ_Code,0))="No"),"X",""),"")</f>
        <v/>
      </c>
      <c r="CV35" s="104" t="str">
        <f t="shared" si="802"/>
        <v/>
      </c>
      <c r="CW35" s="104" t="str">
        <f t="shared" si="802"/>
        <v/>
      </c>
      <c r="CX35" s="104" t="str">
        <f t="shared" si="802"/>
        <v/>
      </c>
      <c r="CY35" s="104" t="str">
        <f t="shared" si="802"/>
        <v/>
      </c>
      <c r="CZ35" s="104" t="str">
        <f t="shared" si="802"/>
        <v/>
      </c>
      <c r="DA35" s="104" t="str">
        <f t="shared" si="802"/>
        <v/>
      </c>
      <c r="DB35" s="104" t="str">
        <f t="shared" si="802"/>
        <v/>
      </c>
      <c r="DC35" s="104" t="str">
        <f>IFERROR(IF(AND(LEFT($F35,4)="Acro",INDEX(Requ_App,MATCH(BP35,Requ_Code,0))="No"),"X",""),"")</f>
        <v/>
      </c>
      <c r="DD35" s="102" t="str">
        <f t="shared" si="10"/>
        <v/>
      </c>
      <c r="DE35" s="102" t="str">
        <f t="shared" si="11"/>
        <v/>
      </c>
      <c r="DF35" s="102" t="str">
        <f t="shared" si="12"/>
        <v/>
      </c>
      <c r="DG35" s="102" t="str">
        <f t="shared" si="13"/>
        <v/>
      </c>
      <c r="DK35" s="102">
        <f t="shared" ref="DK35" si="803">IF(AND(E36="A",OR(Q35="Grip",Q35="Conn",Q35="Catch")),"A1",IF(AND(E36="A",OR(Q35="Hula",Q35="RetSq",Q35="RetPa")),"A2",IF(AND(E36="B",OR(Q35="Twirl",Q35="RotF")),"B1",IF(AND(E36="B",OR(Q35="Moon",Q35="Mov",Q35="Hold")),"B2",IF(AND(E36="P",OR(Q35="Porp",Q35="Splch")),"P1",IF(AND(E36="P",OR(Q35="Diva",Q35="Stand")),"P2",IF(AND(E36="P",OR(Q35="Spider",Q35="Climb")),"P3",IF(AND(E36="P",OR(Q35="Fall",Q35="FTurn")),"P4",IF(AND(E36="C",OR(Q35="Jump",Q35="Jump&gt;",Q35="On1Foot",Q35="1F&gt;1F")),"C1",IF(AND(E36="C",OR(Q35="Run",Q35="BRun")),"C2",1))))))))))</f>
        <v>1</v>
      </c>
      <c r="DL35" s="102">
        <f t="shared" ref="DL35" si="804">IF(AND(E36="A",OR(R35="Grip",R35="Conn",R35="Catch")),"A1",IF(AND(E36="A",OR(R35="Hula",R35="RetSq",R35="RetPa")),"A2",IF(AND(E36="B",OR(R35="Twirl",R35="RotF")),"B1",IF(AND(E36="B",OR(R35="Moon",R35="Mov",R35="Hold")),"B2",IF(AND(E36="P",OR(R35="Porp",R35="Spich")),"P1",IF(AND(E36="P",OR(R35="Diva",R35="Stand")),"P2",IF(AND(E36="P",OR(R35="Spider",R35="Climb")),"P3",IF(AND(E36="P",OR(R35="Fall",R35="FTurn")),"P4",IF(AND(E36="C",OR(R35="Jump",R35="Jump&gt;",R35="On1Foot",R35="1F&gt;1F")),"C1",IF(AND(E36="C",OR(R35="Run",R35="BRun")),"C2",2))))))))))</f>
        <v>2</v>
      </c>
      <c r="DM35" s="102" t="str">
        <f>IF(AND(LEFT(F35,4)="Acro",Q35&lt;&gt;"",OR(Q35=R35,DK35=DL35)),IF(R35="C-Roll","","X"),IF(OR(AND(E36="A",Q35="Catch",R35&lt;&gt;"Dbl"),AND(E36="A",R35="Catch",Q35&lt;&gt;"Dbl")),"X",""))</f>
        <v/>
      </c>
      <c r="DN35" s="102" t="str">
        <f>IF(E36="PA",J35,"")</f>
        <v/>
      </c>
      <c r="DO35" s="102">
        <v>17</v>
      </c>
      <c r="DQ35" s="102" t="str">
        <f>IF(AND($E36="A",COUNTIF($DZ$19:$EA$68,DZ35)&gt;1),DZ35,"")</f>
        <v/>
      </c>
      <c r="DR35" s="102" t="str">
        <f>IF(AND($E36="A",COUNTIF($DZ$19:$EA$68,EA35)&gt;1),EA35,"")</f>
        <v/>
      </c>
      <c r="DS35" s="102" t="str">
        <f ca="1">IF(AND($E36="B",COUNTIF($J$19:$J$68,J35)&gt;1),J35,"")</f>
        <v/>
      </c>
      <c r="DT35" s="102" t="str">
        <f ca="1">IF(AND($E36="B",COUNTIF($K$19:$K$68,K35)&gt;1),K35,"")</f>
        <v/>
      </c>
      <c r="DU35" s="102" t="str">
        <f ca="1">IF(AND($E36="C",COUNTIF($J$19:$J$68,J35)&gt;1),J35,"")</f>
        <v/>
      </c>
      <c r="DV35" s="102" t="str">
        <f ca="1">IF(AND($E36="P",COUNTIF($J$19:$J$68,J35)&gt;1),J35,"")</f>
        <v/>
      </c>
      <c r="DW35" s="102" t="str">
        <f ca="1">IF(AND($E36="P",COUNTIF($K$19:$K$68,K35)&gt;1),K35,"")</f>
        <v/>
      </c>
      <c r="DX35" s="102" t="str">
        <f>IF(AND($E36="P",COUNTIF($DZ$19:$EA$68,DZ35)&gt;1),DZ35,"")</f>
        <v/>
      </c>
      <c r="DY35" s="102" t="str">
        <f>IF(AND($E36="P",COUNTIF($DZ$19:$EA$68,EA35)&gt;1),EA35,"")</f>
        <v/>
      </c>
      <c r="DZ35" s="102" t="str">
        <f>IFERROR(IF(OR(E36="A",E36="P"),M35,""),"")</f>
        <v/>
      </c>
      <c r="EA35" s="102" t="str">
        <f>IFERROR(IF(OR(E36="A",E36="P"),RIGHT(N35,2),""),"")</f>
        <v/>
      </c>
      <c r="EB35" s="102" t="str">
        <f t="shared" ref="EB35" si="805">IF(Q35="","",IF(AND($E36="P",COUNTIF($Q$19:$R$68,Q35)&gt;1),Q35,""))</f>
        <v/>
      </c>
      <c r="EC35" s="102" t="str">
        <f t="shared" ref="EC35" si="806">IF(R35="","",IF(AND($E36="P",COUNTIF($Q$19:$R$68,R35)&gt;1),R35,""))</f>
        <v/>
      </c>
      <c r="ED35" s="102" t="str">
        <f t="shared" si="14"/>
        <v/>
      </c>
      <c r="EE35" s="102" t="str">
        <f t="shared" si="15"/>
        <v/>
      </c>
      <c r="EF35" s="102" t="str">
        <f>IF(AND($F$8="Open Team Acrobatic",LEFT(F35,4)="Acro"),E36,"")</f>
        <v/>
      </c>
      <c r="EG35" s="102" t="str">
        <f t="shared" ref="EG35" si="807">IFERROR(IF(HLOOKUP(EF35,$DQ$12:$DT$13,2,FALSE)&gt;2,"X",""),"")</f>
        <v/>
      </c>
      <c r="EI35" s="102" t="str">
        <f t="shared" ref="EI35" si="808">IF(OR(AND(F35="Hybrid - Thrust + 2 connections",EI36="T"),AND(E36="H",EI36&lt;&gt;"",EI89="X")),"X","")</f>
        <v/>
      </c>
      <c r="EK35" s="102">
        <f t="shared" ref="EK35" si="809">IFERROR(IF(AND($E36="H",J35&lt;&gt;"",J35&lt;&gt;"ChoHY"),IF(OR(LEFT(J35,1)="T",LEFT(J35,1)="S",LEFT(J35,1)="A",LEFT(J35,1)="F",LEFT(J35,1)="C"),LEFT(J35,1),"R"),EK$18),"")</f>
        <v>1</v>
      </c>
      <c r="EL35" s="102">
        <f t="shared" ref="EL35:EZ35" si="810">IFERROR(IF(AND($E36="H",K35&lt;&gt;""),IF(OR(LEFT(K35,1)="T",LEFT(K35,1)="S",LEFT(K35,1)="A",LEFT(K35,1)="F",LEFT(K35,1)="C"),LEFT(K35,1),"R"),EL$18),"")</f>
        <v>2</v>
      </c>
      <c r="EM35" s="102">
        <f t="shared" si="810"/>
        <v>3</v>
      </c>
      <c r="EN35" s="102">
        <f t="shared" si="810"/>
        <v>4</v>
      </c>
      <c r="EO35" s="102">
        <f t="shared" si="810"/>
        <v>5</v>
      </c>
      <c r="EP35" s="102">
        <f t="shared" si="810"/>
        <v>6</v>
      </c>
      <c r="EQ35" s="102">
        <f t="shared" si="810"/>
        <v>7</v>
      </c>
      <c r="ER35" s="102">
        <f t="shared" si="810"/>
        <v>8</v>
      </c>
      <c r="ES35" s="102">
        <f t="shared" si="810"/>
        <v>9</v>
      </c>
      <c r="ET35" s="102">
        <f t="shared" si="810"/>
        <v>10</v>
      </c>
      <c r="EU35" s="102">
        <f t="shared" si="810"/>
        <v>11</v>
      </c>
      <c r="EV35" s="102">
        <f t="shared" si="810"/>
        <v>12</v>
      </c>
      <c r="EW35" s="102">
        <f t="shared" si="810"/>
        <v>13</v>
      </c>
      <c r="EX35" s="102">
        <f t="shared" si="810"/>
        <v>14</v>
      </c>
      <c r="EY35" s="102">
        <f t="shared" si="810"/>
        <v>15</v>
      </c>
      <c r="EZ35" s="102">
        <f t="shared" si="810"/>
        <v>16</v>
      </c>
      <c r="FA35" s="102">
        <f t="shared" ref="FA35" si="811">IFERROR(IF(AND($E36="H",Z35&lt;&gt;""),IF(OR(LEFT(Z35,1)="T",LEFT(Z35,1)="S",LEFT(Z35,1)="A",LEFT(Z35,1)="F",LEFT(Z35,1)="C"),LEFT(Z35,1),"R"),FA$18),"")</f>
        <v>17</v>
      </c>
      <c r="FB35" s="102">
        <f t="shared" ref="FB35" si="812">IFERROR(IF(AND($E36="H",AA35&lt;&gt;""),IF(OR(LEFT(AA35,1)="T",LEFT(AA35,1)="S",LEFT(AA35,1)="A",LEFT(AA35,1)="F",LEFT(AA35,1)="C"),LEFT(AA35,1),"R"),FB$18),"")</f>
        <v>18</v>
      </c>
      <c r="FC35" s="102">
        <f t="shared" ref="FC35" si="813">IFERROR(IF(AND($E36="H",AB35&lt;&gt;""),IF(OR(LEFT(AB35,1)="T",LEFT(AB35,1)="S",LEFT(AB35,1)="A",LEFT(AB35,1)="F",LEFT(AB35,1)="C"),LEFT(AB35,1),"R"),FC$18),"")</f>
        <v>19</v>
      </c>
      <c r="FD35" s="102">
        <f t="shared" ref="FD35" si="814">IFERROR(IF(AND($E36="H",AC35&lt;&gt;""),IF(OR(LEFT(AC35,1)="T",LEFT(AC35,1)="S",LEFT(AC35,1)="A",LEFT(AC35,1)="F",LEFT(AC35,1)="C"),LEFT(AC35,1),"R"),FD$18),"")</f>
        <v>20</v>
      </c>
      <c r="FE35" s="102">
        <f t="shared" ref="FE35" si="815">IFERROR(IF(AND($E36="H",AD35&lt;&gt;""),IF(OR(LEFT(AD35,1)="T",LEFT(AD35,1)="S",LEFT(AD35,1)="A",LEFT(AD35,1)="F",LEFT(AD35,1)="C"),LEFT(AD35,1),"R"),FE$18),"")</f>
        <v>21</v>
      </c>
      <c r="FF35" s="102">
        <f t="shared" ref="FF35" si="816">IFERROR(IF(AND($E36="H",AE35&lt;&gt;""),IF(OR(LEFT(AE35,1)="T",LEFT(AE35,1)="S",LEFT(AE35,1)="A",LEFT(AE35,1)="F",LEFT(AE35,1)="C"),LEFT(AE35,1),"R"),FF$18),"")</f>
        <v>22</v>
      </c>
      <c r="FG35" s="102">
        <f t="shared" ref="FG35" si="817">IFERROR(IF(AND($E36="H",AF35&lt;&gt;""),IF(OR(LEFT(AF35,1)="T",LEFT(AF35,1)="S",LEFT(AF35,1)="A",LEFT(AF35,1)="F",LEFT(AF35,1)="C"),LEFT(AF35,1),"R"),FG$18),"")</f>
        <v>23</v>
      </c>
      <c r="FH35" s="102">
        <f t="shared" ref="FH35" si="818">IFERROR(IF(AND($E36="H",AG35&lt;&gt;""),IF(OR(LEFT(AG35,1)="T",LEFT(AG35,1)="S",LEFT(AG35,1)="A",LEFT(AG35,1)="F",LEFT(AG35,1)="C"),LEFT(AG35,1),"R"),FH$18),"")</f>
        <v>24</v>
      </c>
      <c r="FI35" s="102">
        <f t="shared" ref="FI35" si="819">IFERROR(IF(AND($E36="H",AH35&lt;&gt;""),IF(OR(LEFT(AH35,1)="T",LEFT(AH35,1)="S",LEFT(AH35,1)="A",LEFT(AH35,1)="F",LEFT(AH35,1)="C"),LEFT(AH35,1),"R"),FI$18),"")</f>
        <v>25</v>
      </c>
      <c r="FJ35" s="102">
        <f t="shared" ref="FJ35" si="820">IFERROR(IF(AND($E36="H",AI35&lt;&gt;""),IF(OR(LEFT(AI35,1)="T",LEFT(AI35,1)="S",LEFT(AI35,1)="A",LEFT(AI35,1)="F",LEFT(AI35,1)="C"),LEFT(AI35,1),"R"),FJ$18),"")</f>
        <v>26</v>
      </c>
      <c r="FK35" s="102">
        <f t="shared" ref="FK35" si="821">IFERROR(IF(AND($E36="H",AJ35&lt;&gt;""),IF(OR(LEFT(AJ35,1)="T",LEFT(AJ35,1)="S",LEFT(AJ35,1)="A",LEFT(AJ35,1)="F",LEFT(AJ35,1)="C"),LEFT(AJ35,1),"R"),FK$18),"")</f>
        <v>27</v>
      </c>
      <c r="FL35" s="102">
        <f t="shared" ref="FL35" si="822">IFERROR(IF(AND($E36="H",AK35&lt;&gt;""),IF(OR(LEFT(AK35,1)="T",LEFT(AK35,1)="S",LEFT(AK35,1)="A",LEFT(AK35,1)="F",LEFT(AK35,1)="C"),LEFT(AK35,1),"R"),FL$18),"")</f>
        <v>28</v>
      </c>
      <c r="FM35" s="102">
        <f t="shared" ref="FM35" si="823">IFERROR(IF(AND($E36="H",AL35&lt;&gt;""),IF(OR(LEFT(AL35,1)="T",LEFT(AL35,1)="S",LEFT(AL35,1)="A",LEFT(AL35,1)="F",LEFT(AL35,1)="C"),LEFT(AL35,1),"R"),FM$18),"")</f>
        <v>29</v>
      </c>
      <c r="FN35" s="102">
        <f t="shared" ref="FN35" si="824">IFERROR(IF(AND($E36="H",AM35&lt;&gt;""),IF(OR(LEFT(AM35,1)="T",LEFT(AM35,1)="S",LEFT(AM35,1)="A",LEFT(AM35,1)="F",LEFT(AM35,1)="C"),LEFT(AM35,1),"R"),FN$18),"")</f>
        <v>30</v>
      </c>
      <c r="FO35" s="102"/>
      <c r="FP35" s="102"/>
      <c r="FQ35" s="102"/>
      <c r="FR35" s="282"/>
      <c r="FS35" s="282"/>
      <c r="FT35" s="282"/>
      <c r="FU35" s="282"/>
      <c r="FV35" s="282"/>
      <c r="FW35" s="282"/>
      <c r="FX35" s="282"/>
      <c r="FY35" s="282"/>
      <c r="FZ35" s="282"/>
      <c r="GA35" s="282"/>
      <c r="GB35" s="282"/>
      <c r="GC35" s="282"/>
      <c r="GD35" s="282"/>
      <c r="GE35" s="282"/>
      <c r="GF35" s="282"/>
      <c r="GG35" s="282"/>
      <c r="GH35" s="282"/>
      <c r="GI35" s="282"/>
      <c r="GJ35" s="282"/>
      <c r="GK35" s="282"/>
      <c r="GL35" s="282"/>
      <c r="GM35" s="282"/>
      <c r="GN35" s="282"/>
      <c r="GO35" s="282"/>
      <c r="GP35" s="282"/>
      <c r="GQ35" s="282"/>
      <c r="GR35" s="282"/>
      <c r="GS35" s="282"/>
      <c r="GT35" s="282"/>
      <c r="GU35" s="282"/>
      <c r="GV35" s="102"/>
      <c r="GW35" s="102">
        <f t="shared" ref="GW35:HB57" si="825">COUNTIF($EK35:$FN35,GW$18)</f>
        <v>0</v>
      </c>
      <c r="GX35" s="102">
        <f t="shared" si="825"/>
        <v>0</v>
      </c>
      <c r="GY35" s="102">
        <f t="shared" si="825"/>
        <v>0</v>
      </c>
      <c r="GZ35" s="102">
        <f t="shared" si="825"/>
        <v>0</v>
      </c>
      <c r="HA35" s="102">
        <f t="shared" si="825"/>
        <v>0</v>
      </c>
      <c r="HB35" s="102">
        <f t="shared" si="825"/>
        <v>0</v>
      </c>
      <c r="HC35" s="102"/>
      <c r="HD35" s="102" t="str">
        <f t="shared" ref="HD35" si="826">IF(AND($F35="Hybrid - Thrust + 2 connections",HD36=0,LEFT($J35,1)="C",LEFT($K35,1)="C",LEFT($L35,1)="C"),"X","")</f>
        <v/>
      </c>
      <c r="HE35" s="102"/>
      <c r="HF35" s="105"/>
      <c r="HG35" s="114"/>
      <c r="HH35" s="114"/>
      <c r="HI35" s="105" t="str">
        <f t="shared" ref="HI35" si="827">IF(E36=3,IF(_xlfn.NUMBERVALUE(LEFT(J35,1))&gt;0,_xlfn.NUMBERVALUE(LEFT(J35,1)),""),"")</f>
        <v/>
      </c>
      <c r="HK35" s="105" t="str">
        <f t="shared" ref="HK35" si="828">IF(OR(E36="B",E36="P"),E36,"")</f>
        <v/>
      </c>
      <c r="HL35" s="105" t="str">
        <f>IF(AND(J35&lt;&gt;"",HK35&lt;&gt;""),IF(HK35="B",MATCH(J35,AcroDD!$U$3:$AE$3,0),MATCH(J35,AcroDD!$U$30:$AC$30,0)),"")</f>
        <v/>
      </c>
      <c r="HM35" s="105" t="str">
        <f t="shared" ref="HM35" si="829">IF(AND(K35&lt;&gt;"",HK35&lt;&gt;""),K35,"")</f>
        <v/>
      </c>
      <c r="HN35" s="105" t="str">
        <f ca="1">IF(AND(OR(HK35="B",HK35="P"),HL35&lt;&gt;"",HM35&lt;&gt;""),IF(IFERROR(IF(HK35="B",MATCH(HM35,OFFSET(AcroDD!$T$4,0,HL35,20),0),MATCH(HM35,OFFSET(AcroDD!$T$31,0,HL35,20),0)),"")&lt;&gt;"","OK","X"),"")</f>
        <v/>
      </c>
    </row>
    <row r="36" spans="1:222" x14ac:dyDescent="0.25">
      <c r="A36" s="39"/>
      <c r="B36" s="40"/>
      <c r="C36" s="40"/>
      <c r="D36" s="40"/>
      <c r="E36" s="20" t="str">
        <f t="shared" ref="E36" si="830">IF(F35="Acrobatic - Pair","PA",IF(F35="Acrobatic Airborn","A",IF(F35="Acrobatic Balance","B",IF(F35="Acrobatic Combined","C",IF(F35="Acrobatic Platform","P",IF(F35="Technical Required Element",3,IF(LEFT(F35,4)="Hybr","H","")))))))</f>
        <v/>
      </c>
      <c r="F36" s="20" t="str">
        <f>IF(AND(F35="Hybrid - Thrust + 2 connections",CR35="X"),"Hybrid - Thrust",IF(OR(E36="A",E36="B",E36="C",E36="P"),"Acrobatic",""))</f>
        <v/>
      </c>
      <c r="G36" s="42"/>
      <c r="H36" s="207" t="str">
        <f t="shared" ref="H36" si="831">IF(E36="PA",IF(OR(LEFT(J35,1)="L",LEFT(J35,1)="S"),"A-Pair-Lift",IF(OR(LEFT(J35,1)="W",LEFT(J35,1)="T"),"A-Pair-Throw",IF(LEFT(J35,1)="J","A-Pair-Jump","A-Pair"))),IF(OR(E36="A",E36="B",E36="C",E36="P"),CONCATENATE("Acro-",E36),""))</f>
        <v/>
      </c>
      <c r="I36" s="201" t="e">
        <f t="shared" ref="I36" si="832">IF(OR(F35="Hybrid - min 4 swimmers (no DD)",LEFT(F35,5)="Trans"),0,INDEX($BY$3:$BY$9,MATCH(E36,$BX$3:$BX$9,0)))</f>
        <v>#N/A</v>
      </c>
      <c r="J36" s="196">
        <f ca="1">IFERROR(IF($H35="No DD",IF(J35="ChoHY",1,0),IF(OR(ISBLANK(J35),J35="N/A"),0,INDEX(INDIRECT(BI36),MATCH(J35,INDIRECT(BI35),0)))),0)</f>
        <v>0</v>
      </c>
      <c r="K36" s="196">
        <f t="shared" ref="K36:Y36" ca="1" si="833">IFERROR(IF($H35="No DD",0,IF(OR(ISBLANK(K35),K35="N/A"),0,INDEX(INDIRECT(BJ36),MATCH(K35,INDIRECT(BJ35),0)))),0)</f>
        <v>0</v>
      </c>
      <c r="L36" s="196">
        <f t="shared" ca="1" si="833"/>
        <v>0</v>
      </c>
      <c r="M36" s="196">
        <f t="shared" ca="1" si="833"/>
        <v>0</v>
      </c>
      <c r="N36" s="196">
        <f t="shared" ca="1" si="833"/>
        <v>0</v>
      </c>
      <c r="O36" s="196">
        <f t="shared" ca="1" si="833"/>
        <v>0</v>
      </c>
      <c r="P36" s="196">
        <f t="shared" ca="1" si="833"/>
        <v>0</v>
      </c>
      <c r="Q36" s="196">
        <f t="shared" ca="1" si="833"/>
        <v>0</v>
      </c>
      <c r="R36" s="196">
        <f t="shared" ca="1" si="833"/>
        <v>0</v>
      </c>
      <c r="S36" s="196">
        <f t="shared" ca="1" si="833"/>
        <v>0</v>
      </c>
      <c r="T36" s="196">
        <f t="shared" ca="1" si="833"/>
        <v>0</v>
      </c>
      <c r="U36" s="196">
        <f t="shared" ca="1" si="833"/>
        <v>0</v>
      </c>
      <c r="V36" s="196">
        <f t="shared" ca="1" si="833"/>
        <v>0</v>
      </c>
      <c r="W36" s="196">
        <f t="shared" ca="1" si="833"/>
        <v>0</v>
      </c>
      <c r="X36" s="196">
        <f t="shared" ca="1" si="833"/>
        <v>0</v>
      </c>
      <c r="Y36" s="196">
        <f t="shared" ca="1" si="833"/>
        <v>0</v>
      </c>
      <c r="Z36" s="196">
        <f t="shared" ref="Z36" ca="1" si="834">IFERROR(IF($H35="No DD",0,IF(OR(ISBLANK(Z35),Z35="N/A"),0,INDEX(INDIRECT(BY36),MATCH(Z35,INDIRECT(BY35),0)))),0)</f>
        <v>0</v>
      </c>
      <c r="AA36" s="196">
        <f t="shared" ref="AA36" ca="1" si="835">IFERROR(IF($H35="No DD",0,IF(OR(ISBLANK(AA35),AA35="N/A"),0,INDEX(INDIRECT(BZ36),MATCH(AA35,INDIRECT(BZ35),0)))),0)</f>
        <v>0</v>
      </c>
      <c r="AB36" s="196">
        <f t="shared" ref="AB36" ca="1" si="836">IFERROR(IF($H35="No DD",0,IF(OR(ISBLANK(AB35),AB35="N/A"),0,INDEX(INDIRECT(CA36),MATCH(AB35,INDIRECT(CA35),0)))),0)</f>
        <v>0</v>
      </c>
      <c r="AC36" s="196">
        <f t="shared" ref="AC36" ca="1" si="837">IFERROR(IF($H35="No DD",0,IF(OR(ISBLANK(AC35),AC35="N/A"),0,INDEX(INDIRECT(CB36),MATCH(AC35,INDIRECT(CB35),0)))),0)</f>
        <v>0</v>
      </c>
      <c r="AD36" s="196">
        <f t="shared" ref="AD36" ca="1" si="838">IFERROR(IF($H35="No DD",0,IF(OR(ISBLANK(AD35),AD35="N/A"),0,INDEX(INDIRECT(CC36),MATCH(AD35,INDIRECT(CC35),0)))),0)</f>
        <v>0</v>
      </c>
      <c r="AE36" s="196">
        <f t="shared" ref="AE36" ca="1" si="839">IFERROR(IF($H35="No DD",0,IF(OR(ISBLANK(AE35),AE35="N/A"),0,INDEX(INDIRECT(CD36),MATCH(AE35,INDIRECT(CD35),0)))),0)</f>
        <v>0</v>
      </c>
      <c r="AF36" s="196">
        <f t="shared" ref="AF36" ca="1" si="840">IFERROR(IF($H35="No DD",0,IF(OR(ISBLANK(AF35),AF35="N/A"),0,INDEX(INDIRECT(CE36),MATCH(AF35,INDIRECT(CE35),0)))),0)</f>
        <v>0</v>
      </c>
      <c r="AG36" s="196">
        <f t="shared" ref="AG36" ca="1" si="841">IFERROR(IF($H35="No DD",0,IF(OR(ISBLANK(AG35),AG35="N/A"),0,INDEX(INDIRECT(CF36),MATCH(AG35,INDIRECT(CF35),0)))),0)</f>
        <v>0</v>
      </c>
      <c r="AH36" s="196">
        <f t="shared" ref="AH36" ca="1" si="842">IFERROR(IF($H35="No DD",0,IF(OR(ISBLANK(AH35),AH35="N/A"),0,INDEX(INDIRECT(CG36),MATCH(AH35,INDIRECT(CG35),0)))),0)</f>
        <v>0</v>
      </c>
      <c r="AI36" s="196">
        <f t="shared" ref="AI36" ca="1" si="843">IFERROR(IF($H35="No DD",0,IF(OR(ISBLANK(AI35),AI35="N/A"),0,INDEX(INDIRECT(CH36),MATCH(AI35,INDIRECT(CH35),0)))),0)</f>
        <v>0</v>
      </c>
      <c r="AJ36" s="196">
        <f t="shared" ref="AJ36" ca="1" si="844">IFERROR(IF($H35="No DD",0,IF(OR(ISBLANK(AJ35),AJ35="N/A"),0,INDEX(INDIRECT(CI36),MATCH(AJ35,INDIRECT(CI35),0)))),0)</f>
        <v>0</v>
      </c>
      <c r="AK36" s="196">
        <f t="shared" ref="AK36" ca="1" si="845">IFERROR(IF($H35="No DD",0,IF(OR(ISBLANK(AK35),AK35="N/A"),0,INDEX(INDIRECT(CJ36),MATCH(AK35,INDIRECT(CJ35),0)))),0)</f>
        <v>0</v>
      </c>
      <c r="AL36" s="196">
        <f t="shared" ref="AL36" ca="1" si="846">IFERROR(IF($H35="No DD",0,IF(OR(ISBLANK(AL35),AL35="N/A"),0,INDEX(INDIRECT(CK36),MATCH(AL35,INDIRECT(CK35),0)))),0)</f>
        <v>0</v>
      </c>
      <c r="AM36" s="196">
        <f t="shared" ref="AM36" ca="1" si="847">IFERROR(IF($H35="No DD",0,IF(OR(ISBLANK(AM35),AM35="N/A"),0,INDEX(INDIRECT(CL36),MATCH(AM35,INDIRECT(CL35),0)))),0)</f>
        <v>0</v>
      </c>
      <c r="AN36" s="197" t="str">
        <f>IFERROR(IF(E36="H",INDEX(HybridBonus_Value,MATCH(AN35,HybridBonus_Code,0)),""),"")</f>
        <v/>
      </c>
      <c r="AO36" s="195" t="str">
        <f t="shared" ref="AO36" si="848">IFERROR(SUM(I36:AN36),"")</f>
        <v/>
      </c>
      <c r="AP36" s="75"/>
      <c r="AQ36" s="75"/>
      <c r="AR36" s="115"/>
      <c r="AS36" s="115"/>
      <c r="AT36" s="115"/>
      <c r="AU36" s="115"/>
      <c r="AV36" s="115"/>
      <c r="BA36" s="104"/>
      <c r="BB36" s="115"/>
      <c r="BC36" s="115"/>
      <c r="BD36" s="115"/>
      <c r="BE36" s="115"/>
      <c r="BF36" s="115"/>
      <c r="BG36" s="104"/>
      <c r="BH36" s="115"/>
      <c r="BI36" s="105" t="str">
        <f t="shared" ref="BI36" si="849">IF($E36="H",IF($F35="Hybrid - Thrust + 2 connections","Hybrid_Mix_Req_Value","HybridDD_Value"),IF($E36=3,"TreDD_Value",IF($E36="PA","AcroPair_Value",IF(LEFT($F35,4)="Acro",CONCATENATE(BI$16,$E36,"_Value"),""))))</f>
        <v/>
      </c>
      <c r="BJ36" s="105" t="str">
        <f t="shared" ref="BJ36" si="850">IF($E36="H",IF($F35="Hybrid - Thrust + 2 connections","Hybrid_Mix_Req_Value","HybridDD_Value"),IF($E36=3,"TreDD_Value",IF($E36="PA","AcroPair_Value",IF(LEFT($F35,4)="Acro",CONCATENATE(BJ$16,$E36,"_Value"),""))))</f>
        <v/>
      </c>
      <c r="BK36" s="105" t="str">
        <f t="shared" ref="BK36" si="851">IF($E36="H",IF($F35="Hybrid - Thrust + 2 connections","Hybrid_Mix_Req_Value","HybridDD_Value"),IF($E36=3,"TreDD_Value",IF($E36="PA","AcroPair_Value",IF(LEFT($F35,4)="Acro",CONCATENATE(BK$16,$E36,"_Value"),""))))</f>
        <v/>
      </c>
      <c r="BL36" s="105" t="str">
        <f t="shared" ref="BL36" si="852">IF($E36="H",IF($F35="Hybrid - Thrust + 2 connections","Hybrid_Mix_Req_Value","HybridDD_Value"),IF($E36=3,"TreDD_Value",IF($E36="PA","AcroPair_Value",IF(LEFT($F35,4)="Acro",CONCATENATE(BL$16,$E36,"_Value"),""))))</f>
        <v/>
      </c>
      <c r="BM36" s="105" t="str">
        <f t="shared" ref="BM36" si="853">IF($E36="H",IF($F35="Hybrid - Thrust + 2 connections","Hybrid_Mix_Req_Value","HybridDD_Value"),IF($E36=3,"TreDD_Value",IF($E36="PA","AcroPair_Value",IF(LEFT($F35,4)="Acro",CONCATENATE(BM$16,$E36,"_Value"),""))))</f>
        <v/>
      </c>
      <c r="BN36" s="105" t="str">
        <f t="shared" ref="BN36" si="854">IF($E36="H",IF($F35="Hybrid - Thrust + 2 connections","Hybrid_Mix_Req_Value","HybridDD_Value"),IF($E36=3,"TreDD_Value",IF($E36="PA","AcroPair_Value",IF(LEFT($F35,4)="Acro",CONCATENATE(BN$16,$E36,"_Value"),""))))</f>
        <v/>
      </c>
      <c r="BO36" s="105" t="str">
        <f t="shared" ref="BO36" si="855">IF($E36="H",IF($F35="Hybrid - Thrust + 2 connections","Hybrid_Mix_Req_Value","HybridDD_Value"),IF($E36=3,"TreDD_Value",IF($E36="PA","AcroPair_Value",IF(LEFT($F35,4)="Acro",CONCATENATE(BO$16,$E36,"_Value"),""))))</f>
        <v/>
      </c>
      <c r="BP36" s="105" t="str">
        <f t="shared" ref="BP36" si="856">IF($E36="H",IF($F35="Hybrid - Thrust + 2 connections","Hybrid_Mix_Req_Value","HybridDD_Value"),IF($E36=3,"TreDD_Value",IF($E36="PA","AcroPair_Value",IF(LEFT($F35,4)="Acro",CONCATENATE(BP$16,$E36,"_Value"),""))))</f>
        <v/>
      </c>
      <c r="BQ36" s="105" t="str">
        <f t="shared" ref="BQ36" si="857">IF($E36="H",IF($F35="Hybrid - Thrust + 2 connections","Hybrid_Mix_Req_Value","HybridDD_Value"),IF($E36=3,"TreDD_Value",IF($E36="PA","AcroPair_Value",IF(LEFT($F35,4)="Acro",CONCATENATE(BQ$16,$E36,"_Value"),""))))</f>
        <v/>
      </c>
      <c r="BR36" s="104" t="str">
        <f t="shared" ref="BR36" si="858">IF($E36="H",IF($F35="Hybrid - Thrust + 2 connections","Data!$BI$1:$BI$5","HybridDD_Value"),"Data!$BI$1:$BI$5")</f>
        <v>Data!$BI$1:$BI$5</v>
      </c>
      <c r="BS36" s="104" t="str">
        <f t="shared" ref="BS36" si="859">IF($E36="H",IF($F35="Hybrid - Thrust + 2 connections","Data!$BI$1:$BI$5","HybridDD_Value"),"Data!$BI$1:$BI$5")</f>
        <v>Data!$BI$1:$BI$5</v>
      </c>
      <c r="BT36" s="104" t="str">
        <f t="shared" ref="BT36" si="860">IF($E36="H",IF($F35="Hybrid - Thrust + 2 connections","Data!$BI$1:$BI$5","HybridDD_Value"),"Data!$BI$1:$BI$5")</f>
        <v>Data!$BI$1:$BI$5</v>
      </c>
      <c r="BU36" s="104" t="str">
        <f t="shared" ref="BU36" si="861">IF($E36="H",IF($F35="Hybrid - Thrust + 2 connections","Data!$BI$1:$BI$5","HybridDD_Value"),"Data!$BI$1:$BI$5")</f>
        <v>Data!$BI$1:$BI$5</v>
      </c>
      <c r="BV36" s="104" t="str">
        <f t="shared" ref="BV36" si="862">IF($E36="H",IF($F35="Hybrid - Thrust + 2 connections","Data!$BI$1:$BI$5","HybridDD_Value"),"Data!$BI$1:$BI$5")</f>
        <v>Data!$BI$1:$BI$5</v>
      </c>
      <c r="BW36" s="104" t="str">
        <f t="shared" ref="BW36" si="863">IF($E36="H",IF($F35="Hybrid - Thrust + 2 connections","Data!$BI$1:$BI$5","HybridDD_Value"),"Data!$BI$1:$BI$5")</f>
        <v>Data!$BI$1:$BI$5</v>
      </c>
      <c r="BX36" s="104" t="str">
        <f t="shared" ref="BX36" si="864">IF($E36="H",IF($F35="Hybrid - Thrust + 2 connections","Data!$BI$1:$BI$5","HybridDD_Value"),"Data!$BI$1:$BI$5")</f>
        <v>Data!$BI$1:$BI$5</v>
      </c>
      <c r="BY36" s="104" t="str">
        <f t="shared" ref="BY36" si="865">IF($E36="H",IF($F35="Hybrid - Thrust + 2 connections","Data!$BI$1:$BI$5","HybridDD_Value"),"Data!$BI$1:$BI$5")</f>
        <v>Data!$BI$1:$BI$5</v>
      </c>
      <c r="BZ36" s="104" t="str">
        <f t="shared" ref="BZ36" si="866">IF($E36="H",IF($F35="Hybrid - Thrust + 2 connections","Data!$BI$1:$BI$5","HybridDD_Value"),"Data!$BI$1:$BI$5")</f>
        <v>Data!$BI$1:$BI$5</v>
      </c>
      <c r="CA36" s="104" t="str">
        <f t="shared" ref="CA36" si="867">IF($E36="H",IF($F35="Hybrid - Thrust + 2 connections","Data!$BI$1:$BI$5","HybridDD_Value"),"Data!$BI$1:$BI$5")</f>
        <v>Data!$BI$1:$BI$5</v>
      </c>
      <c r="CB36" s="104" t="str">
        <f t="shared" ref="CB36" si="868">IF($E36="H",IF($F35="Hybrid - Thrust + 2 connections","Data!$BI$1:$BI$5","HybridDD_Value"),"Data!$BI$1:$BI$5")</f>
        <v>Data!$BI$1:$BI$5</v>
      </c>
      <c r="CC36" s="104" t="str">
        <f t="shared" ref="CC36" si="869">IF($E36="H",IF($F35="Hybrid - Thrust + 2 connections","Data!$BI$1:$BI$5","HybridDD_Value"),"Data!$BI$1:$BI$5")</f>
        <v>Data!$BI$1:$BI$5</v>
      </c>
      <c r="CD36" s="104" t="str">
        <f t="shared" ref="CD36" si="870">IF($E36="H",IF($F35="Hybrid - Thrust + 2 connections","Data!$BI$1:$BI$5","HybridDD_Value"),"Data!$BI$1:$BI$5")</f>
        <v>Data!$BI$1:$BI$5</v>
      </c>
      <c r="CE36" s="104" t="str">
        <f t="shared" ref="CE36" si="871">IF($E36="H",IF($F35="Hybrid - Thrust + 2 connections","Data!$BI$1:$BI$5","HybridDD_Value"),"Data!$BI$1:$BI$5")</f>
        <v>Data!$BI$1:$BI$5</v>
      </c>
      <c r="CF36" s="104" t="str">
        <f t="shared" ref="CF36" si="872">IF($E36="H",IF($F35="Hybrid - Thrust + 2 connections","Data!$BI$1:$BI$5","HybridDD_Value"),"Data!$BI$1:$BI$5")</f>
        <v>Data!$BI$1:$BI$5</v>
      </c>
      <c r="CG36" s="104" t="str">
        <f t="shared" ref="CG36" si="873">IF($E36="H",IF($F35="Hybrid - Thrust + 2 connections","Data!$BI$1:$BI$5","HybridDD_Value"),"Data!$BI$1:$BI$5")</f>
        <v>Data!$BI$1:$BI$5</v>
      </c>
      <c r="CH36" s="104" t="str">
        <f t="shared" ref="CH36" si="874">IF($E36="H",IF($F35="Hybrid - Thrust + 2 connections","Data!$BI$1:$BI$5","HybridDD_Value"),"Data!$BI$1:$BI$5")</f>
        <v>Data!$BI$1:$BI$5</v>
      </c>
      <c r="CI36" s="104" t="str">
        <f t="shared" ref="CI36" si="875">IF($E36="H",IF($F35="Hybrid - Thrust + 2 connections","Data!$BI$1:$BI$5","HybridDD_Value"),"Data!$BI$1:$BI$5")</f>
        <v>Data!$BI$1:$BI$5</v>
      </c>
      <c r="CJ36" s="104" t="str">
        <f t="shared" ref="CJ36" si="876">IF($E36="H",IF($F35="Hybrid - Thrust + 2 connections","Data!$BI$1:$BI$5","HybridDD_Value"),"Data!$BI$1:$BI$5")</f>
        <v>Data!$BI$1:$BI$5</v>
      </c>
      <c r="CK36" s="104" t="str">
        <f t="shared" ref="CK36" si="877">IF($E36="H",IF($F35="Hybrid - Thrust + 2 connections","Data!$BI$1:$BI$5","HybridDD_Value"),"Data!$BI$1:$BI$5")</f>
        <v>Data!$BI$1:$BI$5</v>
      </c>
      <c r="CL36" s="104" t="str">
        <f t="shared" ref="CL36" si="878">IF($E36="H",IF($F35="Hybrid - Thrust + 2 connections","Data!$BI$1:$BI$5","HybridDD_Value"),"Data!$BI$1:$BI$5")</f>
        <v>Data!$BI$1:$BI$5</v>
      </c>
      <c r="CM36" s="115"/>
      <c r="CN36" s="115"/>
      <c r="CO36" s="116" t="str">
        <f>IFERROR(IF(AND($BV$6="T",$BV$8="T",LEFT(F35,4)="Acro",AO36&gt;3),"X",IF($N$7="X",IF(AND(E36="C",AO36&gt;$CN$6),"X",IF(AND(E36="A",AO36&gt;$CN$4),"X",IF(AND(E36="B",AO36&gt;$CN$5),"X",IF(AND(E36="P",AO36&gt;$CN$7),"X","")))),"")),"")</f>
        <v/>
      </c>
      <c r="CP36" s="108"/>
      <c r="CQ36" s="105"/>
      <c r="CS36" s="105"/>
      <c r="CT36" s="105"/>
      <c r="CU36" s="105"/>
      <c r="CV36" s="105"/>
      <c r="CW36" s="105"/>
      <c r="CX36" s="105"/>
      <c r="CY36" s="105"/>
      <c r="CZ36" s="105"/>
      <c r="DD36" s="102" t="str">
        <f t="shared" si="10"/>
        <v/>
      </c>
      <c r="DE36" s="102" t="str">
        <f t="shared" si="11"/>
        <v/>
      </c>
      <c r="DF36" s="102" t="str">
        <f t="shared" si="12"/>
        <v/>
      </c>
      <c r="DG36" s="102" t="str">
        <f t="shared" si="13"/>
        <v/>
      </c>
      <c r="DO36" s="102">
        <v>18</v>
      </c>
      <c r="ED36" s="102" t="str">
        <f t="shared" si="14"/>
        <v/>
      </c>
      <c r="EE36" s="102" t="str">
        <f t="shared" si="15"/>
        <v/>
      </c>
      <c r="EI36" s="102" t="str" cm="1">
        <f t="array" ref="EI36">IFERROR(INDEX(EK36:FN36,MATCH(TRUE,INDEX((EK36:FN36&lt;&gt;""),),0)),"")</f>
        <v/>
      </c>
      <c r="EK36" s="102" t="str">
        <f t="shared" ref="EK36:EK58" si="879">IF(F35="Hybrid - Thrust + 2 connections",IF(COUNTIF($EK35:$FD35,EK35)&gt;1,EK35,""),IF(COUNTIF($EK35:$FD35,EK35)&gt;5,EK35,""))</f>
        <v/>
      </c>
      <c r="EL36" s="102" t="str">
        <f t="shared" ref="EL36:EZ36" si="880">IF(G35="Hybrid - Thrust + 2 connections",IF(COUNTIF($EK35:$FD35,EL35)&gt;1,EL35,""),IF(COUNTIF($EK35:$FD35,EL35)&gt;5,EL35,""))</f>
        <v/>
      </c>
      <c r="EM36" s="102" t="str">
        <f t="shared" si="880"/>
        <v/>
      </c>
      <c r="EN36" s="102" t="str">
        <f t="shared" si="880"/>
        <v/>
      </c>
      <c r="EO36" s="102" t="str">
        <f t="shared" si="880"/>
        <v/>
      </c>
      <c r="EP36" s="102" t="str">
        <f t="shared" si="880"/>
        <v/>
      </c>
      <c r="EQ36" s="102" t="str">
        <f t="shared" si="880"/>
        <v/>
      </c>
      <c r="ER36" s="102" t="str">
        <f t="shared" si="880"/>
        <v/>
      </c>
      <c r="ES36" s="102" t="str">
        <f t="shared" si="880"/>
        <v/>
      </c>
      <c r="ET36" s="102" t="str">
        <f t="shared" si="880"/>
        <v/>
      </c>
      <c r="EU36" s="102" t="str">
        <f t="shared" si="880"/>
        <v/>
      </c>
      <c r="EV36" s="102" t="str">
        <f t="shared" si="880"/>
        <v/>
      </c>
      <c r="EW36" s="102" t="str">
        <f t="shared" si="880"/>
        <v/>
      </c>
      <c r="EX36" s="102" t="str">
        <f t="shared" si="880"/>
        <v/>
      </c>
      <c r="EY36" s="102" t="str">
        <f t="shared" si="880"/>
        <v/>
      </c>
      <c r="EZ36" s="102" t="str">
        <f t="shared" si="880"/>
        <v/>
      </c>
      <c r="FA36" s="102" t="str">
        <f t="shared" ref="FA36" si="881">IF(V35="Hybrid - Thrust + 2 connections",IF(COUNTIF($EK35:$FD35,FA35)&gt;1,FA35,""),IF(COUNTIF($EK35:$FD35,FA35)&gt;5,FA35,""))</f>
        <v/>
      </c>
      <c r="FB36" s="102" t="str">
        <f t="shared" ref="FB36" si="882">IF(W35="Hybrid - Thrust + 2 connections",IF(COUNTIF($EK35:$FD35,FB35)&gt;1,FB35,""),IF(COUNTIF($EK35:$FD35,FB35)&gt;5,FB35,""))</f>
        <v/>
      </c>
      <c r="FC36" s="102" t="str">
        <f t="shared" ref="FC36" si="883">IF(X35="Hybrid - Thrust + 2 connections",IF(COUNTIF($EK35:$FD35,FC35)&gt;1,FC35,""),IF(COUNTIF($EK35:$FD35,FC35)&gt;5,FC35,""))</f>
        <v/>
      </c>
      <c r="FD36" s="102" t="str">
        <f t="shared" ref="FD36" si="884">IF(Y35="Hybrid - Thrust + 2 connections",IF(COUNTIF($EK35:$FD35,FD35)&gt;1,FD35,""),IF(COUNTIF($EK35:$FD35,FD35)&gt;5,FD35,""))</f>
        <v/>
      </c>
      <c r="FE36" s="102" t="str">
        <f t="shared" ref="FE36" si="885">IF(Z35="Hybrid - Thrust + 2 connections",IF(COUNTIF($EK35:$FD35,FE35)&gt;1,FE35,""),IF(COUNTIF($EK35:$FD35,FE35)&gt;5,FE35,""))</f>
        <v/>
      </c>
      <c r="FF36" s="102" t="str">
        <f t="shared" ref="FF36" si="886">IF(AA35="Hybrid - Thrust + 2 connections",IF(COUNTIF($EK35:$FD35,FF35)&gt;1,FF35,""),IF(COUNTIF($EK35:$FD35,FF35)&gt;5,FF35,""))</f>
        <v/>
      </c>
      <c r="FG36" s="102" t="str">
        <f t="shared" ref="FG36" si="887">IF(AB35="Hybrid - Thrust + 2 connections",IF(COUNTIF($EK35:$FD35,FG35)&gt;1,FG35,""),IF(COUNTIF($EK35:$FD35,FG35)&gt;5,FG35,""))</f>
        <v/>
      </c>
      <c r="FH36" s="102" t="str">
        <f t="shared" ref="FH36" si="888">IF(AC35="Hybrid - Thrust + 2 connections",IF(COUNTIF($EK35:$FD35,FH35)&gt;1,FH35,""),IF(COUNTIF($EK35:$FD35,FH35)&gt;5,FH35,""))</f>
        <v/>
      </c>
      <c r="FI36" s="102" t="str">
        <f t="shared" ref="FI36" si="889">IF(AD35="Hybrid - Thrust + 2 connections",IF(COUNTIF($EK35:$FD35,FI35)&gt;1,FI35,""),IF(COUNTIF($EK35:$FD35,FI35)&gt;5,FI35,""))</f>
        <v/>
      </c>
      <c r="FJ36" s="102" t="str">
        <f t="shared" ref="FJ36" si="890">IF(AE35="Hybrid - Thrust + 2 connections",IF(COUNTIF($EK35:$FD35,FJ35)&gt;1,FJ35,""),IF(COUNTIF($EK35:$FD35,FJ35)&gt;5,FJ35,""))</f>
        <v/>
      </c>
      <c r="FK36" s="102" t="str">
        <f t="shared" ref="FK36" si="891">IF(AF35="Hybrid - Thrust + 2 connections",IF(COUNTIF($EK35:$FD35,FK35)&gt;1,FK35,""),IF(COUNTIF($EK35:$FD35,FK35)&gt;5,FK35,""))</f>
        <v/>
      </c>
      <c r="FL36" s="102" t="str">
        <f t="shared" ref="FL36" si="892">IF(AG35="Hybrid - Thrust + 2 connections",IF(COUNTIF($EK35:$FD35,FL35)&gt;1,FL35,""),IF(COUNTIF($EK35:$FD35,FL35)&gt;5,FL35,""))</f>
        <v/>
      </c>
      <c r="FM36" s="102" t="str">
        <f t="shared" ref="FM36" si="893">IF(AH35="Hybrid - Thrust + 2 connections",IF(COUNTIF($EK35:$FD35,FM35)&gt;1,FM35,""),IF(COUNTIF($EK35:$FD35,FM35)&gt;5,FM35,""))</f>
        <v/>
      </c>
      <c r="FN36" s="102" t="str">
        <f t="shared" ref="FN36" si="894">IF(AI35="Hybrid - Thrust + 2 connections",IF(COUNTIF($EK35:$FD35,FN35)&gt;1,FN35,""),IF(COUNTIF($EK35:$FD35,FN35)&gt;5,FN35,""))</f>
        <v/>
      </c>
      <c r="FO36" s="102">
        <f t="shared" ref="FO36" si="895">FO34+5</f>
        <v>40</v>
      </c>
      <c r="FP36" s="102" t="str">
        <f t="shared" ref="FP36" ca="1" si="896">OFFSET($FP$75,FO36,0)</f>
        <v/>
      </c>
      <c r="FQ36" s="102" t="str">
        <f t="shared" ref="FQ36" ca="1" si="897">OFFSET($FQ$75,FO36,0)</f>
        <v/>
      </c>
      <c r="FR36" s="282"/>
      <c r="FS36" s="282"/>
      <c r="FT36" s="282"/>
      <c r="FU36" s="282"/>
      <c r="FV36" s="282"/>
      <c r="FW36" s="282"/>
      <c r="FX36" s="282"/>
      <c r="FY36" s="282"/>
      <c r="FZ36" s="282"/>
      <c r="GA36" s="282"/>
      <c r="GB36" s="282"/>
      <c r="GC36" s="282"/>
      <c r="GD36" s="282"/>
      <c r="GE36" s="282"/>
      <c r="GF36" s="282"/>
      <c r="GG36" s="282"/>
      <c r="GH36" s="282"/>
      <c r="GI36" s="282"/>
      <c r="GJ36" s="282"/>
      <c r="GK36" s="282"/>
      <c r="GL36" s="282"/>
      <c r="GM36" s="282"/>
      <c r="GN36" s="282"/>
      <c r="GO36" s="282"/>
      <c r="GP36" s="282"/>
      <c r="GQ36" s="282"/>
      <c r="GR36" s="282"/>
      <c r="GS36" s="282"/>
      <c r="GT36" s="282"/>
      <c r="GU36" s="282"/>
      <c r="GV36" s="102"/>
      <c r="GW36" s="102"/>
      <c r="GX36" s="102"/>
      <c r="GY36" s="102"/>
      <c r="GZ36" s="102"/>
      <c r="HA36" s="102"/>
      <c r="HB36" s="102"/>
      <c r="HC36" s="102"/>
      <c r="HD36" s="102" t="str">
        <f>IF($F35="Hybrid - Thrust + 2 connections",COUNTBLANK(J35:L35),"")</f>
        <v/>
      </c>
      <c r="HE36" s="102"/>
      <c r="HF36" s="105"/>
      <c r="HG36" s="105"/>
      <c r="HH36" s="105"/>
      <c r="HI36" s="105"/>
    </row>
    <row r="37" spans="1:222" x14ac:dyDescent="0.25">
      <c r="A37" s="39" t="str">
        <f>IF(AND(E35="",A35&lt;&gt;""),IF(CP35=$CP$18,"",IF(C35&lt;&gt;"",IF(D35=59,MINUTE(CP35)+1,MINUTE(CP35)),"")),"")</f>
        <v/>
      </c>
      <c r="B37" s="40" t="str">
        <f>IF(AND(E35="",B35&lt;&gt;""),IF(CP35=$CP$18,"",IF(C35&lt;&gt;"",IF(D35=59,0,SECOND(CP35)+1),"")),"")</f>
        <v/>
      </c>
      <c r="C37" s="50"/>
      <c r="D37" s="50"/>
      <c r="E37" s="9"/>
      <c r="F37" s="51"/>
      <c r="G37" s="42" t="str">
        <f>IF(F37&lt;&gt;"",IF(OR(F37="Transition",F37="Transition - Surface Connection"),0,MAX($G$19:G36)+1),"")</f>
        <v/>
      </c>
      <c r="H37" s="56" t="str">
        <f t="shared" ref="H37" si="898">IFERROR(IF(E38="3","",IF(OR(F37="Hybrid - min 4 swimmers (no DD)",LEFT(F37,5)="Trans"),"No DD",CONCATENATE("BM = ",I38))),"")</f>
        <v/>
      </c>
      <c r="I37" s="57"/>
      <c r="J37" s="124"/>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79"/>
      <c r="AO37" s="43"/>
      <c r="AP37" s="74"/>
      <c r="AQ37" s="74"/>
      <c r="AR37" s="104"/>
      <c r="AS37" s="104"/>
      <c r="AT37" s="104"/>
      <c r="AU37" s="104"/>
      <c r="AV37" s="104"/>
      <c r="AW37" s="105" t="str">
        <f t="shared" ref="AW37" si="899">E38</f>
        <v/>
      </c>
      <c r="AX37" s="108" t="str">
        <f t="shared" ref="AX37" si="900">IF(AY37=0,"",TIME(0,A37,B37))</f>
        <v/>
      </c>
      <c r="AY37" s="108">
        <f t="shared" ref="AY37" si="901">TIME(0,C37,D37)</f>
        <v>0</v>
      </c>
      <c r="AZ37" s="108" t="str">
        <f t="shared" ref="AZ37" si="902">IFERROR(AY37-AX37,"")</f>
        <v/>
      </c>
      <c r="BA37" s="276" t="str">
        <f t="shared" ref="BA37" si="903">IF($AX$17=0,"",IF(AND($C$10&lt;&gt;"",AW37="H",AZ37&gt;$AX$17),"X",""))</f>
        <v/>
      </c>
      <c r="BB37" s="104"/>
      <c r="BC37" s="104"/>
      <c r="BD37" s="104"/>
      <c r="BE37" s="104"/>
      <c r="BF37" s="104"/>
      <c r="BG37" s="104" t="str">
        <f>IFERROR(IF(F37&lt;&gt;"",INDEX(Parts_Active,MATCH(F37,Parts_Active,0)),""),"No")</f>
        <v/>
      </c>
      <c r="BH37" s="104"/>
      <c r="BI37" s="104" t="str">
        <f t="shared" ref="BI37" si="904">IF($E38="H",IF($F37="Hybrid - Thrust + 2 connections","Hybrid_Mix_Req",IF($F37="Hybrid - min 4 swimmers (no DD)","Hybrid_ChoHY","HybridDD_Code")),IF($E38=3,"TreDD_Code",IF($E38="PA","AcroPair_Code",IF(LEFT($F37,4)="Acro",CONCATENATE(BI$16,$E38,"_Code"),"Data!$BI$1:$BI$5"))))</f>
        <v>Data!$BI$1:$BI$5</v>
      </c>
      <c r="BJ37" s="104" t="str">
        <f t="shared" ref="BJ37" si="905">IF($E38="H",IF($F37="Hybrid - Thrust + 2 connections","Hybrid_Mix_Req",IF($F37="Hybrid - min 4 swimmers (no DD)","Data!$BI$1:$BI$5","HybridDD_Code")),IF($E38=3,"TreDD_Code",IF($E38="PA","AcroPair_Code",IF(LEFT($F37,4)="Acro",CONCATENATE(BJ$16,$E38,"_Code"),"Data!$BI$1:$BI$5"))))</f>
        <v>Data!$BI$1:$BI$5</v>
      </c>
      <c r="BK37" s="104" t="str">
        <f t="shared" si="798"/>
        <v>Data!$BI$1:$BI$5</v>
      </c>
      <c r="BL37" s="104" t="str">
        <f t="shared" si="798"/>
        <v>Data!$BI$1:$BI$5</v>
      </c>
      <c r="BM37" s="104" t="str">
        <f t="shared" si="798"/>
        <v>Data!$BI$1:$BI$5</v>
      </c>
      <c r="BN37" s="104" t="str">
        <f t="shared" si="798"/>
        <v>Data!$BI$1:$BI$5</v>
      </c>
      <c r="BO37" s="104" t="str">
        <f t="shared" si="798"/>
        <v>Data!$BI$1:$BI$5</v>
      </c>
      <c r="BP37" s="104" t="str">
        <f t="shared" si="798"/>
        <v>Data!$BI$1:$BI$5</v>
      </c>
      <c r="BQ37" s="104" t="str">
        <f t="shared" si="798"/>
        <v>Data!$BI$1:$BI$5</v>
      </c>
      <c r="BR37" s="104" t="str">
        <f t="shared" ref="BR37" si="906">IF($E38="H",IF($F37="Hybrid - Thrust + 2 connections","Data!$BI$1:$BI$5","HybridDD_Code"),"Data!$BI$1:$BI$5")</f>
        <v>Data!$BI$1:$BI$5</v>
      </c>
      <c r="BS37" s="104" t="str">
        <f t="shared" si="369"/>
        <v>Data!$BI$1:$BI$5</v>
      </c>
      <c r="BT37" s="104" t="str">
        <f t="shared" si="369"/>
        <v>Data!$BI$1:$BI$5</v>
      </c>
      <c r="BU37" s="104" t="str">
        <f t="shared" si="369"/>
        <v>Data!$BI$1:$BI$5</v>
      </c>
      <c r="BV37" s="104" t="str">
        <f t="shared" si="369"/>
        <v>Data!$BI$1:$BI$5</v>
      </c>
      <c r="BW37" s="104" t="str">
        <f t="shared" si="369"/>
        <v>Data!$BI$1:$BI$5</v>
      </c>
      <c r="BX37" s="104" t="str">
        <f t="shared" si="369"/>
        <v>Data!$BI$1:$BI$5</v>
      </c>
      <c r="BY37" s="104" t="str">
        <f t="shared" si="369"/>
        <v>Data!$BI$1:$BI$5</v>
      </c>
      <c r="BZ37" s="104" t="str">
        <f t="shared" si="369"/>
        <v>Data!$BI$1:$BI$5</v>
      </c>
      <c r="CA37" s="104" t="str">
        <f t="shared" si="369"/>
        <v>Data!$BI$1:$BI$5</v>
      </c>
      <c r="CB37" s="104" t="str">
        <f t="shared" si="369"/>
        <v>Data!$BI$1:$BI$5</v>
      </c>
      <c r="CC37" s="104" t="str">
        <f t="shared" si="369"/>
        <v>Data!$BI$1:$BI$5</v>
      </c>
      <c r="CD37" s="104" t="str">
        <f t="shared" si="369"/>
        <v>Data!$BI$1:$BI$5</v>
      </c>
      <c r="CE37" s="104" t="str">
        <f t="shared" si="369"/>
        <v>Data!$BI$1:$BI$5</v>
      </c>
      <c r="CF37" s="104" t="str">
        <f t="shared" si="369"/>
        <v>Data!$BI$1:$BI$5</v>
      </c>
      <c r="CG37" s="104" t="str">
        <f t="shared" si="369"/>
        <v>Data!$BI$1:$BI$5</v>
      </c>
      <c r="CH37" s="104" t="str">
        <f t="shared" si="369"/>
        <v>Data!$BI$1:$BI$5</v>
      </c>
      <c r="CI37" s="104" t="str">
        <f t="shared" si="800"/>
        <v>Data!$BI$1:$BI$5</v>
      </c>
      <c r="CJ37" s="104" t="str">
        <f t="shared" si="800"/>
        <v>Data!$BI$1:$BI$5</v>
      </c>
      <c r="CK37" s="104" t="str">
        <f t="shared" si="800"/>
        <v>Data!$BI$1:$BI$5</v>
      </c>
      <c r="CL37" s="104" t="str">
        <f t="shared" si="800"/>
        <v>Data!$BI$1:$BI$5</v>
      </c>
      <c r="CM37" s="104"/>
      <c r="CN37" s="104"/>
      <c r="CO37" s="107" t="str">
        <f>IFERROR(TIME(0,A37,B37),"")</f>
        <v/>
      </c>
      <c r="CP37" s="108">
        <f>IFERROR(TIME(0,C37,D37),"")</f>
        <v>0</v>
      </c>
      <c r="CQ37" s="108" t="str">
        <f t="shared" ref="CQ37" si="907">IF(CP37&gt;$D$12,"X","")</f>
        <v/>
      </c>
      <c r="CR37" s="102" t="str">
        <f>IF(AND(F37="Hybrid - Thrust + 2 connections",OR(LEFT(J37,1)="T",LEFT(K37,1)="T",LEFT(L37,1)="T",LEFT(PB37,1)="T",LEFT(M37,1)="T",LEFT(N37,1)="T",LEFT(O37,1)="T",LEFT(P37,1)="T",LEFT(Q37,1)="T",LEFT(R37,1)="T",LEFT(S37,1)="T",LEFT(T37,1)="T",LEFT(U37,1)="T",LEFT(V37,1)="T",LEFT(W37,1)="T",LEFT(X37,1)="T",LEFT(AK37,1)="T",LEFT(AL37,1)="T",LEFT(AM37,1)="T")),IF(OR(LEN(J37)=2,LEN(K37)=2,LEN(L37)=2,LEN(M37)=2,LEN(N37)=2,LEN(O37)=2,LEN(P37)=2,LEN(Q37)=2,LEN(R37)=2,LEN(S37)=2,LEN(T37)=2,LEN(U37)=2,LEN(V37)=2,LEN(W37)=2,LEN(X37)=2,LEN(Y37)=2,LEN(Z37)=2,LEN(AK37)=2,LEN(AL37)=2,LEN(AM37)=2),"X",""),"")</f>
        <v/>
      </c>
      <c r="CS37" s="105"/>
      <c r="CT37" s="102" t="str">
        <f>IF(LEFT(F37,4)="Acro",IF(AND(N37&lt;&gt;"",M37=RIGHT(N37,2)),"X","OK"),"")</f>
        <v/>
      </c>
      <c r="CU37" s="104" t="str">
        <f t="shared" ref="CU37:DB37" si="908">IFERROR(IF(AND(LEFT($F37,4)="Acro",INDEX(Requ_App,MATCH(BI37,Requ_Code,0))="No"),"X",""),"")</f>
        <v/>
      </c>
      <c r="CV37" s="104" t="str">
        <f t="shared" si="908"/>
        <v/>
      </c>
      <c r="CW37" s="104" t="str">
        <f t="shared" si="908"/>
        <v/>
      </c>
      <c r="CX37" s="104" t="str">
        <f t="shared" si="908"/>
        <v/>
      </c>
      <c r="CY37" s="104" t="str">
        <f t="shared" si="908"/>
        <v/>
      </c>
      <c r="CZ37" s="104" t="str">
        <f t="shared" si="908"/>
        <v/>
      </c>
      <c r="DA37" s="104" t="str">
        <f t="shared" si="908"/>
        <v/>
      </c>
      <c r="DB37" s="104" t="str">
        <f t="shared" si="908"/>
        <v/>
      </c>
      <c r="DC37" s="104" t="str">
        <f>IFERROR(IF(AND(LEFT($F37,4)="Acro",INDEX(Requ_App,MATCH(BP37,Requ_Code,0))="No"),"X",""),"")</f>
        <v/>
      </c>
      <c r="DD37" s="102" t="str">
        <f t="shared" si="10"/>
        <v/>
      </c>
      <c r="DE37" s="102" t="str">
        <f t="shared" si="11"/>
        <v/>
      </c>
      <c r="DF37" s="102" t="str">
        <f t="shared" si="12"/>
        <v/>
      </c>
      <c r="DG37" s="102" t="str">
        <f t="shared" si="13"/>
        <v/>
      </c>
      <c r="DK37" s="102">
        <f t="shared" ref="DK37" si="909">IF(AND(E38="A",OR(Q37="Grip",Q37="Conn",Q37="Catch")),"A1",IF(AND(E38="A",OR(Q37="Hula",Q37="RetSq",Q37="RetPa")),"A2",IF(AND(E38="B",OR(Q37="Twirl",Q37="RotF")),"B1",IF(AND(E38="B",OR(Q37="Moon",Q37="Mov",Q37="Hold")),"B2",IF(AND(E38="P",OR(Q37="Porp",Q37="Splch")),"P1",IF(AND(E38="P",OR(Q37="Diva",Q37="Stand")),"P2",IF(AND(E38="P",OR(Q37="Spider",Q37="Climb")),"P3",IF(AND(E38="P",OR(Q37="Fall",Q37="FTurn")),"P4",IF(AND(E38="C",OR(Q37="Jump",Q37="Jump&gt;",Q37="On1Foot",Q37="1F&gt;1F")),"C1",IF(AND(E38="C",OR(Q37="Run",Q37="BRun")),"C2",1))))))))))</f>
        <v>1</v>
      </c>
      <c r="DL37" s="102">
        <f t="shared" ref="DL37" si="910">IF(AND(E38="A",OR(R37="Grip",R37="Conn",R37="Catch")),"A1",IF(AND(E38="A",OR(R37="Hula",R37="RetSq",R37="RetPa")),"A2",IF(AND(E38="B",OR(R37="Twirl",R37="RotF")),"B1",IF(AND(E38="B",OR(R37="Moon",R37="Mov",R37="Hold")),"B2",IF(AND(E38="P",OR(R37="Porp",R37="Spich")),"P1",IF(AND(E38="P",OR(R37="Diva",R37="Stand")),"P2",IF(AND(E38="P",OR(R37="Spider",R37="Climb")),"P3",IF(AND(E38="P",OR(R37="Fall",R37="FTurn")),"P4",IF(AND(E38="C",OR(R37="Jump",R37="Jump&gt;",R37="On1Foot",R37="1F&gt;1F")),"C1",IF(AND(E38="C",OR(R37="Run",R37="BRun")),"C2",2))))))))))</f>
        <v>2</v>
      </c>
      <c r="DM37" s="102" t="str">
        <f>IF(AND(LEFT(F37,4)="Acro",Q37&lt;&gt;"",OR(Q37=R37,DK37=DL37)),IF(R37="C-Roll","","X"),IF(OR(AND(E38="A",Q37="Catch",R37&lt;&gt;"Dbl"),AND(E38="A",R37="Catch",Q37&lt;&gt;"Dbl")),"X",""))</f>
        <v/>
      </c>
      <c r="DN37" s="102" t="str">
        <f>IF(E38="PA",J37,"")</f>
        <v/>
      </c>
      <c r="DO37" s="102">
        <v>19</v>
      </c>
      <c r="DQ37" s="102" t="str">
        <f>IF(AND($E38="A",COUNTIF($DZ$19:$EA$68,DZ37)&gt;1),DZ37,"")</f>
        <v/>
      </c>
      <c r="DR37" s="102" t="str">
        <f>IF(AND($E38="A",COUNTIF($DZ$19:$EA$68,EA37)&gt;1),EA37,"")</f>
        <v/>
      </c>
      <c r="DS37" s="102" t="str">
        <f ca="1">IF(AND($E38="B",COUNTIF($J$19:$J$68,J37)&gt;1),J37,"")</f>
        <v/>
      </c>
      <c r="DT37" s="102" t="str">
        <f ca="1">IF(AND($E38="B",COUNTIF($K$19:$K$68,K37)&gt;1),K37,"")</f>
        <v/>
      </c>
      <c r="DU37" s="102" t="str">
        <f ca="1">IF(AND($E38="C",COUNTIF($J$19:$J$68,J37)&gt;1),J37,"")</f>
        <v/>
      </c>
      <c r="DV37" s="102" t="str">
        <f ca="1">IF(AND($E38="P",COUNTIF($J$19:$J$68,J37)&gt;1),J37,"")</f>
        <v/>
      </c>
      <c r="DW37" s="102" t="str">
        <f ca="1">IF(AND($E38="P",COUNTIF($K$19:$K$68,K37)&gt;1),K37,"")</f>
        <v/>
      </c>
      <c r="DX37" s="102" t="str">
        <f>IF(AND($E38="P",COUNTIF($DZ$19:$EA$68,DZ37)&gt;1),DZ37,"")</f>
        <v/>
      </c>
      <c r="DY37" s="102" t="str">
        <f>IF(AND($E38="P",COUNTIF($DZ$19:$EA$68,EA37)&gt;1),EA37,"")</f>
        <v/>
      </c>
      <c r="DZ37" s="102" t="str">
        <f>IFERROR(IF(OR(E38="A",E38="P"),M37,""),"")</f>
        <v/>
      </c>
      <c r="EA37" s="102" t="str">
        <f>IFERROR(IF(OR(E38="A",E38="P"),RIGHT(N37,2),""),"")</f>
        <v/>
      </c>
      <c r="EB37" s="102" t="str">
        <f t="shared" ref="EB37" si="911">IF(Q37="","",IF(AND($E38="P",COUNTIF($Q$19:$R$68,Q37)&gt;1),Q37,""))</f>
        <v/>
      </c>
      <c r="EC37" s="102" t="str">
        <f t="shared" ref="EC37" si="912">IF(R37="","",IF(AND($E38="P",COUNTIF($Q$19:$R$68,R37)&gt;1),R37,""))</f>
        <v/>
      </c>
      <c r="ED37" s="102" t="str">
        <f t="shared" si="14"/>
        <v/>
      </c>
      <c r="EE37" s="102" t="str">
        <f t="shared" si="15"/>
        <v/>
      </c>
      <c r="EF37" s="102" t="str">
        <f>IF(AND($F$8="Open Team Acrobatic",LEFT(F37,4)="Acro"),E38,"")</f>
        <v/>
      </c>
      <c r="EG37" s="102" t="str">
        <f t="shared" ref="EG37" si="913">IFERROR(IF(HLOOKUP(EF37,$DQ$12:$DT$13,2,FALSE)&gt;2,"X",""),"")</f>
        <v/>
      </c>
      <c r="EI37" s="102" t="str">
        <f t="shared" ref="EI37" si="914">IF(OR(AND(F37="Hybrid - Thrust + 2 connections",EI38="T"),AND(E38="H",EI38&lt;&gt;"",EI91="X")),"X","")</f>
        <v/>
      </c>
      <c r="EK37" s="102">
        <f t="shared" ref="EK37" si="915">IFERROR(IF(AND($E38="H",J37&lt;&gt;"",J37&lt;&gt;"ChoHY"),IF(OR(LEFT(J37,1)="T",LEFT(J37,1)="S",LEFT(J37,1)="A",LEFT(J37,1)="F",LEFT(J37,1)="C"),LEFT(J37,1),"R"),EK$18),"")</f>
        <v>1</v>
      </c>
      <c r="EL37" s="102">
        <f t="shared" ref="EL37:EZ37" si="916">IFERROR(IF(AND($E38="H",K37&lt;&gt;""),IF(OR(LEFT(K37,1)="T",LEFT(K37,1)="S",LEFT(K37,1)="A",LEFT(K37,1)="F",LEFT(K37,1)="C"),LEFT(K37,1),"R"),EL$18),"")</f>
        <v>2</v>
      </c>
      <c r="EM37" s="102">
        <f t="shared" si="916"/>
        <v>3</v>
      </c>
      <c r="EN37" s="102">
        <f t="shared" si="916"/>
        <v>4</v>
      </c>
      <c r="EO37" s="102">
        <f t="shared" si="916"/>
        <v>5</v>
      </c>
      <c r="EP37" s="102">
        <f t="shared" si="916"/>
        <v>6</v>
      </c>
      <c r="EQ37" s="102">
        <f t="shared" si="916"/>
        <v>7</v>
      </c>
      <c r="ER37" s="102">
        <f t="shared" si="916"/>
        <v>8</v>
      </c>
      <c r="ES37" s="102">
        <f t="shared" si="916"/>
        <v>9</v>
      </c>
      <c r="ET37" s="102">
        <f t="shared" si="916"/>
        <v>10</v>
      </c>
      <c r="EU37" s="102">
        <f t="shared" si="916"/>
        <v>11</v>
      </c>
      <c r="EV37" s="102">
        <f t="shared" si="916"/>
        <v>12</v>
      </c>
      <c r="EW37" s="102">
        <f t="shared" si="916"/>
        <v>13</v>
      </c>
      <c r="EX37" s="102">
        <f t="shared" si="916"/>
        <v>14</v>
      </c>
      <c r="EY37" s="102">
        <f t="shared" si="916"/>
        <v>15</v>
      </c>
      <c r="EZ37" s="102">
        <f t="shared" si="916"/>
        <v>16</v>
      </c>
      <c r="FA37" s="102">
        <f t="shared" ref="FA37" si="917">IFERROR(IF(AND($E38="H",Z37&lt;&gt;""),IF(OR(LEFT(Z37,1)="T",LEFT(Z37,1)="S",LEFT(Z37,1)="A",LEFT(Z37,1)="F",LEFT(Z37,1)="C"),LEFT(Z37,1),"R"),FA$18),"")</f>
        <v>17</v>
      </c>
      <c r="FB37" s="102">
        <f t="shared" ref="FB37" si="918">IFERROR(IF(AND($E38="H",AA37&lt;&gt;""),IF(OR(LEFT(AA37,1)="T",LEFT(AA37,1)="S",LEFT(AA37,1)="A",LEFT(AA37,1)="F",LEFT(AA37,1)="C"),LEFT(AA37,1),"R"),FB$18),"")</f>
        <v>18</v>
      </c>
      <c r="FC37" s="102">
        <f t="shared" ref="FC37" si="919">IFERROR(IF(AND($E38="H",AB37&lt;&gt;""),IF(OR(LEFT(AB37,1)="T",LEFT(AB37,1)="S",LEFT(AB37,1)="A",LEFT(AB37,1)="F",LEFT(AB37,1)="C"),LEFT(AB37,1),"R"),FC$18),"")</f>
        <v>19</v>
      </c>
      <c r="FD37" s="102">
        <f t="shared" ref="FD37" si="920">IFERROR(IF(AND($E38="H",AC37&lt;&gt;""),IF(OR(LEFT(AC37,1)="T",LEFT(AC37,1)="S",LEFT(AC37,1)="A",LEFT(AC37,1)="F",LEFT(AC37,1)="C"),LEFT(AC37,1),"R"),FD$18),"")</f>
        <v>20</v>
      </c>
      <c r="FE37" s="102">
        <f t="shared" ref="FE37" si="921">IFERROR(IF(AND($E38="H",AD37&lt;&gt;""),IF(OR(LEFT(AD37,1)="T",LEFT(AD37,1)="S",LEFT(AD37,1)="A",LEFT(AD37,1)="F",LEFT(AD37,1)="C"),LEFT(AD37,1),"R"),FE$18),"")</f>
        <v>21</v>
      </c>
      <c r="FF37" s="102">
        <f t="shared" ref="FF37" si="922">IFERROR(IF(AND($E38="H",AE37&lt;&gt;""),IF(OR(LEFT(AE37,1)="T",LEFT(AE37,1)="S",LEFT(AE37,1)="A",LEFT(AE37,1)="F",LEFT(AE37,1)="C"),LEFT(AE37,1),"R"),FF$18),"")</f>
        <v>22</v>
      </c>
      <c r="FG37" s="102">
        <f t="shared" ref="FG37" si="923">IFERROR(IF(AND($E38="H",AF37&lt;&gt;""),IF(OR(LEFT(AF37,1)="T",LEFT(AF37,1)="S",LEFT(AF37,1)="A",LEFT(AF37,1)="F",LEFT(AF37,1)="C"),LEFT(AF37,1),"R"),FG$18),"")</f>
        <v>23</v>
      </c>
      <c r="FH37" s="102">
        <f t="shared" ref="FH37" si="924">IFERROR(IF(AND($E38="H",AG37&lt;&gt;""),IF(OR(LEFT(AG37,1)="T",LEFT(AG37,1)="S",LEFT(AG37,1)="A",LEFT(AG37,1)="F",LEFT(AG37,1)="C"),LEFT(AG37,1),"R"),FH$18),"")</f>
        <v>24</v>
      </c>
      <c r="FI37" s="102">
        <f t="shared" ref="FI37" si="925">IFERROR(IF(AND($E38="H",AH37&lt;&gt;""),IF(OR(LEFT(AH37,1)="T",LEFT(AH37,1)="S",LEFT(AH37,1)="A",LEFT(AH37,1)="F",LEFT(AH37,1)="C"),LEFT(AH37,1),"R"),FI$18),"")</f>
        <v>25</v>
      </c>
      <c r="FJ37" s="102">
        <f t="shared" ref="FJ37" si="926">IFERROR(IF(AND($E38="H",AI37&lt;&gt;""),IF(OR(LEFT(AI37,1)="T",LEFT(AI37,1)="S",LEFT(AI37,1)="A",LEFT(AI37,1)="F",LEFT(AI37,1)="C"),LEFT(AI37,1),"R"),FJ$18),"")</f>
        <v>26</v>
      </c>
      <c r="FK37" s="102">
        <f t="shared" ref="FK37" si="927">IFERROR(IF(AND($E38="H",AJ37&lt;&gt;""),IF(OR(LEFT(AJ37,1)="T",LEFT(AJ37,1)="S",LEFT(AJ37,1)="A",LEFT(AJ37,1)="F",LEFT(AJ37,1)="C"),LEFT(AJ37,1),"R"),FK$18),"")</f>
        <v>27</v>
      </c>
      <c r="FL37" s="102">
        <f t="shared" ref="FL37" si="928">IFERROR(IF(AND($E38="H",AK37&lt;&gt;""),IF(OR(LEFT(AK37,1)="T",LEFT(AK37,1)="S",LEFT(AK37,1)="A",LEFT(AK37,1)="F",LEFT(AK37,1)="C"),LEFT(AK37,1),"R"),FL$18),"")</f>
        <v>28</v>
      </c>
      <c r="FM37" s="102">
        <f t="shared" ref="FM37" si="929">IFERROR(IF(AND($E38="H",AL37&lt;&gt;""),IF(OR(LEFT(AL37,1)="T",LEFT(AL37,1)="S",LEFT(AL37,1)="A",LEFT(AL37,1)="F",LEFT(AL37,1)="C"),LEFT(AL37,1),"R"),FM$18),"")</f>
        <v>29</v>
      </c>
      <c r="FN37" s="102">
        <f t="shared" ref="FN37" si="930">IFERROR(IF(AND($E38="H",AM37&lt;&gt;""),IF(OR(LEFT(AM37,1)="T",LEFT(AM37,1)="S",LEFT(AM37,1)="A",LEFT(AM37,1)="F",LEFT(AM37,1)="C"),LEFT(AM37,1),"R"),FN$18),"")</f>
        <v>30</v>
      </c>
      <c r="FO37" s="102"/>
      <c r="FP37" s="102"/>
      <c r="FQ37" s="102"/>
      <c r="FR37" s="282"/>
      <c r="FS37" s="282"/>
      <c r="FT37" s="282"/>
      <c r="FU37" s="282"/>
      <c r="FV37" s="282"/>
      <c r="FW37" s="282"/>
      <c r="FX37" s="282"/>
      <c r="FY37" s="282"/>
      <c r="FZ37" s="282"/>
      <c r="GA37" s="282"/>
      <c r="GB37" s="282"/>
      <c r="GC37" s="282"/>
      <c r="GD37" s="282"/>
      <c r="GE37" s="282"/>
      <c r="GF37" s="282"/>
      <c r="GG37" s="282"/>
      <c r="GH37" s="282"/>
      <c r="GI37" s="282"/>
      <c r="GJ37" s="282"/>
      <c r="GK37" s="282"/>
      <c r="GL37" s="282"/>
      <c r="GM37" s="282"/>
      <c r="GN37" s="282"/>
      <c r="GO37" s="282"/>
      <c r="GP37" s="282"/>
      <c r="GQ37" s="282"/>
      <c r="GR37" s="282"/>
      <c r="GS37" s="282"/>
      <c r="GT37" s="282"/>
      <c r="GU37" s="282"/>
      <c r="GV37" s="102"/>
      <c r="GW37" s="102">
        <f t="shared" ref="GW37" si="931">COUNTIF($EK37:$FN37,GW$18)</f>
        <v>0</v>
      </c>
      <c r="GX37" s="102">
        <f t="shared" si="825"/>
        <v>0</v>
      </c>
      <c r="GY37" s="102">
        <f t="shared" si="825"/>
        <v>0</v>
      </c>
      <c r="GZ37" s="102">
        <f t="shared" si="825"/>
        <v>0</v>
      </c>
      <c r="HA37" s="102">
        <f t="shared" si="825"/>
        <v>0</v>
      </c>
      <c r="HB37" s="102">
        <f t="shared" si="825"/>
        <v>0</v>
      </c>
      <c r="HC37" s="102"/>
      <c r="HD37" s="102" t="str">
        <f t="shared" ref="HD37" si="932">IF(AND($F37="Hybrid - Thrust + 2 connections",HD38=0,LEFT($J37,1)="C",LEFT($K37,1)="C",LEFT($L37,1)="C"),"X","")</f>
        <v/>
      </c>
      <c r="HE37" s="102"/>
      <c r="HF37" s="105"/>
      <c r="HG37" s="114"/>
      <c r="HH37" s="114"/>
      <c r="HI37" s="105" t="str">
        <f t="shared" ref="HI37" si="933">IF(E38=3,IF(_xlfn.NUMBERVALUE(LEFT(J37,1))&gt;0,_xlfn.NUMBERVALUE(LEFT(J37,1)),""),"")</f>
        <v/>
      </c>
      <c r="HK37" s="105" t="str">
        <f t="shared" ref="HK37" si="934">IF(OR(E38="B",E38="P"),E38,"")</f>
        <v/>
      </c>
      <c r="HL37" s="105" t="str">
        <f>IF(AND(J37&lt;&gt;"",HK37&lt;&gt;""),IF(HK37="B",MATCH(J37,AcroDD!$U$3:$AE$3,0),MATCH(J37,AcroDD!$U$30:$AC$30,0)),"")</f>
        <v/>
      </c>
      <c r="HM37" s="105" t="str">
        <f t="shared" ref="HM37" si="935">IF(AND(K37&lt;&gt;"",HK37&lt;&gt;""),K37,"")</f>
        <v/>
      </c>
      <c r="HN37" s="105" t="str">
        <f ca="1">IF(AND(OR(HK37="B",HK37="P"),HL37&lt;&gt;"",HM37&lt;&gt;""),IF(IFERROR(IF(HK37="B",MATCH(HM37,OFFSET(AcroDD!$T$4,0,HL37,20),0),MATCH(HM37,OFFSET(AcroDD!$T$31,0,HL37,20),0)),"")&lt;&gt;"","OK","X"),"")</f>
        <v/>
      </c>
    </row>
    <row r="38" spans="1:222" x14ac:dyDescent="0.25">
      <c r="A38" s="39"/>
      <c r="B38" s="40"/>
      <c r="C38" s="40"/>
      <c r="D38" s="40"/>
      <c r="E38" s="20" t="str">
        <f>IF(F37="Acrobatic - Pair","PA",IF(F37="Acrobatic Airborn","A",IF(F37="Acrobatic Balance","B",IF(F37="Acrobatic Combined","C",IF(F37="Acrobatic Platform","P",IF(F37="Technical Required Element",3,IF(LEFT(F37,4)="Hybr","H","")))))))</f>
        <v/>
      </c>
      <c r="F38" s="20" t="str">
        <f>IF(AND(F37="Hybrid - Thrust + 2 connections",CR37="X"),"Hybrid - Thrust",IF(OR(E38="A",E38="B",E38="C",E38="P"),"Acrobatic",""))</f>
        <v/>
      </c>
      <c r="G38" s="42"/>
      <c r="H38" s="207" t="str">
        <f t="shared" ref="H38" si="936">IF(E38="PA",IF(OR(LEFT(J37,1)="L",LEFT(J37,1)="S"),"A-Pair-Lift",IF(OR(LEFT(J37,1)="W",LEFT(J37,1)="T"),"A-Pair-Throw",IF(LEFT(J37,1)="J","A-Pair-Jump","A-Pair"))),IF(OR(E38="A",E38="B",E38="C",E38="P"),CONCATENATE("Acro-",E38),""))</f>
        <v/>
      </c>
      <c r="I38" s="201" t="e">
        <f t="shared" ref="I38" si="937">IF(OR(F37="Hybrid - min 4 swimmers (no DD)",LEFT(F37,5)="Trans"),0,INDEX($BY$3:$BY$9,MATCH(E38,$BX$3:$BX$9,0)))</f>
        <v>#N/A</v>
      </c>
      <c r="J38" s="196">
        <f ca="1">IFERROR(IF($H37="No DD",IF(J37="ChoHY",1,0),IF(OR(ISBLANK(J37),J37="N/A"),0,INDEX(INDIRECT(BI38),MATCH(J37,INDIRECT(BI37),0)))),0)</f>
        <v>0</v>
      </c>
      <c r="K38" s="196">
        <f t="shared" ref="K38:Y38" ca="1" si="938">IFERROR(IF($H37="No DD",0,IF(OR(ISBLANK(K37),K37="N/A"),0,INDEX(INDIRECT(BJ38),MATCH(K37,INDIRECT(BJ37),0)))),0)</f>
        <v>0</v>
      </c>
      <c r="L38" s="196">
        <f t="shared" ca="1" si="938"/>
        <v>0</v>
      </c>
      <c r="M38" s="196">
        <f t="shared" ca="1" si="938"/>
        <v>0</v>
      </c>
      <c r="N38" s="196">
        <f t="shared" ca="1" si="938"/>
        <v>0</v>
      </c>
      <c r="O38" s="196">
        <f t="shared" ca="1" si="938"/>
        <v>0</v>
      </c>
      <c r="P38" s="196">
        <f t="shared" ca="1" si="938"/>
        <v>0</v>
      </c>
      <c r="Q38" s="196">
        <f t="shared" ca="1" si="938"/>
        <v>0</v>
      </c>
      <c r="R38" s="196">
        <f t="shared" ca="1" si="938"/>
        <v>0</v>
      </c>
      <c r="S38" s="196">
        <f t="shared" ca="1" si="938"/>
        <v>0</v>
      </c>
      <c r="T38" s="196">
        <f t="shared" ca="1" si="938"/>
        <v>0</v>
      </c>
      <c r="U38" s="196">
        <f t="shared" ca="1" si="938"/>
        <v>0</v>
      </c>
      <c r="V38" s="196">
        <f t="shared" ca="1" si="938"/>
        <v>0</v>
      </c>
      <c r="W38" s="196">
        <f t="shared" ca="1" si="938"/>
        <v>0</v>
      </c>
      <c r="X38" s="196">
        <f t="shared" ca="1" si="938"/>
        <v>0</v>
      </c>
      <c r="Y38" s="196">
        <f t="shared" ca="1" si="938"/>
        <v>0</v>
      </c>
      <c r="Z38" s="196">
        <f t="shared" ref="Z38" ca="1" si="939">IFERROR(IF($H37="No DD",0,IF(OR(ISBLANK(Z37),Z37="N/A"),0,INDEX(INDIRECT(BY38),MATCH(Z37,INDIRECT(BY37),0)))),0)</f>
        <v>0</v>
      </c>
      <c r="AA38" s="196">
        <f t="shared" ref="AA38" ca="1" si="940">IFERROR(IF($H37="No DD",0,IF(OR(ISBLANK(AA37),AA37="N/A"),0,INDEX(INDIRECT(BZ38),MATCH(AA37,INDIRECT(BZ37),0)))),0)</f>
        <v>0</v>
      </c>
      <c r="AB38" s="196">
        <f t="shared" ref="AB38" ca="1" si="941">IFERROR(IF($H37="No DD",0,IF(OR(ISBLANK(AB37),AB37="N/A"),0,INDEX(INDIRECT(CA38),MATCH(AB37,INDIRECT(CA37),0)))),0)</f>
        <v>0</v>
      </c>
      <c r="AC38" s="196">
        <f t="shared" ref="AC38" ca="1" si="942">IFERROR(IF($H37="No DD",0,IF(OR(ISBLANK(AC37),AC37="N/A"),0,INDEX(INDIRECT(CB38),MATCH(AC37,INDIRECT(CB37),0)))),0)</f>
        <v>0</v>
      </c>
      <c r="AD38" s="196">
        <f t="shared" ref="AD38" ca="1" si="943">IFERROR(IF($H37="No DD",0,IF(OR(ISBLANK(AD37),AD37="N/A"),0,INDEX(INDIRECT(CC38),MATCH(AD37,INDIRECT(CC37),0)))),0)</f>
        <v>0</v>
      </c>
      <c r="AE38" s="196">
        <f t="shared" ref="AE38" ca="1" si="944">IFERROR(IF($H37="No DD",0,IF(OR(ISBLANK(AE37),AE37="N/A"),0,INDEX(INDIRECT(CD38),MATCH(AE37,INDIRECT(CD37),0)))),0)</f>
        <v>0</v>
      </c>
      <c r="AF38" s="196">
        <f t="shared" ref="AF38" ca="1" si="945">IFERROR(IF($H37="No DD",0,IF(OR(ISBLANK(AF37),AF37="N/A"),0,INDEX(INDIRECT(CE38),MATCH(AF37,INDIRECT(CE37),0)))),0)</f>
        <v>0</v>
      </c>
      <c r="AG38" s="196">
        <f t="shared" ref="AG38" ca="1" si="946">IFERROR(IF($H37="No DD",0,IF(OR(ISBLANK(AG37),AG37="N/A"),0,INDEX(INDIRECT(CF38),MATCH(AG37,INDIRECT(CF37),0)))),0)</f>
        <v>0</v>
      </c>
      <c r="AH38" s="196">
        <f t="shared" ref="AH38" ca="1" si="947">IFERROR(IF($H37="No DD",0,IF(OR(ISBLANK(AH37),AH37="N/A"),0,INDEX(INDIRECT(CG38),MATCH(AH37,INDIRECT(CG37),0)))),0)</f>
        <v>0</v>
      </c>
      <c r="AI38" s="196">
        <f t="shared" ref="AI38" ca="1" si="948">IFERROR(IF($H37="No DD",0,IF(OR(ISBLANK(AI37),AI37="N/A"),0,INDEX(INDIRECT(CH38),MATCH(AI37,INDIRECT(CH37),0)))),0)</f>
        <v>0</v>
      </c>
      <c r="AJ38" s="196">
        <f t="shared" ref="AJ38" ca="1" si="949">IFERROR(IF($H37="No DD",0,IF(OR(ISBLANK(AJ37),AJ37="N/A"),0,INDEX(INDIRECT(CI38),MATCH(AJ37,INDIRECT(CI37),0)))),0)</f>
        <v>0</v>
      </c>
      <c r="AK38" s="196">
        <f t="shared" ref="AK38" ca="1" si="950">IFERROR(IF($H37="No DD",0,IF(OR(ISBLANK(AK37),AK37="N/A"),0,INDEX(INDIRECT(CJ38),MATCH(AK37,INDIRECT(CJ37),0)))),0)</f>
        <v>0</v>
      </c>
      <c r="AL38" s="196">
        <f t="shared" ref="AL38" ca="1" si="951">IFERROR(IF($H37="No DD",0,IF(OR(ISBLANK(AL37),AL37="N/A"),0,INDEX(INDIRECT(CK38),MATCH(AL37,INDIRECT(CK37),0)))),0)</f>
        <v>0</v>
      </c>
      <c r="AM38" s="196">
        <f t="shared" ref="AM38" ca="1" si="952">IFERROR(IF($H37="No DD",0,IF(OR(ISBLANK(AM37),AM37="N/A"),0,INDEX(INDIRECT(CL38),MATCH(AM37,INDIRECT(CL37),0)))),0)</f>
        <v>0</v>
      </c>
      <c r="AN38" s="197" t="str">
        <f>IFERROR(IF(E38="H",INDEX(HybridBonus_Value,MATCH(AN37,HybridBonus_Code,0)),""),"")</f>
        <v/>
      </c>
      <c r="AO38" s="195" t="str">
        <f t="shared" ref="AO38" si="953">IFERROR(SUM(I38:AN38),"")</f>
        <v/>
      </c>
      <c r="AP38" s="75"/>
      <c r="AQ38" s="75"/>
      <c r="AR38" s="115"/>
      <c r="AS38" s="115"/>
      <c r="AT38" s="115"/>
      <c r="AU38" s="115"/>
      <c r="AV38" s="115"/>
      <c r="BA38" s="104"/>
      <c r="BB38" s="115"/>
      <c r="BC38" s="115"/>
      <c r="BD38" s="115"/>
      <c r="BE38" s="115"/>
      <c r="BF38" s="115"/>
      <c r="BG38" s="104"/>
      <c r="BH38" s="115"/>
      <c r="BI38" s="105" t="str">
        <f t="shared" ref="BI38" si="954">IF($E38="H",IF($F37="Hybrid - Thrust + 2 connections","Hybrid_Mix_Req_Value","HybridDD_Value"),IF($E38=3,"TreDD_Value",IF($E38="PA","AcroPair_Value",IF(LEFT($F37,4)="Acro",CONCATENATE(BI$16,$E38,"_Value"),""))))</f>
        <v/>
      </c>
      <c r="BJ38" s="105" t="str">
        <f t="shared" ref="BJ38" si="955">IF($E38="H",IF($F37="Hybrid - Thrust + 2 connections","Hybrid_Mix_Req_Value","HybridDD_Value"),IF($E38=3,"TreDD_Value",IF($E38="PA","AcroPair_Value",IF(LEFT($F37,4)="Acro",CONCATENATE(BJ$16,$E38,"_Value"),""))))</f>
        <v/>
      </c>
      <c r="BK38" s="105" t="str">
        <f t="shared" ref="BK38" si="956">IF($E38="H",IF($F37="Hybrid - Thrust + 2 connections","Hybrid_Mix_Req_Value","HybridDD_Value"),IF($E38=3,"TreDD_Value",IF($E38="PA","AcroPair_Value",IF(LEFT($F37,4)="Acro",CONCATENATE(BK$16,$E38,"_Value"),""))))</f>
        <v/>
      </c>
      <c r="BL38" s="105" t="str">
        <f t="shared" ref="BL38" si="957">IF($E38="H",IF($F37="Hybrid - Thrust + 2 connections","Hybrid_Mix_Req_Value","HybridDD_Value"),IF($E38=3,"TreDD_Value",IF($E38="PA","AcroPair_Value",IF(LEFT($F37,4)="Acro",CONCATENATE(BL$16,$E38,"_Value"),""))))</f>
        <v/>
      </c>
      <c r="BM38" s="105" t="str">
        <f t="shared" ref="BM38" si="958">IF($E38="H",IF($F37="Hybrid - Thrust + 2 connections","Hybrid_Mix_Req_Value","HybridDD_Value"),IF($E38=3,"TreDD_Value",IF($E38="PA","AcroPair_Value",IF(LEFT($F37,4)="Acro",CONCATENATE(BM$16,$E38,"_Value"),""))))</f>
        <v/>
      </c>
      <c r="BN38" s="105" t="str">
        <f t="shared" ref="BN38" si="959">IF($E38="H",IF($F37="Hybrid - Thrust + 2 connections","Hybrid_Mix_Req_Value","HybridDD_Value"),IF($E38=3,"TreDD_Value",IF($E38="PA","AcroPair_Value",IF(LEFT($F37,4)="Acro",CONCATENATE(BN$16,$E38,"_Value"),""))))</f>
        <v/>
      </c>
      <c r="BO38" s="105" t="str">
        <f t="shared" ref="BO38" si="960">IF($E38="H",IF($F37="Hybrid - Thrust + 2 connections","Hybrid_Mix_Req_Value","HybridDD_Value"),IF($E38=3,"TreDD_Value",IF($E38="PA","AcroPair_Value",IF(LEFT($F37,4)="Acro",CONCATENATE(BO$16,$E38,"_Value"),""))))</f>
        <v/>
      </c>
      <c r="BP38" s="105" t="str">
        <f t="shared" ref="BP38" si="961">IF($E38="H",IF($F37="Hybrid - Thrust + 2 connections","Hybrid_Mix_Req_Value","HybridDD_Value"),IF($E38=3,"TreDD_Value",IF($E38="PA","AcroPair_Value",IF(LEFT($F37,4)="Acro",CONCATENATE(BP$16,$E38,"_Value"),""))))</f>
        <v/>
      </c>
      <c r="BQ38" s="105" t="str">
        <f t="shared" ref="BQ38" si="962">IF($E38="H",IF($F37="Hybrid - Thrust + 2 connections","Hybrid_Mix_Req_Value","HybridDD_Value"),IF($E38=3,"TreDD_Value",IF($E38="PA","AcroPair_Value",IF(LEFT($F37,4)="Acro",CONCATENATE(BQ$16,$E38,"_Value"),""))))</f>
        <v/>
      </c>
      <c r="BR38" s="104" t="str">
        <f t="shared" ref="BR38" si="963">IF($E38="H",IF($F37="Hybrid - Thrust + 2 connections","Data!$BI$1:$BI$5","HybridDD_Value"),"Data!$BI$1:$BI$5")</f>
        <v>Data!$BI$1:$BI$5</v>
      </c>
      <c r="BS38" s="104" t="str">
        <f t="shared" ref="BS38" si="964">IF($E38="H",IF($F37="Hybrid - Thrust + 2 connections","Data!$BI$1:$BI$5","HybridDD_Value"),"Data!$BI$1:$BI$5")</f>
        <v>Data!$BI$1:$BI$5</v>
      </c>
      <c r="BT38" s="104" t="str">
        <f t="shared" ref="BT38" si="965">IF($E38="H",IF($F37="Hybrid - Thrust + 2 connections","Data!$BI$1:$BI$5","HybridDD_Value"),"Data!$BI$1:$BI$5")</f>
        <v>Data!$BI$1:$BI$5</v>
      </c>
      <c r="BU38" s="104" t="str">
        <f t="shared" ref="BU38" si="966">IF($E38="H",IF($F37="Hybrid - Thrust + 2 connections","Data!$BI$1:$BI$5","HybridDD_Value"),"Data!$BI$1:$BI$5")</f>
        <v>Data!$BI$1:$BI$5</v>
      </c>
      <c r="BV38" s="104" t="str">
        <f t="shared" ref="BV38" si="967">IF($E38="H",IF($F37="Hybrid - Thrust + 2 connections","Data!$BI$1:$BI$5","HybridDD_Value"),"Data!$BI$1:$BI$5")</f>
        <v>Data!$BI$1:$BI$5</v>
      </c>
      <c r="BW38" s="104" t="str">
        <f t="shared" ref="BW38" si="968">IF($E38="H",IF($F37="Hybrid - Thrust + 2 connections","Data!$BI$1:$BI$5","HybridDD_Value"),"Data!$BI$1:$BI$5")</f>
        <v>Data!$BI$1:$BI$5</v>
      </c>
      <c r="BX38" s="104" t="str">
        <f t="shared" ref="BX38" si="969">IF($E38="H",IF($F37="Hybrid - Thrust + 2 connections","Data!$BI$1:$BI$5","HybridDD_Value"),"Data!$BI$1:$BI$5")</f>
        <v>Data!$BI$1:$BI$5</v>
      </c>
      <c r="BY38" s="104" t="str">
        <f t="shared" ref="BY38" si="970">IF($E38="H",IF($F37="Hybrid - Thrust + 2 connections","Data!$BI$1:$BI$5","HybridDD_Value"),"Data!$BI$1:$BI$5")</f>
        <v>Data!$BI$1:$BI$5</v>
      </c>
      <c r="BZ38" s="104" t="str">
        <f t="shared" ref="BZ38" si="971">IF($E38="H",IF($F37="Hybrid - Thrust + 2 connections","Data!$BI$1:$BI$5","HybridDD_Value"),"Data!$BI$1:$BI$5")</f>
        <v>Data!$BI$1:$BI$5</v>
      </c>
      <c r="CA38" s="104" t="str">
        <f t="shared" ref="CA38" si="972">IF($E38="H",IF($F37="Hybrid - Thrust + 2 connections","Data!$BI$1:$BI$5","HybridDD_Value"),"Data!$BI$1:$BI$5")</f>
        <v>Data!$BI$1:$BI$5</v>
      </c>
      <c r="CB38" s="104" t="str">
        <f t="shared" ref="CB38" si="973">IF($E38="H",IF($F37="Hybrid - Thrust + 2 connections","Data!$BI$1:$BI$5","HybridDD_Value"),"Data!$BI$1:$BI$5")</f>
        <v>Data!$BI$1:$BI$5</v>
      </c>
      <c r="CC38" s="104" t="str">
        <f t="shared" ref="CC38" si="974">IF($E38="H",IF($F37="Hybrid - Thrust + 2 connections","Data!$BI$1:$BI$5","HybridDD_Value"),"Data!$BI$1:$BI$5")</f>
        <v>Data!$BI$1:$BI$5</v>
      </c>
      <c r="CD38" s="104" t="str">
        <f t="shared" ref="CD38" si="975">IF($E38="H",IF($F37="Hybrid - Thrust + 2 connections","Data!$BI$1:$BI$5","HybridDD_Value"),"Data!$BI$1:$BI$5")</f>
        <v>Data!$BI$1:$BI$5</v>
      </c>
      <c r="CE38" s="104" t="str">
        <f t="shared" ref="CE38" si="976">IF($E38="H",IF($F37="Hybrid - Thrust + 2 connections","Data!$BI$1:$BI$5","HybridDD_Value"),"Data!$BI$1:$BI$5")</f>
        <v>Data!$BI$1:$BI$5</v>
      </c>
      <c r="CF38" s="104" t="str">
        <f t="shared" ref="CF38" si="977">IF($E38="H",IF($F37="Hybrid - Thrust + 2 connections","Data!$BI$1:$BI$5","HybridDD_Value"),"Data!$BI$1:$BI$5")</f>
        <v>Data!$BI$1:$BI$5</v>
      </c>
      <c r="CG38" s="104" t="str">
        <f t="shared" ref="CG38" si="978">IF($E38="H",IF($F37="Hybrid - Thrust + 2 connections","Data!$BI$1:$BI$5","HybridDD_Value"),"Data!$BI$1:$BI$5")</f>
        <v>Data!$BI$1:$BI$5</v>
      </c>
      <c r="CH38" s="104" t="str">
        <f t="shared" ref="CH38" si="979">IF($E38="H",IF($F37="Hybrid - Thrust + 2 connections","Data!$BI$1:$BI$5","HybridDD_Value"),"Data!$BI$1:$BI$5")</f>
        <v>Data!$BI$1:$BI$5</v>
      </c>
      <c r="CI38" s="104" t="str">
        <f t="shared" ref="CI38" si="980">IF($E38="H",IF($F37="Hybrid - Thrust + 2 connections","Data!$BI$1:$BI$5","HybridDD_Value"),"Data!$BI$1:$BI$5")</f>
        <v>Data!$BI$1:$BI$5</v>
      </c>
      <c r="CJ38" s="104" t="str">
        <f t="shared" ref="CJ38" si="981">IF($E38="H",IF($F37="Hybrid - Thrust + 2 connections","Data!$BI$1:$BI$5","HybridDD_Value"),"Data!$BI$1:$BI$5")</f>
        <v>Data!$BI$1:$BI$5</v>
      </c>
      <c r="CK38" s="104" t="str">
        <f t="shared" ref="CK38" si="982">IF($E38="H",IF($F37="Hybrid - Thrust + 2 connections","Data!$BI$1:$BI$5","HybridDD_Value"),"Data!$BI$1:$BI$5")</f>
        <v>Data!$BI$1:$BI$5</v>
      </c>
      <c r="CL38" s="104" t="str">
        <f t="shared" ref="CL38" si="983">IF($E38="H",IF($F37="Hybrid - Thrust + 2 connections","Data!$BI$1:$BI$5","HybridDD_Value"),"Data!$BI$1:$BI$5")</f>
        <v>Data!$BI$1:$BI$5</v>
      </c>
      <c r="CM38" s="115"/>
      <c r="CN38" s="115"/>
      <c r="CO38" s="116" t="str">
        <f>IFERROR(IF(AND($BV$6="T",$BV$8="T",LEFT(F37,4)="Acro",AO38&gt;3),"X",IF($N$7="X",IF(AND(E38="C",AO38&gt;$CN$6),"X",IF(AND(E38="A",AO38&gt;$CN$4),"X",IF(AND(E38="B",AO38&gt;$CN$5),"X",IF(AND(E38="P",AO38&gt;$CN$7),"X","")))),"")),"")</f>
        <v/>
      </c>
      <c r="CP38" s="108"/>
      <c r="CQ38" s="105"/>
      <c r="CS38" s="105"/>
      <c r="CT38" s="105"/>
      <c r="CU38" s="105"/>
      <c r="CV38" s="105"/>
      <c r="CW38" s="105"/>
      <c r="CX38" s="105"/>
      <c r="CY38" s="105"/>
      <c r="CZ38" s="105"/>
      <c r="DD38" s="102" t="str">
        <f t="shared" si="10"/>
        <v/>
      </c>
      <c r="DE38" s="102" t="str">
        <f t="shared" si="11"/>
        <v/>
      </c>
      <c r="DF38" s="102" t="str">
        <f t="shared" si="12"/>
        <v/>
      </c>
      <c r="DG38" s="102" t="str">
        <f t="shared" si="13"/>
        <v/>
      </c>
      <c r="DO38" s="102">
        <v>20</v>
      </c>
      <c r="ED38" s="102" t="str">
        <f t="shared" si="14"/>
        <v/>
      </c>
      <c r="EE38" s="102" t="str">
        <f t="shared" si="15"/>
        <v/>
      </c>
      <c r="EI38" s="102" t="str" cm="1">
        <f t="array" ref="EI38">IFERROR(INDEX(EK38:FN38,MATCH(TRUE,INDEX((EK38:FN38&lt;&gt;""),),0)),"")</f>
        <v/>
      </c>
      <c r="EK38" s="102" t="str">
        <f t="shared" si="879"/>
        <v/>
      </c>
      <c r="EL38" s="102" t="str">
        <f t="shared" ref="EL38:EZ38" si="984">IF(G37="Hybrid - Thrust + 2 connections",IF(COUNTIF($EK37:$FD37,EL37)&gt;1,EL37,""),IF(COUNTIF($EK37:$FD37,EL37)&gt;5,EL37,""))</f>
        <v/>
      </c>
      <c r="EM38" s="102" t="str">
        <f t="shared" si="984"/>
        <v/>
      </c>
      <c r="EN38" s="102" t="str">
        <f t="shared" si="984"/>
        <v/>
      </c>
      <c r="EO38" s="102" t="str">
        <f t="shared" si="984"/>
        <v/>
      </c>
      <c r="EP38" s="102" t="str">
        <f t="shared" si="984"/>
        <v/>
      </c>
      <c r="EQ38" s="102" t="str">
        <f t="shared" si="984"/>
        <v/>
      </c>
      <c r="ER38" s="102" t="str">
        <f t="shared" si="984"/>
        <v/>
      </c>
      <c r="ES38" s="102" t="str">
        <f t="shared" si="984"/>
        <v/>
      </c>
      <c r="ET38" s="102" t="str">
        <f t="shared" si="984"/>
        <v/>
      </c>
      <c r="EU38" s="102" t="str">
        <f t="shared" si="984"/>
        <v/>
      </c>
      <c r="EV38" s="102" t="str">
        <f t="shared" si="984"/>
        <v/>
      </c>
      <c r="EW38" s="102" t="str">
        <f t="shared" si="984"/>
        <v/>
      </c>
      <c r="EX38" s="102" t="str">
        <f t="shared" si="984"/>
        <v/>
      </c>
      <c r="EY38" s="102" t="str">
        <f t="shared" si="984"/>
        <v/>
      </c>
      <c r="EZ38" s="102" t="str">
        <f t="shared" si="984"/>
        <v/>
      </c>
      <c r="FA38" s="102" t="str">
        <f t="shared" ref="FA38" si="985">IF(V37="Hybrid - Thrust + 2 connections",IF(COUNTIF($EK37:$FD37,FA37)&gt;1,FA37,""),IF(COUNTIF($EK37:$FD37,FA37)&gt;5,FA37,""))</f>
        <v/>
      </c>
      <c r="FB38" s="102" t="str">
        <f t="shared" ref="FB38" si="986">IF(W37="Hybrid - Thrust + 2 connections",IF(COUNTIF($EK37:$FD37,FB37)&gt;1,FB37,""),IF(COUNTIF($EK37:$FD37,FB37)&gt;5,FB37,""))</f>
        <v/>
      </c>
      <c r="FC38" s="102" t="str">
        <f t="shared" ref="FC38" si="987">IF(X37="Hybrid - Thrust + 2 connections",IF(COUNTIF($EK37:$FD37,FC37)&gt;1,FC37,""),IF(COUNTIF($EK37:$FD37,FC37)&gt;5,FC37,""))</f>
        <v/>
      </c>
      <c r="FD38" s="102" t="str">
        <f t="shared" ref="FD38" si="988">IF(Y37="Hybrid - Thrust + 2 connections",IF(COUNTIF($EK37:$FD37,FD37)&gt;1,FD37,""),IF(COUNTIF($EK37:$FD37,FD37)&gt;5,FD37,""))</f>
        <v/>
      </c>
      <c r="FE38" s="102" t="str">
        <f t="shared" ref="FE38" si="989">IF(Z37="Hybrid - Thrust + 2 connections",IF(COUNTIF($EK37:$FD37,FE37)&gt;1,FE37,""),IF(COUNTIF($EK37:$FD37,FE37)&gt;5,FE37,""))</f>
        <v/>
      </c>
      <c r="FF38" s="102" t="str">
        <f t="shared" ref="FF38" si="990">IF(AA37="Hybrid - Thrust + 2 connections",IF(COUNTIF($EK37:$FD37,FF37)&gt;1,FF37,""),IF(COUNTIF($EK37:$FD37,FF37)&gt;5,FF37,""))</f>
        <v/>
      </c>
      <c r="FG38" s="102" t="str">
        <f t="shared" ref="FG38" si="991">IF(AB37="Hybrid - Thrust + 2 connections",IF(COUNTIF($EK37:$FD37,FG37)&gt;1,FG37,""),IF(COUNTIF($EK37:$FD37,FG37)&gt;5,FG37,""))</f>
        <v/>
      </c>
      <c r="FH38" s="102" t="str">
        <f t="shared" ref="FH38" si="992">IF(AC37="Hybrid - Thrust + 2 connections",IF(COUNTIF($EK37:$FD37,FH37)&gt;1,FH37,""),IF(COUNTIF($EK37:$FD37,FH37)&gt;5,FH37,""))</f>
        <v/>
      </c>
      <c r="FI38" s="102" t="str">
        <f t="shared" ref="FI38" si="993">IF(AD37="Hybrid - Thrust + 2 connections",IF(COUNTIF($EK37:$FD37,FI37)&gt;1,FI37,""),IF(COUNTIF($EK37:$FD37,FI37)&gt;5,FI37,""))</f>
        <v/>
      </c>
      <c r="FJ38" s="102" t="str">
        <f t="shared" ref="FJ38" si="994">IF(AE37="Hybrid - Thrust + 2 connections",IF(COUNTIF($EK37:$FD37,FJ37)&gt;1,FJ37,""),IF(COUNTIF($EK37:$FD37,FJ37)&gt;5,FJ37,""))</f>
        <v/>
      </c>
      <c r="FK38" s="102" t="str">
        <f t="shared" ref="FK38" si="995">IF(AF37="Hybrid - Thrust + 2 connections",IF(COUNTIF($EK37:$FD37,FK37)&gt;1,FK37,""),IF(COUNTIF($EK37:$FD37,FK37)&gt;5,FK37,""))</f>
        <v/>
      </c>
      <c r="FL38" s="102" t="str">
        <f t="shared" ref="FL38" si="996">IF(AG37="Hybrid - Thrust + 2 connections",IF(COUNTIF($EK37:$FD37,FL37)&gt;1,FL37,""),IF(COUNTIF($EK37:$FD37,FL37)&gt;5,FL37,""))</f>
        <v/>
      </c>
      <c r="FM38" s="102" t="str">
        <f t="shared" ref="FM38" si="997">IF(AH37="Hybrid - Thrust + 2 connections",IF(COUNTIF($EK37:$FD37,FM37)&gt;1,FM37,""),IF(COUNTIF($EK37:$FD37,FM37)&gt;5,FM37,""))</f>
        <v/>
      </c>
      <c r="FN38" s="102" t="str">
        <f t="shared" ref="FN38" si="998">IF(AI37="Hybrid - Thrust + 2 connections",IF(COUNTIF($EK37:$FD37,FN37)&gt;1,FN37,""),IF(COUNTIF($EK37:$FD37,FN37)&gt;5,FN37,""))</f>
        <v/>
      </c>
      <c r="FO38" s="102">
        <f t="shared" ref="FO38" si="999">FO36+5</f>
        <v>45</v>
      </c>
      <c r="FP38" s="102" t="str">
        <f t="shared" ref="FP38" ca="1" si="1000">OFFSET($FP$75,FO38,0)</f>
        <v/>
      </c>
      <c r="FQ38" s="102" t="str">
        <f t="shared" ref="FQ38" ca="1" si="1001">OFFSET($FQ$75,FO38,0)</f>
        <v/>
      </c>
      <c r="FR38" s="282"/>
      <c r="FS38" s="282"/>
      <c r="FT38" s="282"/>
      <c r="FU38" s="282"/>
      <c r="FV38" s="282"/>
      <c r="FW38" s="282"/>
      <c r="FX38" s="282"/>
      <c r="FY38" s="282"/>
      <c r="FZ38" s="282"/>
      <c r="GA38" s="282"/>
      <c r="GB38" s="282"/>
      <c r="GC38" s="282"/>
      <c r="GD38" s="282"/>
      <c r="GE38" s="282"/>
      <c r="GF38" s="282"/>
      <c r="GG38" s="282"/>
      <c r="GH38" s="282"/>
      <c r="GI38" s="282"/>
      <c r="GJ38" s="282"/>
      <c r="GK38" s="282"/>
      <c r="GL38" s="282"/>
      <c r="GM38" s="282"/>
      <c r="GN38" s="282"/>
      <c r="GO38" s="282"/>
      <c r="GP38" s="282"/>
      <c r="GQ38" s="282"/>
      <c r="GR38" s="282"/>
      <c r="GS38" s="282"/>
      <c r="GT38" s="282"/>
      <c r="GU38" s="282"/>
      <c r="GV38" s="102"/>
      <c r="GW38" s="102"/>
      <c r="GX38" s="102"/>
      <c r="GY38" s="102"/>
      <c r="GZ38" s="102"/>
      <c r="HA38" s="102"/>
      <c r="HB38" s="102"/>
      <c r="HC38" s="102"/>
      <c r="HD38" s="102" t="str">
        <f>IF($F37="Hybrid - Thrust + 2 connections",COUNTBLANK(J37:L37),"")</f>
        <v/>
      </c>
      <c r="HE38" s="102"/>
      <c r="HF38" s="105"/>
      <c r="HG38" s="105"/>
      <c r="HH38" s="105"/>
      <c r="HI38" s="105"/>
    </row>
    <row r="39" spans="1:222" x14ac:dyDescent="0.25">
      <c r="A39" s="39" t="str">
        <f>IF(AND(E37="",A37&lt;&gt;""),IF(CP37=$CP$18,"",IF(C37&lt;&gt;"",IF(D37=59,MINUTE(CP37)+1,MINUTE(CP37)),"")),"")</f>
        <v/>
      </c>
      <c r="B39" s="40" t="str">
        <f>IF(AND(E37="",B37&lt;&gt;""),IF(CP37=$CP$18,"",IF(C37&lt;&gt;"",IF(D37=59,0,SECOND(CP37)+1),"")),"")</f>
        <v/>
      </c>
      <c r="C39" s="50"/>
      <c r="D39" s="50"/>
      <c r="E39" s="9"/>
      <c r="F39" s="51"/>
      <c r="G39" s="42" t="str">
        <f>IF(F39&lt;&gt;"",IF(OR(F39="Transition",F39="Transition - Surface Connection"),0,MAX($G$19:G38)+1),"")</f>
        <v/>
      </c>
      <c r="H39" s="56" t="str">
        <f t="shared" ref="H39" si="1002">IFERROR(IF(E40="3","",IF(OR(F39="Hybrid - min 4 swimmers (no DD)",LEFT(F39,5)="Trans"),"No DD",CONCATENATE("BM = ",I40))),"")</f>
        <v/>
      </c>
      <c r="I39" s="57"/>
      <c r="J39" s="124"/>
      <c r="K39" s="129"/>
      <c r="L39" s="129"/>
      <c r="M39" s="129"/>
      <c r="N39" s="129"/>
      <c r="O39" s="129"/>
      <c r="P39" s="129"/>
      <c r="Q39" s="129"/>
      <c r="R39" s="129"/>
      <c r="S39" s="129"/>
      <c r="T39" s="129"/>
      <c r="U39" s="129"/>
      <c r="V39" s="129"/>
      <c r="W39" s="129"/>
      <c r="X39" s="129"/>
      <c r="Y39" s="129"/>
      <c r="Z39" s="129"/>
      <c r="AA39" s="129"/>
      <c r="AB39" s="129"/>
      <c r="AC39" s="129"/>
      <c r="AD39" s="129"/>
      <c r="AE39" s="129"/>
      <c r="AF39" s="129"/>
      <c r="AG39" s="129"/>
      <c r="AH39" s="129"/>
      <c r="AI39" s="129"/>
      <c r="AJ39" s="129"/>
      <c r="AK39" s="129"/>
      <c r="AL39" s="129"/>
      <c r="AM39" s="129"/>
      <c r="AN39" s="179"/>
      <c r="AO39" s="43"/>
      <c r="AP39" s="74"/>
      <c r="AQ39" s="74"/>
      <c r="AR39" s="104"/>
      <c r="AS39" s="104"/>
      <c r="AT39" s="104"/>
      <c r="AU39" s="104"/>
      <c r="AV39" s="104"/>
      <c r="AW39" s="105" t="str">
        <f t="shared" ref="AW39" si="1003">E40</f>
        <v/>
      </c>
      <c r="AX39" s="108" t="str">
        <f t="shared" ref="AX39" si="1004">IF(AY39=0,"",TIME(0,A39,B39))</f>
        <v/>
      </c>
      <c r="AY39" s="108">
        <f t="shared" ref="AY39" si="1005">TIME(0,C39,D39)</f>
        <v>0</v>
      </c>
      <c r="AZ39" s="108" t="str">
        <f t="shared" ref="AZ39" si="1006">IFERROR(AY39-AX39,"")</f>
        <v/>
      </c>
      <c r="BA39" s="276" t="str">
        <f t="shared" ref="BA39" si="1007">IF($AX$17=0,"",IF(AND($C$10&lt;&gt;"",AW39="H",AZ39&gt;$AX$17),"X",""))</f>
        <v/>
      </c>
      <c r="BB39" s="104"/>
      <c r="BC39" s="104"/>
      <c r="BD39" s="104"/>
      <c r="BE39" s="104"/>
      <c r="BF39" s="104"/>
      <c r="BG39" s="104" t="str">
        <f>IFERROR(IF(F39&lt;&gt;"",INDEX(Parts_Active,MATCH(F39,Parts_Active,0)),""),"No")</f>
        <v/>
      </c>
      <c r="BH39" s="104"/>
      <c r="BI39" s="104" t="str">
        <f t="shared" ref="BI39" si="1008">IF($E40="H",IF($F39="Hybrid - Thrust + 2 connections","Hybrid_Mix_Req",IF($F39="Hybrid - min 4 swimmers (no DD)","Hybrid_ChoHY","HybridDD_Code")),IF($E40=3,"TreDD_Code",IF($E40="PA","AcroPair_Code",IF(LEFT($F39,4)="Acro",CONCATENATE(BI$16,$E40,"_Code"),"Data!$BI$1:$BI$5"))))</f>
        <v>Data!$BI$1:$BI$5</v>
      </c>
      <c r="BJ39" s="104" t="str">
        <f t="shared" ref="BJ39" si="1009">IF($E40="H",IF($F39="Hybrid - Thrust + 2 connections","Hybrid_Mix_Req",IF($F39="Hybrid - min 4 swimmers (no DD)","Data!$BI$1:$BI$5","HybridDD_Code")),IF($E40=3,"TreDD_Code",IF($E40="PA","AcroPair_Code",IF(LEFT($F39,4)="Acro",CONCATENATE(BJ$16,$E40,"_Code"),"Data!$BI$1:$BI$5"))))</f>
        <v>Data!$BI$1:$BI$5</v>
      </c>
      <c r="BK39" s="104" t="str">
        <f t="shared" si="798"/>
        <v>Data!$BI$1:$BI$5</v>
      </c>
      <c r="BL39" s="104" t="str">
        <f t="shared" si="798"/>
        <v>Data!$BI$1:$BI$5</v>
      </c>
      <c r="BM39" s="104" t="str">
        <f t="shared" si="798"/>
        <v>Data!$BI$1:$BI$5</v>
      </c>
      <c r="BN39" s="104" t="str">
        <f t="shared" si="798"/>
        <v>Data!$BI$1:$BI$5</v>
      </c>
      <c r="BO39" s="104" t="str">
        <f t="shared" si="798"/>
        <v>Data!$BI$1:$BI$5</v>
      </c>
      <c r="BP39" s="104" t="str">
        <f t="shared" si="798"/>
        <v>Data!$BI$1:$BI$5</v>
      </c>
      <c r="BQ39" s="104" t="str">
        <f t="shared" si="798"/>
        <v>Data!$BI$1:$BI$5</v>
      </c>
      <c r="BR39" s="104" t="str">
        <f t="shared" ref="BR39" si="1010">IF($E40="H",IF($F39="Hybrid - Thrust + 2 connections","Data!$BI$1:$BI$5","HybridDD_Code"),"Data!$BI$1:$BI$5")</f>
        <v>Data!$BI$1:$BI$5</v>
      </c>
      <c r="BS39" s="104" t="str">
        <f t="shared" si="369"/>
        <v>Data!$BI$1:$BI$5</v>
      </c>
      <c r="BT39" s="104" t="str">
        <f t="shared" si="369"/>
        <v>Data!$BI$1:$BI$5</v>
      </c>
      <c r="BU39" s="104" t="str">
        <f t="shared" si="369"/>
        <v>Data!$BI$1:$BI$5</v>
      </c>
      <c r="BV39" s="104" t="str">
        <f t="shared" si="369"/>
        <v>Data!$BI$1:$BI$5</v>
      </c>
      <c r="BW39" s="104" t="str">
        <f t="shared" si="369"/>
        <v>Data!$BI$1:$BI$5</v>
      </c>
      <c r="BX39" s="104" t="str">
        <f t="shared" si="369"/>
        <v>Data!$BI$1:$BI$5</v>
      </c>
      <c r="BY39" s="104" t="str">
        <f t="shared" si="369"/>
        <v>Data!$BI$1:$BI$5</v>
      </c>
      <c r="BZ39" s="104" t="str">
        <f t="shared" si="369"/>
        <v>Data!$BI$1:$BI$5</v>
      </c>
      <c r="CA39" s="104" t="str">
        <f t="shared" si="369"/>
        <v>Data!$BI$1:$BI$5</v>
      </c>
      <c r="CB39" s="104" t="str">
        <f t="shared" si="369"/>
        <v>Data!$BI$1:$BI$5</v>
      </c>
      <c r="CC39" s="104" t="str">
        <f t="shared" si="369"/>
        <v>Data!$BI$1:$BI$5</v>
      </c>
      <c r="CD39" s="104" t="str">
        <f t="shared" si="369"/>
        <v>Data!$BI$1:$BI$5</v>
      </c>
      <c r="CE39" s="104" t="str">
        <f t="shared" si="369"/>
        <v>Data!$BI$1:$BI$5</v>
      </c>
      <c r="CF39" s="104" t="str">
        <f t="shared" si="369"/>
        <v>Data!$BI$1:$BI$5</v>
      </c>
      <c r="CG39" s="104" t="str">
        <f t="shared" si="369"/>
        <v>Data!$BI$1:$BI$5</v>
      </c>
      <c r="CH39" s="104" t="str">
        <f t="shared" si="369"/>
        <v>Data!$BI$1:$BI$5</v>
      </c>
      <c r="CI39" s="104" t="str">
        <f t="shared" si="800"/>
        <v>Data!$BI$1:$BI$5</v>
      </c>
      <c r="CJ39" s="104" t="str">
        <f t="shared" si="800"/>
        <v>Data!$BI$1:$BI$5</v>
      </c>
      <c r="CK39" s="104" t="str">
        <f t="shared" si="800"/>
        <v>Data!$BI$1:$BI$5</v>
      </c>
      <c r="CL39" s="104" t="str">
        <f t="shared" si="800"/>
        <v>Data!$BI$1:$BI$5</v>
      </c>
      <c r="CM39" s="104"/>
      <c r="CN39" s="104"/>
      <c r="CO39" s="107" t="str">
        <f>IFERROR(TIME(0,A39,B39),"")</f>
        <v/>
      </c>
      <c r="CP39" s="108">
        <f>IFERROR(TIME(0,C39,D39),"")</f>
        <v>0</v>
      </c>
      <c r="CQ39" s="108" t="str">
        <f t="shared" ref="CQ39" si="1011">IF(CP39&gt;$D$12,"X","")</f>
        <v/>
      </c>
      <c r="CR39" s="102" t="str">
        <f>IF(AND(F39="Hybrid - Thrust + 2 connections",OR(LEFT(J39,1)="T",LEFT(K39,1)="T",LEFT(L39,1)="T",LEFT(PB39,1)="T",LEFT(M39,1)="T",LEFT(N39,1)="T",LEFT(O39,1)="T",LEFT(P39,1)="T",LEFT(Q39,1)="T",LEFT(R39,1)="T",LEFT(S39,1)="T",LEFT(T39,1)="T",LEFT(U39,1)="T",LEFT(V39,1)="T",LEFT(W39,1)="T",LEFT(X39,1)="T",LEFT(AK39,1)="T",LEFT(AL39,1)="T",LEFT(AM39,1)="T")),IF(OR(LEN(J39)=2,LEN(K39)=2,LEN(L39)=2,LEN(M39)=2,LEN(N39)=2,LEN(O39)=2,LEN(P39)=2,LEN(Q39)=2,LEN(R39)=2,LEN(S39)=2,LEN(T39)=2,LEN(U39)=2,LEN(V39)=2,LEN(W39)=2,LEN(X39)=2,LEN(Y39)=2,LEN(Z39)=2,LEN(AK39)=2,LEN(AL39)=2,LEN(AM39)=2),"X",""),"")</f>
        <v/>
      </c>
      <c r="CS39" s="105"/>
      <c r="CT39" s="102" t="str">
        <f>IF(LEFT(F39,4)="Acro",IF(AND(N39&lt;&gt;"",M39=RIGHT(N39,2)),"X","OK"),"")</f>
        <v/>
      </c>
      <c r="CU39" s="104" t="str">
        <f t="shared" ref="CU39:DB39" si="1012">IFERROR(IF(AND(LEFT($F39,4)="Acro",INDEX(Requ_App,MATCH(BI39,Requ_Code,0))="No"),"X",""),"")</f>
        <v/>
      </c>
      <c r="CV39" s="104" t="str">
        <f t="shared" si="1012"/>
        <v/>
      </c>
      <c r="CW39" s="104" t="str">
        <f t="shared" si="1012"/>
        <v/>
      </c>
      <c r="CX39" s="104" t="str">
        <f t="shared" si="1012"/>
        <v/>
      </c>
      <c r="CY39" s="104" t="str">
        <f t="shared" si="1012"/>
        <v/>
      </c>
      <c r="CZ39" s="104" t="str">
        <f t="shared" si="1012"/>
        <v/>
      </c>
      <c r="DA39" s="104" t="str">
        <f t="shared" si="1012"/>
        <v/>
      </c>
      <c r="DB39" s="104" t="str">
        <f t="shared" si="1012"/>
        <v/>
      </c>
      <c r="DC39" s="104" t="str">
        <f>IFERROR(IF(AND(LEFT($F39,4)="Acro",INDEX(Requ_App,MATCH(BP39,Requ_Code,0))="No"),"X",""),"")</f>
        <v/>
      </c>
      <c r="DD39" s="102" t="str">
        <f t="shared" si="10"/>
        <v/>
      </c>
      <c r="DE39" s="102" t="str">
        <f t="shared" si="11"/>
        <v/>
      </c>
      <c r="DF39" s="102" t="str">
        <f t="shared" si="12"/>
        <v/>
      </c>
      <c r="DG39" s="102" t="str">
        <f t="shared" si="13"/>
        <v/>
      </c>
      <c r="DK39" s="102">
        <f t="shared" ref="DK39" si="1013">IF(AND(E40="A",OR(Q39="Grip",Q39="Conn",Q39="Catch")),"A1",IF(AND(E40="A",OR(Q39="Hula",Q39="RetSq",Q39="RetPa")),"A2",IF(AND(E40="B",OR(Q39="Twirl",Q39="RotF")),"B1",IF(AND(E40="B",OR(Q39="Moon",Q39="Mov",Q39="Hold")),"B2",IF(AND(E40="P",OR(Q39="Porp",Q39="Splch")),"P1",IF(AND(E40="P",OR(Q39="Diva",Q39="Stand")),"P2",IF(AND(E40="P",OR(Q39="Spider",Q39="Climb")),"P3",IF(AND(E40="P",OR(Q39="Fall",Q39="FTurn")),"P4",IF(AND(E40="C",OR(Q39="Jump",Q39="Jump&gt;",Q39="On1Foot",Q39="1F&gt;1F")),"C1",IF(AND(E40="C",OR(Q39="Run",Q39="BRun")),"C2",1))))))))))</f>
        <v>1</v>
      </c>
      <c r="DL39" s="102">
        <f t="shared" ref="DL39" si="1014">IF(AND(E40="A",OR(R39="Grip",R39="Conn",R39="Catch")),"A1",IF(AND(E40="A",OR(R39="Hula",R39="RetSq",R39="RetPa")),"A2",IF(AND(E40="B",OR(R39="Twirl",R39="RotF")),"B1",IF(AND(E40="B",OR(R39="Moon",R39="Mov",R39="Hold")),"B2",IF(AND(E40="P",OR(R39="Porp",R39="Spich")),"P1",IF(AND(E40="P",OR(R39="Diva",R39="Stand")),"P2",IF(AND(E40="P",OR(R39="Spider",R39="Climb")),"P3",IF(AND(E40="P",OR(R39="Fall",R39="FTurn")),"P4",IF(AND(E40="C",OR(R39="Jump",R39="Jump&gt;",R39="On1Foot",R39="1F&gt;1F")),"C1",IF(AND(E40="C",OR(R39="Run",R39="BRun")),"C2",2))))))))))</f>
        <v>2</v>
      </c>
      <c r="DM39" s="102" t="str">
        <f>IF(AND(LEFT(F39,4)="Acro",Q39&lt;&gt;"",OR(Q39=R39,DK39=DL39)),IF(R39="C-Roll","","X"),IF(OR(AND(E40="A",Q39="Catch",R39&lt;&gt;"Dbl"),AND(E40="A",R39="Catch",Q39&lt;&gt;"Dbl")),"X",""))</f>
        <v/>
      </c>
      <c r="DN39" s="102" t="str">
        <f>IF(E40="PA",J39,"")</f>
        <v/>
      </c>
      <c r="DO39" s="102">
        <v>21</v>
      </c>
      <c r="DQ39" s="102" t="str">
        <f>IF(AND($E40="A",COUNTIF($DZ$19:$EA$68,DZ39)&gt;1),DZ39,"")</f>
        <v/>
      </c>
      <c r="DR39" s="102" t="str">
        <f>IF(AND($E40="A",COUNTIF($DZ$19:$EA$68,EA39)&gt;1),EA39,"")</f>
        <v/>
      </c>
      <c r="DS39" s="102" t="str">
        <f ca="1">IF(AND($E40="B",COUNTIF($J$19:$J$68,J39)&gt;1),J39,"")</f>
        <v/>
      </c>
      <c r="DT39" s="102" t="str">
        <f ca="1">IF(AND($E40="B",COUNTIF($K$19:$K$68,K39)&gt;1),K39,"")</f>
        <v/>
      </c>
      <c r="DU39" s="102" t="str">
        <f ca="1">IF(AND($E40="C",COUNTIF($J$19:$J$68,J39)&gt;1),J39,"")</f>
        <v/>
      </c>
      <c r="DV39" s="102" t="str">
        <f ca="1">IF(AND($E40="P",COUNTIF($J$19:$J$68,J39)&gt;1),J39,"")</f>
        <v/>
      </c>
      <c r="DW39" s="102" t="str">
        <f ca="1">IF(AND($E40="P",COUNTIF($K$19:$K$68,K39)&gt;1),K39,"")</f>
        <v/>
      </c>
      <c r="DX39" s="102" t="str">
        <f>IF(AND($E40="P",COUNTIF($DZ$19:$EA$68,DZ39)&gt;1),DZ39,"")</f>
        <v/>
      </c>
      <c r="DY39" s="102" t="str">
        <f>IF(AND($E40="P",COUNTIF($DZ$19:$EA$68,EA39)&gt;1),EA39,"")</f>
        <v/>
      </c>
      <c r="DZ39" s="102" t="str">
        <f>IFERROR(IF(OR(E40="A",E40="P"),M39,""),"")</f>
        <v/>
      </c>
      <c r="EA39" s="102" t="str">
        <f>IFERROR(IF(OR(E40="A",E40="P"),RIGHT(N39,2),""),"")</f>
        <v/>
      </c>
      <c r="EB39" s="102" t="str">
        <f t="shared" ref="EB39" si="1015">IF(Q39="","",IF(AND($E40="P",COUNTIF($Q$19:$R$68,Q39)&gt;1),Q39,""))</f>
        <v/>
      </c>
      <c r="EC39" s="102" t="str">
        <f t="shared" ref="EC39" si="1016">IF(R39="","",IF(AND($E40="P",COUNTIF($Q$19:$R$68,R39)&gt;1),R39,""))</f>
        <v/>
      </c>
      <c r="ED39" s="102" t="str">
        <f t="shared" si="14"/>
        <v/>
      </c>
      <c r="EE39" s="102" t="str">
        <f t="shared" si="15"/>
        <v/>
      </c>
      <c r="EF39" s="102" t="str">
        <f>IF(AND($F$8="Open Team Acrobatic",LEFT(F39,4)="Acro"),E40,"")</f>
        <v/>
      </c>
      <c r="EG39" s="102" t="str">
        <f t="shared" ref="EG39" si="1017">IFERROR(IF(HLOOKUP(EF39,$DQ$12:$DT$13,2,FALSE)&gt;2,"X",""),"")</f>
        <v/>
      </c>
      <c r="EI39" s="102" t="str">
        <f t="shared" ref="EI39" si="1018">IF(OR(AND(F39="Hybrid - Thrust + 2 connections",EI40="T"),AND(E40="H",EI40&lt;&gt;"",EI93="X")),"X","")</f>
        <v/>
      </c>
      <c r="EK39" s="102">
        <f t="shared" ref="EK39" si="1019">IFERROR(IF(AND($E40="H",J39&lt;&gt;"",J39&lt;&gt;"ChoHY"),IF(OR(LEFT(J39,1)="T",LEFT(J39,1)="S",LEFT(J39,1)="A",LEFT(J39,1)="F",LEFT(J39,1)="C"),LEFT(J39,1),"R"),EK$18),"")</f>
        <v>1</v>
      </c>
      <c r="EL39" s="102">
        <f t="shared" ref="EL39:EZ39" si="1020">IFERROR(IF(AND($E40="H",K39&lt;&gt;""),IF(OR(LEFT(K39,1)="T",LEFT(K39,1)="S",LEFT(K39,1)="A",LEFT(K39,1)="F",LEFT(K39,1)="C"),LEFT(K39,1),"R"),EL$18),"")</f>
        <v>2</v>
      </c>
      <c r="EM39" s="102">
        <f t="shared" si="1020"/>
        <v>3</v>
      </c>
      <c r="EN39" s="102">
        <f t="shared" si="1020"/>
        <v>4</v>
      </c>
      <c r="EO39" s="102">
        <f t="shared" si="1020"/>
        <v>5</v>
      </c>
      <c r="EP39" s="102">
        <f t="shared" si="1020"/>
        <v>6</v>
      </c>
      <c r="EQ39" s="102">
        <f t="shared" si="1020"/>
        <v>7</v>
      </c>
      <c r="ER39" s="102">
        <f t="shared" si="1020"/>
        <v>8</v>
      </c>
      <c r="ES39" s="102">
        <f t="shared" si="1020"/>
        <v>9</v>
      </c>
      <c r="ET39" s="102">
        <f t="shared" si="1020"/>
        <v>10</v>
      </c>
      <c r="EU39" s="102">
        <f t="shared" si="1020"/>
        <v>11</v>
      </c>
      <c r="EV39" s="102">
        <f t="shared" si="1020"/>
        <v>12</v>
      </c>
      <c r="EW39" s="102">
        <f t="shared" si="1020"/>
        <v>13</v>
      </c>
      <c r="EX39" s="102">
        <f t="shared" si="1020"/>
        <v>14</v>
      </c>
      <c r="EY39" s="102">
        <f t="shared" si="1020"/>
        <v>15</v>
      </c>
      <c r="EZ39" s="102">
        <f t="shared" si="1020"/>
        <v>16</v>
      </c>
      <c r="FA39" s="102">
        <f t="shared" ref="FA39" si="1021">IFERROR(IF(AND($E40="H",Z39&lt;&gt;""),IF(OR(LEFT(Z39,1)="T",LEFT(Z39,1)="S",LEFT(Z39,1)="A",LEFT(Z39,1)="F",LEFT(Z39,1)="C"),LEFT(Z39,1),"R"),FA$18),"")</f>
        <v>17</v>
      </c>
      <c r="FB39" s="102">
        <f t="shared" ref="FB39" si="1022">IFERROR(IF(AND($E40="H",AA39&lt;&gt;""),IF(OR(LEFT(AA39,1)="T",LEFT(AA39,1)="S",LEFT(AA39,1)="A",LEFT(AA39,1)="F",LEFT(AA39,1)="C"),LEFT(AA39,1),"R"),FB$18),"")</f>
        <v>18</v>
      </c>
      <c r="FC39" s="102">
        <f t="shared" ref="FC39" si="1023">IFERROR(IF(AND($E40="H",AB39&lt;&gt;""),IF(OR(LEFT(AB39,1)="T",LEFT(AB39,1)="S",LEFT(AB39,1)="A",LEFT(AB39,1)="F",LEFT(AB39,1)="C"),LEFT(AB39,1),"R"),FC$18),"")</f>
        <v>19</v>
      </c>
      <c r="FD39" s="102">
        <f t="shared" ref="FD39" si="1024">IFERROR(IF(AND($E40="H",AC39&lt;&gt;""),IF(OR(LEFT(AC39,1)="T",LEFT(AC39,1)="S",LEFT(AC39,1)="A",LEFT(AC39,1)="F",LEFT(AC39,1)="C"),LEFT(AC39,1),"R"),FD$18),"")</f>
        <v>20</v>
      </c>
      <c r="FE39" s="102">
        <f t="shared" ref="FE39" si="1025">IFERROR(IF(AND($E40="H",AD39&lt;&gt;""),IF(OR(LEFT(AD39,1)="T",LEFT(AD39,1)="S",LEFT(AD39,1)="A",LEFT(AD39,1)="F",LEFT(AD39,1)="C"),LEFT(AD39,1),"R"),FE$18),"")</f>
        <v>21</v>
      </c>
      <c r="FF39" s="102">
        <f t="shared" ref="FF39" si="1026">IFERROR(IF(AND($E40="H",AE39&lt;&gt;""),IF(OR(LEFT(AE39,1)="T",LEFT(AE39,1)="S",LEFT(AE39,1)="A",LEFT(AE39,1)="F",LEFT(AE39,1)="C"),LEFT(AE39,1),"R"),FF$18),"")</f>
        <v>22</v>
      </c>
      <c r="FG39" s="102">
        <f t="shared" ref="FG39" si="1027">IFERROR(IF(AND($E40="H",AF39&lt;&gt;""),IF(OR(LEFT(AF39,1)="T",LEFT(AF39,1)="S",LEFT(AF39,1)="A",LEFT(AF39,1)="F",LEFT(AF39,1)="C"),LEFT(AF39,1),"R"),FG$18),"")</f>
        <v>23</v>
      </c>
      <c r="FH39" s="102">
        <f t="shared" ref="FH39" si="1028">IFERROR(IF(AND($E40="H",AG39&lt;&gt;""),IF(OR(LEFT(AG39,1)="T",LEFT(AG39,1)="S",LEFT(AG39,1)="A",LEFT(AG39,1)="F",LEFT(AG39,1)="C"),LEFT(AG39,1),"R"),FH$18),"")</f>
        <v>24</v>
      </c>
      <c r="FI39" s="102">
        <f t="shared" ref="FI39" si="1029">IFERROR(IF(AND($E40="H",AH39&lt;&gt;""),IF(OR(LEFT(AH39,1)="T",LEFT(AH39,1)="S",LEFT(AH39,1)="A",LEFT(AH39,1)="F",LEFT(AH39,1)="C"),LEFT(AH39,1),"R"),FI$18),"")</f>
        <v>25</v>
      </c>
      <c r="FJ39" s="102">
        <f t="shared" ref="FJ39" si="1030">IFERROR(IF(AND($E40="H",AI39&lt;&gt;""),IF(OR(LEFT(AI39,1)="T",LEFT(AI39,1)="S",LEFT(AI39,1)="A",LEFT(AI39,1)="F",LEFT(AI39,1)="C"),LEFT(AI39,1),"R"),FJ$18),"")</f>
        <v>26</v>
      </c>
      <c r="FK39" s="102">
        <f t="shared" ref="FK39" si="1031">IFERROR(IF(AND($E40="H",AJ39&lt;&gt;""),IF(OR(LEFT(AJ39,1)="T",LEFT(AJ39,1)="S",LEFT(AJ39,1)="A",LEFT(AJ39,1)="F",LEFT(AJ39,1)="C"),LEFT(AJ39,1),"R"),FK$18),"")</f>
        <v>27</v>
      </c>
      <c r="FL39" s="102">
        <f t="shared" ref="FL39" si="1032">IFERROR(IF(AND($E40="H",AK39&lt;&gt;""),IF(OR(LEFT(AK39,1)="T",LEFT(AK39,1)="S",LEFT(AK39,1)="A",LEFT(AK39,1)="F",LEFT(AK39,1)="C"),LEFT(AK39,1),"R"),FL$18),"")</f>
        <v>28</v>
      </c>
      <c r="FM39" s="102">
        <f t="shared" ref="FM39" si="1033">IFERROR(IF(AND($E40="H",AL39&lt;&gt;""),IF(OR(LEFT(AL39,1)="T",LEFT(AL39,1)="S",LEFT(AL39,1)="A",LEFT(AL39,1)="F",LEFT(AL39,1)="C"),LEFT(AL39,1),"R"),FM$18),"")</f>
        <v>29</v>
      </c>
      <c r="FN39" s="102">
        <f t="shared" ref="FN39" si="1034">IFERROR(IF(AND($E40="H",AM39&lt;&gt;""),IF(OR(LEFT(AM39,1)="T",LEFT(AM39,1)="S",LEFT(AM39,1)="A",LEFT(AM39,1)="F",LEFT(AM39,1)="C"),LEFT(AM39,1),"R"),FN$18),"")</f>
        <v>30</v>
      </c>
      <c r="FO39" s="102"/>
      <c r="FP39" s="102"/>
      <c r="FQ39" s="102"/>
      <c r="FR39" s="282"/>
      <c r="FS39" s="282"/>
      <c r="FT39" s="282"/>
      <c r="FU39" s="282"/>
      <c r="FV39" s="282"/>
      <c r="FW39" s="282"/>
      <c r="FX39" s="282"/>
      <c r="FY39" s="282"/>
      <c r="FZ39" s="282"/>
      <c r="GA39" s="282"/>
      <c r="GB39" s="282"/>
      <c r="GC39" s="282"/>
      <c r="GD39" s="282"/>
      <c r="GE39" s="282"/>
      <c r="GF39" s="282"/>
      <c r="GG39" s="282"/>
      <c r="GH39" s="282"/>
      <c r="GI39" s="282"/>
      <c r="GJ39" s="282"/>
      <c r="GK39" s="282"/>
      <c r="GL39" s="282"/>
      <c r="GM39" s="282"/>
      <c r="GN39" s="282"/>
      <c r="GO39" s="282"/>
      <c r="GP39" s="282"/>
      <c r="GQ39" s="282"/>
      <c r="GR39" s="282"/>
      <c r="GS39" s="282"/>
      <c r="GT39" s="282"/>
      <c r="GU39" s="282"/>
      <c r="GV39" s="102"/>
      <c r="GW39" s="102">
        <f t="shared" ref="GW39" si="1035">COUNTIF($EK39:$FN39,GW$18)</f>
        <v>0</v>
      </c>
      <c r="GX39" s="102">
        <f t="shared" si="825"/>
        <v>0</v>
      </c>
      <c r="GY39" s="102">
        <f t="shared" si="825"/>
        <v>0</v>
      </c>
      <c r="GZ39" s="102">
        <f t="shared" si="825"/>
        <v>0</v>
      </c>
      <c r="HA39" s="102">
        <f t="shared" si="825"/>
        <v>0</v>
      </c>
      <c r="HB39" s="102">
        <f t="shared" si="825"/>
        <v>0</v>
      </c>
      <c r="HC39" s="102"/>
      <c r="HD39" s="102" t="str">
        <f t="shared" ref="HD39" si="1036">IF(AND($F39="Hybrid - Thrust + 2 connections",HD40=0,LEFT($J39,1)="C",LEFT($K39,1)="C",LEFT($L39,1)="C"),"X","")</f>
        <v/>
      </c>
      <c r="HE39" s="102"/>
      <c r="HF39" s="105"/>
      <c r="HG39" s="114"/>
      <c r="HH39" s="114"/>
      <c r="HI39" s="105" t="str">
        <f t="shared" ref="HI39" si="1037">IF(E40=3,IF(_xlfn.NUMBERVALUE(LEFT(J39,1))&gt;0,_xlfn.NUMBERVALUE(LEFT(J39,1)),""),"")</f>
        <v/>
      </c>
      <c r="HK39" s="105" t="str">
        <f t="shared" ref="HK39" si="1038">IF(OR(E40="B",E40="P"),E40,"")</f>
        <v/>
      </c>
      <c r="HL39" s="105" t="str">
        <f>IF(AND(J39&lt;&gt;"",HK39&lt;&gt;""),IF(HK39="B",MATCH(J39,AcroDD!$U$3:$AE$3,0),MATCH(J39,AcroDD!$U$30:$AC$30,0)),"")</f>
        <v/>
      </c>
      <c r="HM39" s="105" t="str">
        <f t="shared" ref="HM39" si="1039">IF(AND(K39&lt;&gt;"",HK39&lt;&gt;""),K39,"")</f>
        <v/>
      </c>
      <c r="HN39" s="105" t="str">
        <f ca="1">IF(AND(OR(HK39="B",HK39="P"),HL39&lt;&gt;"",HM39&lt;&gt;""),IF(IFERROR(IF(HK39="B",MATCH(HM39,OFFSET(AcroDD!$T$4,0,HL39,20),0),MATCH(HM39,OFFSET(AcroDD!$T$31,0,HL39,20),0)),"")&lt;&gt;"","OK","X"),"")</f>
        <v/>
      </c>
    </row>
    <row r="40" spans="1:222" x14ac:dyDescent="0.25">
      <c r="A40" s="39"/>
      <c r="B40" s="40"/>
      <c r="C40" s="40"/>
      <c r="D40" s="40"/>
      <c r="E40" s="20" t="str">
        <f t="shared" ref="E40" si="1040">IF(F39="Acrobatic - Pair","PA",IF(F39="Acrobatic Airborn","A",IF(F39="Acrobatic Balance","B",IF(F39="Acrobatic Combined","C",IF(F39="Acrobatic Platform","P",IF(F39="Technical Required Element",3,IF(LEFT(F39,4)="Hybr","H","")))))))</f>
        <v/>
      </c>
      <c r="F40" s="20" t="str">
        <f>IF(AND(F39="Hybrid - Thrust + 2 connections",CR39="X"),"Hybrid - Thrust",IF(OR(E40="A",E40="B",E40="C",E40="P"),"Acrobatic",""))</f>
        <v/>
      </c>
      <c r="G40" s="42"/>
      <c r="H40" s="207" t="str">
        <f t="shared" ref="H40" si="1041">IF(E40="PA",IF(OR(LEFT(J39,1)="L",LEFT(J39,1)="S"),"A-Pair-Lift",IF(OR(LEFT(J39,1)="W",LEFT(J39,1)="T"),"A-Pair-Throw",IF(LEFT(J39,1)="J","A-Pair-Jump","A-Pair"))),IF(OR(E40="A",E40="B",E40="C",E40="P"),CONCATENATE("Acro-",E40),""))</f>
        <v/>
      </c>
      <c r="I40" s="201" t="e">
        <f t="shared" ref="I40" si="1042">IF(OR(F39="Hybrid - min 4 swimmers (no DD)",LEFT(F39,5)="Trans"),0,INDEX($BY$3:$BY$9,MATCH(E40,$BX$3:$BX$9,0)))</f>
        <v>#N/A</v>
      </c>
      <c r="J40" s="196">
        <f ca="1">IFERROR(IF($H39="No DD",IF(J39="ChoHY",1,0),IF(OR(ISBLANK(J39),J39="N/A"),0,INDEX(INDIRECT(BI40),MATCH(J39,INDIRECT(BI39),0)))),0)</f>
        <v>0</v>
      </c>
      <c r="K40" s="196">
        <f t="shared" ref="K40:Y40" ca="1" si="1043">IFERROR(IF($H39="No DD",0,IF(OR(ISBLANK(K39),K39="N/A"),0,INDEX(INDIRECT(BJ40),MATCH(K39,INDIRECT(BJ39),0)))),0)</f>
        <v>0</v>
      </c>
      <c r="L40" s="196">
        <f t="shared" ca="1" si="1043"/>
        <v>0</v>
      </c>
      <c r="M40" s="196">
        <f t="shared" ca="1" si="1043"/>
        <v>0</v>
      </c>
      <c r="N40" s="196">
        <f t="shared" ca="1" si="1043"/>
        <v>0</v>
      </c>
      <c r="O40" s="196">
        <f t="shared" ca="1" si="1043"/>
        <v>0</v>
      </c>
      <c r="P40" s="196">
        <f t="shared" ca="1" si="1043"/>
        <v>0</v>
      </c>
      <c r="Q40" s="196">
        <f t="shared" ca="1" si="1043"/>
        <v>0</v>
      </c>
      <c r="R40" s="196">
        <f t="shared" ca="1" si="1043"/>
        <v>0</v>
      </c>
      <c r="S40" s="196">
        <f t="shared" ca="1" si="1043"/>
        <v>0</v>
      </c>
      <c r="T40" s="196">
        <f t="shared" ca="1" si="1043"/>
        <v>0</v>
      </c>
      <c r="U40" s="196">
        <f t="shared" ca="1" si="1043"/>
        <v>0</v>
      </c>
      <c r="V40" s="196">
        <f t="shared" ca="1" si="1043"/>
        <v>0</v>
      </c>
      <c r="W40" s="196">
        <f t="shared" ca="1" si="1043"/>
        <v>0</v>
      </c>
      <c r="X40" s="196">
        <f t="shared" ca="1" si="1043"/>
        <v>0</v>
      </c>
      <c r="Y40" s="196">
        <f t="shared" ca="1" si="1043"/>
        <v>0</v>
      </c>
      <c r="Z40" s="196">
        <f t="shared" ref="Z40" ca="1" si="1044">IFERROR(IF($H39="No DD",0,IF(OR(ISBLANK(Z39),Z39="N/A"),0,INDEX(INDIRECT(BY40),MATCH(Z39,INDIRECT(BY39),0)))),0)</f>
        <v>0</v>
      </c>
      <c r="AA40" s="196">
        <f t="shared" ref="AA40" ca="1" si="1045">IFERROR(IF($H39="No DD",0,IF(OR(ISBLANK(AA39),AA39="N/A"),0,INDEX(INDIRECT(BZ40),MATCH(AA39,INDIRECT(BZ39),0)))),0)</f>
        <v>0</v>
      </c>
      <c r="AB40" s="196">
        <f t="shared" ref="AB40" ca="1" si="1046">IFERROR(IF($H39="No DD",0,IF(OR(ISBLANK(AB39),AB39="N/A"),0,INDEX(INDIRECT(CA40),MATCH(AB39,INDIRECT(CA39),0)))),0)</f>
        <v>0</v>
      </c>
      <c r="AC40" s="196">
        <f t="shared" ref="AC40" ca="1" si="1047">IFERROR(IF($H39="No DD",0,IF(OR(ISBLANK(AC39),AC39="N/A"),0,INDEX(INDIRECT(CB40),MATCH(AC39,INDIRECT(CB39),0)))),0)</f>
        <v>0</v>
      </c>
      <c r="AD40" s="196">
        <f t="shared" ref="AD40" ca="1" si="1048">IFERROR(IF($H39="No DD",0,IF(OR(ISBLANK(AD39),AD39="N/A"),0,INDEX(INDIRECT(CC40),MATCH(AD39,INDIRECT(CC39),0)))),0)</f>
        <v>0</v>
      </c>
      <c r="AE40" s="196">
        <f t="shared" ref="AE40" ca="1" si="1049">IFERROR(IF($H39="No DD",0,IF(OR(ISBLANK(AE39),AE39="N/A"),0,INDEX(INDIRECT(CD40),MATCH(AE39,INDIRECT(CD39),0)))),0)</f>
        <v>0</v>
      </c>
      <c r="AF40" s="196">
        <f t="shared" ref="AF40" ca="1" si="1050">IFERROR(IF($H39="No DD",0,IF(OR(ISBLANK(AF39),AF39="N/A"),0,INDEX(INDIRECT(CE40),MATCH(AF39,INDIRECT(CE39),0)))),0)</f>
        <v>0</v>
      </c>
      <c r="AG40" s="196">
        <f t="shared" ref="AG40" ca="1" si="1051">IFERROR(IF($H39="No DD",0,IF(OR(ISBLANK(AG39),AG39="N/A"),0,INDEX(INDIRECT(CF40),MATCH(AG39,INDIRECT(CF39),0)))),0)</f>
        <v>0</v>
      </c>
      <c r="AH40" s="196">
        <f t="shared" ref="AH40" ca="1" si="1052">IFERROR(IF($H39="No DD",0,IF(OR(ISBLANK(AH39),AH39="N/A"),0,INDEX(INDIRECT(CG40),MATCH(AH39,INDIRECT(CG39),0)))),0)</f>
        <v>0</v>
      </c>
      <c r="AI40" s="196">
        <f t="shared" ref="AI40" ca="1" si="1053">IFERROR(IF($H39="No DD",0,IF(OR(ISBLANK(AI39),AI39="N/A"),0,INDEX(INDIRECT(CH40),MATCH(AI39,INDIRECT(CH39),0)))),0)</f>
        <v>0</v>
      </c>
      <c r="AJ40" s="196">
        <f t="shared" ref="AJ40" ca="1" si="1054">IFERROR(IF($H39="No DD",0,IF(OR(ISBLANK(AJ39),AJ39="N/A"),0,INDEX(INDIRECT(CI40),MATCH(AJ39,INDIRECT(CI39),0)))),0)</f>
        <v>0</v>
      </c>
      <c r="AK40" s="196">
        <f t="shared" ref="AK40" ca="1" si="1055">IFERROR(IF($H39="No DD",0,IF(OR(ISBLANK(AK39),AK39="N/A"),0,INDEX(INDIRECT(CJ40),MATCH(AK39,INDIRECT(CJ39),0)))),0)</f>
        <v>0</v>
      </c>
      <c r="AL40" s="196">
        <f t="shared" ref="AL40" ca="1" si="1056">IFERROR(IF($H39="No DD",0,IF(OR(ISBLANK(AL39),AL39="N/A"),0,INDEX(INDIRECT(CK40),MATCH(AL39,INDIRECT(CK39),0)))),0)</f>
        <v>0</v>
      </c>
      <c r="AM40" s="196">
        <f t="shared" ref="AM40" ca="1" si="1057">IFERROR(IF($H39="No DD",0,IF(OR(ISBLANK(AM39),AM39="N/A"),0,INDEX(INDIRECT(CL40),MATCH(AM39,INDIRECT(CL39),0)))),0)</f>
        <v>0</v>
      </c>
      <c r="AN40" s="197" t="str">
        <f>IFERROR(IF(E40="H",INDEX(HybridBonus_Value,MATCH(AN39,HybridBonus_Code,0)),""),"")</f>
        <v/>
      </c>
      <c r="AO40" s="195" t="str">
        <f t="shared" ref="AO40" si="1058">IFERROR(SUM(I40:AN40),"")</f>
        <v/>
      </c>
      <c r="AP40" s="75"/>
      <c r="AQ40" s="75"/>
      <c r="AR40" s="115"/>
      <c r="AS40" s="115"/>
      <c r="AT40" s="115"/>
      <c r="AU40" s="115"/>
      <c r="AV40" s="115"/>
      <c r="BA40" s="104"/>
      <c r="BB40" s="115"/>
      <c r="BC40" s="115"/>
      <c r="BD40" s="115"/>
      <c r="BE40" s="115"/>
      <c r="BF40" s="115"/>
      <c r="BG40" s="104"/>
      <c r="BH40" s="115"/>
      <c r="BI40" s="105" t="str">
        <f t="shared" ref="BI40" si="1059">IF($E40="H",IF($F39="Hybrid - Thrust + 2 connections","Hybrid_Mix_Req_Value","HybridDD_Value"),IF($E40=3,"TreDD_Value",IF($E40="PA","AcroPair_Value",IF(LEFT($F39,4)="Acro",CONCATENATE(BI$16,$E40,"_Value"),""))))</f>
        <v/>
      </c>
      <c r="BJ40" s="105" t="str">
        <f t="shared" ref="BJ40" si="1060">IF($E40="H",IF($F39="Hybrid - Thrust + 2 connections","Hybrid_Mix_Req_Value","HybridDD_Value"),IF($E40=3,"TreDD_Value",IF($E40="PA","AcroPair_Value",IF(LEFT($F39,4)="Acro",CONCATENATE(BJ$16,$E40,"_Value"),""))))</f>
        <v/>
      </c>
      <c r="BK40" s="105" t="str">
        <f t="shared" ref="BK40" si="1061">IF($E40="H",IF($F39="Hybrid - Thrust + 2 connections","Hybrid_Mix_Req_Value","HybridDD_Value"),IF($E40=3,"TreDD_Value",IF($E40="PA","AcroPair_Value",IF(LEFT($F39,4)="Acro",CONCATENATE(BK$16,$E40,"_Value"),""))))</f>
        <v/>
      </c>
      <c r="BL40" s="105" t="str">
        <f t="shared" ref="BL40" si="1062">IF($E40="H",IF($F39="Hybrid - Thrust + 2 connections","Hybrid_Mix_Req_Value","HybridDD_Value"),IF($E40=3,"TreDD_Value",IF($E40="PA","AcroPair_Value",IF(LEFT($F39,4)="Acro",CONCATENATE(BL$16,$E40,"_Value"),""))))</f>
        <v/>
      </c>
      <c r="BM40" s="105" t="str">
        <f t="shared" ref="BM40" si="1063">IF($E40="H",IF($F39="Hybrid - Thrust + 2 connections","Hybrid_Mix_Req_Value","HybridDD_Value"),IF($E40=3,"TreDD_Value",IF($E40="PA","AcroPair_Value",IF(LEFT($F39,4)="Acro",CONCATENATE(BM$16,$E40,"_Value"),""))))</f>
        <v/>
      </c>
      <c r="BN40" s="105" t="str">
        <f t="shared" ref="BN40" si="1064">IF($E40="H",IF($F39="Hybrid - Thrust + 2 connections","Hybrid_Mix_Req_Value","HybridDD_Value"),IF($E40=3,"TreDD_Value",IF($E40="PA","AcroPair_Value",IF(LEFT($F39,4)="Acro",CONCATENATE(BN$16,$E40,"_Value"),""))))</f>
        <v/>
      </c>
      <c r="BO40" s="105" t="str">
        <f t="shared" ref="BO40" si="1065">IF($E40="H",IF($F39="Hybrid - Thrust + 2 connections","Hybrid_Mix_Req_Value","HybridDD_Value"),IF($E40=3,"TreDD_Value",IF($E40="PA","AcroPair_Value",IF(LEFT($F39,4)="Acro",CONCATENATE(BO$16,$E40,"_Value"),""))))</f>
        <v/>
      </c>
      <c r="BP40" s="105" t="str">
        <f t="shared" ref="BP40" si="1066">IF($E40="H",IF($F39="Hybrid - Thrust + 2 connections","Hybrid_Mix_Req_Value","HybridDD_Value"),IF($E40=3,"TreDD_Value",IF($E40="PA","AcroPair_Value",IF(LEFT($F39,4)="Acro",CONCATENATE(BP$16,$E40,"_Value"),""))))</f>
        <v/>
      </c>
      <c r="BQ40" s="105" t="str">
        <f t="shared" ref="BQ40" si="1067">IF($E40="H",IF($F39="Hybrid - Thrust + 2 connections","Hybrid_Mix_Req_Value","HybridDD_Value"),IF($E40=3,"TreDD_Value",IF($E40="PA","AcroPair_Value",IF(LEFT($F39,4)="Acro",CONCATENATE(BQ$16,$E40,"_Value"),""))))</f>
        <v/>
      </c>
      <c r="BR40" s="104" t="str">
        <f t="shared" ref="BR40" si="1068">IF($E40="H",IF($F39="Hybrid - Thrust + 2 connections","Data!$BI$1:$BI$5","HybridDD_Value"),"Data!$BI$1:$BI$5")</f>
        <v>Data!$BI$1:$BI$5</v>
      </c>
      <c r="BS40" s="104" t="str">
        <f t="shared" ref="BS40" si="1069">IF($E40="H",IF($F39="Hybrid - Thrust + 2 connections","Data!$BI$1:$BI$5","HybridDD_Value"),"Data!$BI$1:$BI$5")</f>
        <v>Data!$BI$1:$BI$5</v>
      </c>
      <c r="BT40" s="104" t="str">
        <f t="shared" ref="BT40" si="1070">IF($E40="H",IF($F39="Hybrid - Thrust + 2 connections","Data!$BI$1:$BI$5","HybridDD_Value"),"Data!$BI$1:$BI$5")</f>
        <v>Data!$BI$1:$BI$5</v>
      </c>
      <c r="BU40" s="104" t="str">
        <f t="shared" ref="BU40" si="1071">IF($E40="H",IF($F39="Hybrid - Thrust + 2 connections","Data!$BI$1:$BI$5","HybridDD_Value"),"Data!$BI$1:$BI$5")</f>
        <v>Data!$BI$1:$BI$5</v>
      </c>
      <c r="BV40" s="104" t="str">
        <f t="shared" ref="BV40" si="1072">IF($E40="H",IF($F39="Hybrid - Thrust + 2 connections","Data!$BI$1:$BI$5","HybridDD_Value"),"Data!$BI$1:$BI$5")</f>
        <v>Data!$BI$1:$BI$5</v>
      </c>
      <c r="BW40" s="104" t="str">
        <f t="shared" ref="BW40" si="1073">IF($E40="H",IF($F39="Hybrid - Thrust + 2 connections","Data!$BI$1:$BI$5","HybridDD_Value"),"Data!$BI$1:$BI$5")</f>
        <v>Data!$BI$1:$BI$5</v>
      </c>
      <c r="BX40" s="104" t="str">
        <f t="shared" ref="BX40" si="1074">IF($E40="H",IF($F39="Hybrid - Thrust + 2 connections","Data!$BI$1:$BI$5","HybridDD_Value"),"Data!$BI$1:$BI$5")</f>
        <v>Data!$BI$1:$BI$5</v>
      </c>
      <c r="BY40" s="104" t="str">
        <f t="shared" ref="BY40" si="1075">IF($E40="H",IF($F39="Hybrid - Thrust + 2 connections","Data!$BI$1:$BI$5","HybridDD_Value"),"Data!$BI$1:$BI$5")</f>
        <v>Data!$BI$1:$BI$5</v>
      </c>
      <c r="BZ40" s="104" t="str">
        <f t="shared" ref="BZ40" si="1076">IF($E40="H",IF($F39="Hybrid - Thrust + 2 connections","Data!$BI$1:$BI$5","HybridDD_Value"),"Data!$BI$1:$BI$5")</f>
        <v>Data!$BI$1:$BI$5</v>
      </c>
      <c r="CA40" s="104" t="str">
        <f t="shared" ref="CA40" si="1077">IF($E40="H",IF($F39="Hybrid - Thrust + 2 connections","Data!$BI$1:$BI$5","HybridDD_Value"),"Data!$BI$1:$BI$5")</f>
        <v>Data!$BI$1:$BI$5</v>
      </c>
      <c r="CB40" s="104" t="str">
        <f t="shared" ref="CB40" si="1078">IF($E40="H",IF($F39="Hybrid - Thrust + 2 connections","Data!$BI$1:$BI$5","HybridDD_Value"),"Data!$BI$1:$BI$5")</f>
        <v>Data!$BI$1:$BI$5</v>
      </c>
      <c r="CC40" s="104" t="str">
        <f t="shared" ref="CC40" si="1079">IF($E40="H",IF($F39="Hybrid - Thrust + 2 connections","Data!$BI$1:$BI$5","HybridDD_Value"),"Data!$BI$1:$BI$5")</f>
        <v>Data!$BI$1:$BI$5</v>
      </c>
      <c r="CD40" s="104" t="str">
        <f t="shared" ref="CD40" si="1080">IF($E40="H",IF($F39="Hybrid - Thrust + 2 connections","Data!$BI$1:$BI$5","HybridDD_Value"),"Data!$BI$1:$BI$5")</f>
        <v>Data!$BI$1:$BI$5</v>
      </c>
      <c r="CE40" s="104" t="str">
        <f t="shared" ref="CE40" si="1081">IF($E40="H",IF($F39="Hybrid - Thrust + 2 connections","Data!$BI$1:$BI$5","HybridDD_Value"),"Data!$BI$1:$BI$5")</f>
        <v>Data!$BI$1:$BI$5</v>
      </c>
      <c r="CF40" s="104" t="str">
        <f t="shared" ref="CF40" si="1082">IF($E40="H",IF($F39="Hybrid - Thrust + 2 connections","Data!$BI$1:$BI$5","HybridDD_Value"),"Data!$BI$1:$BI$5")</f>
        <v>Data!$BI$1:$BI$5</v>
      </c>
      <c r="CG40" s="104" t="str">
        <f t="shared" ref="CG40" si="1083">IF($E40="H",IF($F39="Hybrid - Thrust + 2 connections","Data!$BI$1:$BI$5","HybridDD_Value"),"Data!$BI$1:$BI$5")</f>
        <v>Data!$BI$1:$BI$5</v>
      </c>
      <c r="CH40" s="104" t="str">
        <f t="shared" ref="CH40" si="1084">IF($E40="H",IF($F39="Hybrid - Thrust + 2 connections","Data!$BI$1:$BI$5","HybridDD_Value"),"Data!$BI$1:$BI$5")</f>
        <v>Data!$BI$1:$BI$5</v>
      </c>
      <c r="CI40" s="104" t="str">
        <f t="shared" ref="CI40" si="1085">IF($E40="H",IF($F39="Hybrid - Thrust + 2 connections","Data!$BI$1:$BI$5","HybridDD_Value"),"Data!$BI$1:$BI$5")</f>
        <v>Data!$BI$1:$BI$5</v>
      </c>
      <c r="CJ40" s="104" t="str">
        <f t="shared" ref="CJ40" si="1086">IF($E40="H",IF($F39="Hybrid - Thrust + 2 connections","Data!$BI$1:$BI$5","HybridDD_Value"),"Data!$BI$1:$BI$5")</f>
        <v>Data!$BI$1:$BI$5</v>
      </c>
      <c r="CK40" s="104" t="str">
        <f t="shared" ref="CK40" si="1087">IF($E40="H",IF($F39="Hybrid - Thrust + 2 connections","Data!$BI$1:$BI$5","HybridDD_Value"),"Data!$BI$1:$BI$5")</f>
        <v>Data!$BI$1:$BI$5</v>
      </c>
      <c r="CL40" s="104" t="str">
        <f t="shared" ref="CL40" si="1088">IF($E40="H",IF($F39="Hybrid - Thrust + 2 connections","Data!$BI$1:$BI$5","HybridDD_Value"),"Data!$BI$1:$BI$5")</f>
        <v>Data!$BI$1:$BI$5</v>
      </c>
      <c r="CM40" s="115"/>
      <c r="CN40" s="115"/>
      <c r="CO40" s="116" t="str">
        <f>IFERROR(IF(AND($BV$6="T",$BV$8="T",LEFT(F39,4)="Acro",AO40&gt;3),"X",IF($N$7="X",IF(AND(E40="C",AO40&gt;$CN$6),"X",IF(AND(E40="A",AO40&gt;$CN$4),"X",IF(AND(E40="B",AO40&gt;$CN$5),"X",IF(AND(E40="P",AO40&gt;$CN$7),"X","")))),"")),"")</f>
        <v/>
      </c>
      <c r="CP40" s="108"/>
      <c r="CQ40" s="105"/>
      <c r="CS40" s="105"/>
      <c r="CT40" s="105"/>
      <c r="CU40" s="105"/>
      <c r="CV40" s="105"/>
      <c r="CW40" s="105"/>
      <c r="CX40" s="105"/>
      <c r="CY40" s="105"/>
      <c r="CZ40" s="105"/>
      <c r="DD40" s="102" t="str">
        <f t="shared" si="10"/>
        <v/>
      </c>
      <c r="DE40" s="102" t="str">
        <f t="shared" si="11"/>
        <v/>
      </c>
      <c r="DF40" s="102" t="str">
        <f t="shared" si="12"/>
        <v/>
      </c>
      <c r="DG40" s="102" t="str">
        <f t="shared" si="13"/>
        <v/>
      </c>
      <c r="DO40" s="102">
        <v>22</v>
      </c>
      <c r="ED40" s="102" t="str">
        <f t="shared" si="14"/>
        <v/>
      </c>
      <c r="EE40" s="102" t="str">
        <f t="shared" si="15"/>
        <v/>
      </c>
      <c r="EI40" s="102" t="str" cm="1">
        <f t="array" ref="EI40">IFERROR(INDEX(EK40:FN40,MATCH(TRUE,INDEX((EK40:FN40&lt;&gt;""),),0)),"")</f>
        <v/>
      </c>
      <c r="EK40" s="102" t="str">
        <f t="shared" si="879"/>
        <v/>
      </c>
      <c r="EL40" s="102" t="str">
        <f t="shared" ref="EL40:EZ40" si="1089">IF(G39="Hybrid - Thrust + 2 connections",IF(COUNTIF($EK39:$FD39,EL39)&gt;1,EL39,""),IF(COUNTIF($EK39:$FD39,EL39)&gt;5,EL39,""))</f>
        <v/>
      </c>
      <c r="EM40" s="102" t="str">
        <f t="shared" si="1089"/>
        <v/>
      </c>
      <c r="EN40" s="102" t="str">
        <f t="shared" si="1089"/>
        <v/>
      </c>
      <c r="EO40" s="102" t="str">
        <f t="shared" si="1089"/>
        <v/>
      </c>
      <c r="EP40" s="102" t="str">
        <f t="shared" si="1089"/>
        <v/>
      </c>
      <c r="EQ40" s="102" t="str">
        <f t="shared" si="1089"/>
        <v/>
      </c>
      <c r="ER40" s="102" t="str">
        <f t="shared" si="1089"/>
        <v/>
      </c>
      <c r="ES40" s="102" t="str">
        <f t="shared" si="1089"/>
        <v/>
      </c>
      <c r="ET40" s="102" t="str">
        <f t="shared" si="1089"/>
        <v/>
      </c>
      <c r="EU40" s="102" t="str">
        <f t="shared" si="1089"/>
        <v/>
      </c>
      <c r="EV40" s="102" t="str">
        <f t="shared" si="1089"/>
        <v/>
      </c>
      <c r="EW40" s="102" t="str">
        <f t="shared" si="1089"/>
        <v/>
      </c>
      <c r="EX40" s="102" t="str">
        <f t="shared" si="1089"/>
        <v/>
      </c>
      <c r="EY40" s="102" t="str">
        <f t="shared" si="1089"/>
        <v/>
      </c>
      <c r="EZ40" s="102" t="str">
        <f t="shared" si="1089"/>
        <v/>
      </c>
      <c r="FA40" s="102" t="str">
        <f t="shared" ref="FA40" si="1090">IF(V39="Hybrid - Thrust + 2 connections",IF(COUNTIF($EK39:$FD39,FA39)&gt;1,FA39,""),IF(COUNTIF($EK39:$FD39,FA39)&gt;5,FA39,""))</f>
        <v/>
      </c>
      <c r="FB40" s="102" t="str">
        <f t="shared" ref="FB40" si="1091">IF(W39="Hybrid - Thrust + 2 connections",IF(COUNTIF($EK39:$FD39,FB39)&gt;1,FB39,""),IF(COUNTIF($EK39:$FD39,FB39)&gt;5,FB39,""))</f>
        <v/>
      </c>
      <c r="FC40" s="102" t="str">
        <f t="shared" ref="FC40" si="1092">IF(X39="Hybrid - Thrust + 2 connections",IF(COUNTIF($EK39:$FD39,FC39)&gt;1,FC39,""),IF(COUNTIF($EK39:$FD39,FC39)&gt;5,FC39,""))</f>
        <v/>
      </c>
      <c r="FD40" s="102" t="str">
        <f t="shared" ref="FD40" si="1093">IF(Y39="Hybrid - Thrust + 2 connections",IF(COUNTIF($EK39:$FD39,FD39)&gt;1,FD39,""),IF(COUNTIF($EK39:$FD39,FD39)&gt;5,FD39,""))</f>
        <v/>
      </c>
      <c r="FE40" s="102" t="str">
        <f t="shared" ref="FE40" si="1094">IF(Z39="Hybrid - Thrust + 2 connections",IF(COUNTIF($EK39:$FD39,FE39)&gt;1,FE39,""),IF(COUNTIF($EK39:$FD39,FE39)&gt;5,FE39,""))</f>
        <v/>
      </c>
      <c r="FF40" s="102" t="str">
        <f t="shared" ref="FF40" si="1095">IF(AA39="Hybrid - Thrust + 2 connections",IF(COUNTIF($EK39:$FD39,FF39)&gt;1,FF39,""),IF(COUNTIF($EK39:$FD39,FF39)&gt;5,FF39,""))</f>
        <v/>
      </c>
      <c r="FG40" s="102" t="str">
        <f t="shared" ref="FG40" si="1096">IF(AB39="Hybrid - Thrust + 2 connections",IF(COUNTIF($EK39:$FD39,FG39)&gt;1,FG39,""),IF(COUNTIF($EK39:$FD39,FG39)&gt;5,FG39,""))</f>
        <v/>
      </c>
      <c r="FH40" s="102" t="str">
        <f t="shared" ref="FH40" si="1097">IF(AC39="Hybrid - Thrust + 2 connections",IF(COUNTIF($EK39:$FD39,FH39)&gt;1,FH39,""),IF(COUNTIF($EK39:$FD39,FH39)&gt;5,FH39,""))</f>
        <v/>
      </c>
      <c r="FI40" s="102" t="str">
        <f t="shared" ref="FI40" si="1098">IF(AD39="Hybrid - Thrust + 2 connections",IF(COUNTIF($EK39:$FD39,FI39)&gt;1,FI39,""),IF(COUNTIF($EK39:$FD39,FI39)&gt;5,FI39,""))</f>
        <v/>
      </c>
      <c r="FJ40" s="102" t="str">
        <f t="shared" ref="FJ40" si="1099">IF(AE39="Hybrid - Thrust + 2 connections",IF(COUNTIF($EK39:$FD39,FJ39)&gt;1,FJ39,""),IF(COUNTIF($EK39:$FD39,FJ39)&gt;5,FJ39,""))</f>
        <v/>
      </c>
      <c r="FK40" s="102" t="str">
        <f t="shared" ref="FK40" si="1100">IF(AF39="Hybrid - Thrust + 2 connections",IF(COUNTIF($EK39:$FD39,FK39)&gt;1,FK39,""),IF(COUNTIF($EK39:$FD39,FK39)&gt;5,FK39,""))</f>
        <v/>
      </c>
      <c r="FL40" s="102" t="str">
        <f t="shared" ref="FL40" si="1101">IF(AG39="Hybrid - Thrust + 2 connections",IF(COUNTIF($EK39:$FD39,FL39)&gt;1,FL39,""),IF(COUNTIF($EK39:$FD39,FL39)&gt;5,FL39,""))</f>
        <v/>
      </c>
      <c r="FM40" s="102" t="str">
        <f t="shared" ref="FM40" si="1102">IF(AH39="Hybrid - Thrust + 2 connections",IF(COUNTIF($EK39:$FD39,FM39)&gt;1,FM39,""),IF(COUNTIF($EK39:$FD39,FM39)&gt;5,FM39,""))</f>
        <v/>
      </c>
      <c r="FN40" s="102" t="str">
        <f t="shared" ref="FN40" si="1103">IF(AI39="Hybrid - Thrust + 2 connections",IF(COUNTIF($EK39:$FD39,FN39)&gt;1,FN39,""),IF(COUNTIF($EK39:$FD39,FN39)&gt;5,FN39,""))</f>
        <v/>
      </c>
      <c r="FO40" s="102">
        <f t="shared" ref="FO40" si="1104">FO38+5</f>
        <v>50</v>
      </c>
      <c r="FP40" s="102" t="str">
        <f t="shared" ref="FP40" ca="1" si="1105">OFFSET($FP$75,FO40,0)</f>
        <v/>
      </c>
      <c r="FQ40" s="102" t="str">
        <f t="shared" ref="FQ40" ca="1" si="1106">OFFSET($FQ$75,FO40,0)</f>
        <v/>
      </c>
      <c r="FR40" s="282"/>
      <c r="FS40" s="282"/>
      <c r="FT40" s="282"/>
      <c r="FU40" s="282"/>
      <c r="FV40" s="282"/>
      <c r="FW40" s="282"/>
      <c r="FX40" s="282"/>
      <c r="FY40" s="282"/>
      <c r="FZ40" s="282"/>
      <c r="GA40" s="282"/>
      <c r="GB40" s="282"/>
      <c r="GC40" s="282"/>
      <c r="GD40" s="282"/>
      <c r="GE40" s="282"/>
      <c r="GF40" s="282"/>
      <c r="GG40" s="282"/>
      <c r="GH40" s="282"/>
      <c r="GI40" s="282"/>
      <c r="GJ40" s="282"/>
      <c r="GK40" s="282"/>
      <c r="GL40" s="282"/>
      <c r="GM40" s="282"/>
      <c r="GN40" s="282"/>
      <c r="GO40" s="282"/>
      <c r="GP40" s="282"/>
      <c r="GQ40" s="282"/>
      <c r="GR40" s="282"/>
      <c r="GS40" s="282"/>
      <c r="GT40" s="282"/>
      <c r="GU40" s="282"/>
      <c r="GV40" s="102"/>
      <c r="GW40" s="102"/>
      <c r="GX40" s="102"/>
      <c r="GY40" s="102"/>
      <c r="GZ40" s="102"/>
      <c r="HA40" s="102"/>
      <c r="HB40" s="102"/>
      <c r="HC40" s="102"/>
      <c r="HD40" s="102" t="str">
        <f>IF($F39="Hybrid - Thrust + 2 connections",COUNTBLANK(J39:L39),"")</f>
        <v/>
      </c>
      <c r="HE40" s="102"/>
      <c r="HF40" s="105"/>
      <c r="HG40" s="105"/>
      <c r="HH40" s="105"/>
      <c r="HI40" s="105"/>
    </row>
    <row r="41" spans="1:222" x14ac:dyDescent="0.25">
      <c r="A41" s="39" t="str">
        <f>IF(AND(E39="",A39&lt;&gt;""),IF(CP39=$CP$18,"",IF(C39&lt;&gt;"",IF(D39=59,MINUTE(CP39)+1,MINUTE(CP39)),"")),"")</f>
        <v/>
      </c>
      <c r="B41" s="40" t="str">
        <f>IF(AND(E39="",B39&lt;&gt;""),IF(CP39=$CP$18,"",IF(C39&lt;&gt;"",IF(D39=59,0,SECOND(CP39)+1),"")),"")</f>
        <v/>
      </c>
      <c r="C41" s="50"/>
      <c r="D41" s="50"/>
      <c r="E41" s="9"/>
      <c r="F41" s="51"/>
      <c r="G41" s="42" t="str">
        <f>IF(F41&lt;&gt;"",IF(OR(F41="Transition",F41="Transition - Surface Connection"),0,MAX($G$19:G40)+1),"")</f>
        <v/>
      </c>
      <c r="H41" s="56" t="str">
        <f t="shared" ref="H41" si="1107">IFERROR(IF(E42="3","",IF(OR(F41="Hybrid - min 4 swimmers (no DD)",LEFT(F41,5)="Trans"),"No DD",CONCATENATE("BM = ",I42))),"")</f>
        <v/>
      </c>
      <c r="I41" s="57"/>
      <c r="J41" s="124"/>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79"/>
      <c r="AO41" s="43"/>
      <c r="AP41" s="74"/>
      <c r="AQ41" s="74"/>
      <c r="AR41" s="104"/>
      <c r="AS41" s="104"/>
      <c r="AT41" s="104"/>
      <c r="AU41" s="104"/>
      <c r="AV41" s="104"/>
      <c r="AW41" s="105" t="str">
        <f t="shared" ref="AW41" si="1108">E42</f>
        <v/>
      </c>
      <c r="AX41" s="108" t="str">
        <f t="shared" ref="AX41" si="1109">IF(AY41=0,"",TIME(0,A41,B41))</f>
        <v/>
      </c>
      <c r="AY41" s="108">
        <f t="shared" ref="AY41" si="1110">TIME(0,C41,D41)</f>
        <v>0</v>
      </c>
      <c r="AZ41" s="108" t="str">
        <f t="shared" ref="AZ41" si="1111">IFERROR(AY41-AX41,"")</f>
        <v/>
      </c>
      <c r="BA41" s="276" t="str">
        <f t="shared" ref="BA41" si="1112">IF($AX$17=0,"",IF(AND($C$10&lt;&gt;"",AW41="H",AZ41&gt;$AX$17),"X",""))</f>
        <v/>
      </c>
      <c r="BB41" s="104"/>
      <c r="BC41" s="104"/>
      <c r="BD41" s="104"/>
      <c r="BE41" s="104"/>
      <c r="BF41" s="104"/>
      <c r="BG41" s="104" t="str">
        <f>IFERROR(IF(F41&lt;&gt;"",INDEX(Parts_Active,MATCH(F41,Parts_Active,0)),""),"No")</f>
        <v/>
      </c>
      <c r="BH41" s="104"/>
      <c r="BI41" s="104" t="str">
        <f t="shared" ref="BI41" si="1113">IF($E42="H",IF($F41="Hybrid - Thrust + 2 connections","Hybrid_Mix_Req",IF($F41="Hybrid - min 4 swimmers (no DD)","Hybrid_ChoHY","HybridDD_Code")),IF($E42=3,"TreDD_Code",IF($E42="PA","AcroPair_Code",IF(LEFT($F41,4)="Acro",CONCATENATE(BI$16,$E42,"_Code"),"Data!$BI$1:$BI$5"))))</f>
        <v>Data!$BI$1:$BI$5</v>
      </c>
      <c r="BJ41" s="104" t="str">
        <f t="shared" ref="BJ41" si="1114">IF($E42="H",IF($F41="Hybrid - Thrust + 2 connections","Hybrid_Mix_Req",IF($F41="Hybrid - min 4 swimmers (no DD)","Data!$BI$1:$BI$5","HybridDD_Code")),IF($E42=3,"TreDD_Code",IF($E42="PA","AcroPair_Code",IF(LEFT($F41,4)="Acro",CONCATENATE(BJ$16,$E42,"_Code"),"Data!$BI$1:$BI$5"))))</f>
        <v>Data!$BI$1:$BI$5</v>
      </c>
      <c r="BK41" s="104" t="str">
        <f t="shared" si="798"/>
        <v>Data!$BI$1:$BI$5</v>
      </c>
      <c r="BL41" s="104" t="str">
        <f t="shared" si="798"/>
        <v>Data!$BI$1:$BI$5</v>
      </c>
      <c r="BM41" s="104" t="str">
        <f t="shared" si="798"/>
        <v>Data!$BI$1:$BI$5</v>
      </c>
      <c r="BN41" s="104" t="str">
        <f t="shared" si="798"/>
        <v>Data!$BI$1:$BI$5</v>
      </c>
      <c r="BO41" s="104" t="str">
        <f t="shared" si="798"/>
        <v>Data!$BI$1:$BI$5</v>
      </c>
      <c r="BP41" s="104" t="str">
        <f t="shared" si="798"/>
        <v>Data!$BI$1:$BI$5</v>
      </c>
      <c r="BQ41" s="104" t="str">
        <f t="shared" si="798"/>
        <v>Data!$BI$1:$BI$5</v>
      </c>
      <c r="BR41" s="104" t="str">
        <f t="shared" ref="BR41" si="1115">IF($E42="H",IF($F41="Hybrid - Thrust + 2 connections","Data!$BI$1:$BI$5","HybridDD_Code"),"Data!$BI$1:$BI$5")</f>
        <v>Data!$BI$1:$BI$5</v>
      </c>
      <c r="BS41" s="104" t="str">
        <f t="shared" si="369"/>
        <v>Data!$BI$1:$BI$5</v>
      </c>
      <c r="BT41" s="104" t="str">
        <f t="shared" si="369"/>
        <v>Data!$BI$1:$BI$5</v>
      </c>
      <c r="BU41" s="104" t="str">
        <f t="shared" si="369"/>
        <v>Data!$BI$1:$BI$5</v>
      </c>
      <c r="BV41" s="104" t="str">
        <f t="shared" si="369"/>
        <v>Data!$BI$1:$BI$5</v>
      </c>
      <c r="BW41" s="104" t="str">
        <f t="shared" si="369"/>
        <v>Data!$BI$1:$BI$5</v>
      </c>
      <c r="BX41" s="104" t="str">
        <f t="shared" si="369"/>
        <v>Data!$BI$1:$BI$5</v>
      </c>
      <c r="BY41" s="104" t="str">
        <f t="shared" si="369"/>
        <v>Data!$BI$1:$BI$5</v>
      </c>
      <c r="BZ41" s="104" t="str">
        <f t="shared" si="369"/>
        <v>Data!$BI$1:$BI$5</v>
      </c>
      <c r="CA41" s="104" t="str">
        <f t="shared" si="369"/>
        <v>Data!$BI$1:$BI$5</v>
      </c>
      <c r="CB41" s="104" t="str">
        <f t="shared" si="369"/>
        <v>Data!$BI$1:$BI$5</v>
      </c>
      <c r="CC41" s="104" t="str">
        <f t="shared" si="369"/>
        <v>Data!$BI$1:$BI$5</v>
      </c>
      <c r="CD41" s="104" t="str">
        <f t="shared" si="369"/>
        <v>Data!$BI$1:$BI$5</v>
      </c>
      <c r="CE41" s="104" t="str">
        <f t="shared" si="369"/>
        <v>Data!$BI$1:$BI$5</v>
      </c>
      <c r="CF41" s="104" t="str">
        <f t="shared" si="369"/>
        <v>Data!$BI$1:$BI$5</v>
      </c>
      <c r="CG41" s="104" t="str">
        <f t="shared" si="369"/>
        <v>Data!$BI$1:$BI$5</v>
      </c>
      <c r="CH41" s="104" t="str">
        <f t="shared" si="369"/>
        <v>Data!$BI$1:$BI$5</v>
      </c>
      <c r="CI41" s="104" t="str">
        <f t="shared" si="800"/>
        <v>Data!$BI$1:$BI$5</v>
      </c>
      <c r="CJ41" s="104" t="str">
        <f t="shared" si="800"/>
        <v>Data!$BI$1:$BI$5</v>
      </c>
      <c r="CK41" s="104" t="str">
        <f t="shared" si="800"/>
        <v>Data!$BI$1:$BI$5</v>
      </c>
      <c r="CL41" s="104" t="str">
        <f t="shared" si="800"/>
        <v>Data!$BI$1:$BI$5</v>
      </c>
      <c r="CM41" s="104"/>
      <c r="CN41" s="104"/>
      <c r="CO41" s="107" t="str">
        <f>IFERROR(TIME(0,A41,B41),"")</f>
        <v/>
      </c>
      <c r="CP41" s="108">
        <f>IFERROR(TIME(0,C41,D41),"")</f>
        <v>0</v>
      </c>
      <c r="CQ41" s="108" t="str">
        <f t="shared" ref="CQ41" si="1116">IF(CP41&gt;$D$12,"X","")</f>
        <v/>
      </c>
      <c r="CR41" s="102" t="str">
        <f>IF(AND(F41="Hybrid - Thrust + 2 connections",OR(LEFT(J41,1)="T",LEFT(K41,1)="T",LEFT(L41,1)="T",LEFT(PB41,1)="T",LEFT(M41,1)="T",LEFT(N41,1)="T",LEFT(O41,1)="T",LEFT(P41,1)="T",LEFT(Q41,1)="T",LEFT(R41,1)="T",LEFT(S41,1)="T",LEFT(T41,1)="T",LEFT(U41,1)="T",LEFT(V41,1)="T",LEFT(W41,1)="T",LEFT(X41,1)="T",LEFT(AK41,1)="T",LEFT(AL41,1)="T",LEFT(AM41,1)="T")),IF(OR(LEN(J41)=2,LEN(K41)=2,LEN(L41)=2,LEN(M41)=2,LEN(N41)=2,LEN(O41)=2,LEN(P41)=2,LEN(Q41)=2,LEN(R41)=2,LEN(S41)=2,LEN(T41)=2,LEN(U41)=2,LEN(V41)=2,LEN(W41)=2,LEN(X41)=2,LEN(Y41)=2,LEN(Z41)=2,LEN(AK41)=2,LEN(AL41)=2,LEN(AM41)=2),"X",""),"")</f>
        <v/>
      </c>
      <c r="CS41" s="105"/>
      <c r="CT41" s="102" t="str">
        <f>IF(LEFT(F41,4)="Acro",IF(AND(N41&lt;&gt;"",M41=RIGHT(N41,2)),"X","OK"),"")</f>
        <v/>
      </c>
      <c r="CU41" s="104" t="str">
        <f t="shared" ref="CU41:DB41" si="1117">IFERROR(IF(AND(LEFT($F41,4)="Acro",INDEX(Requ_App,MATCH(BI41,Requ_Code,0))="No"),"X",""),"")</f>
        <v/>
      </c>
      <c r="CV41" s="104" t="str">
        <f t="shared" si="1117"/>
        <v/>
      </c>
      <c r="CW41" s="104" t="str">
        <f t="shared" si="1117"/>
        <v/>
      </c>
      <c r="CX41" s="104" t="str">
        <f t="shared" si="1117"/>
        <v/>
      </c>
      <c r="CY41" s="104" t="str">
        <f t="shared" si="1117"/>
        <v/>
      </c>
      <c r="CZ41" s="104" t="str">
        <f t="shared" si="1117"/>
        <v/>
      </c>
      <c r="DA41" s="104" t="str">
        <f t="shared" si="1117"/>
        <v/>
      </c>
      <c r="DB41" s="104" t="str">
        <f t="shared" si="1117"/>
        <v/>
      </c>
      <c r="DC41" s="104" t="str">
        <f>IFERROR(IF(AND(LEFT($F41,4)="Acro",INDEX(Requ_App,MATCH(BP41,Requ_Code,0))="No"),"X",""),"")</f>
        <v/>
      </c>
      <c r="DD41" s="102" t="str">
        <f t="shared" si="10"/>
        <v/>
      </c>
      <c r="DE41" s="102" t="str">
        <f t="shared" si="11"/>
        <v/>
      </c>
      <c r="DF41" s="102" t="str">
        <f t="shared" si="12"/>
        <v/>
      </c>
      <c r="DG41" s="102" t="str">
        <f t="shared" si="13"/>
        <v/>
      </c>
      <c r="DK41" s="102">
        <f t="shared" ref="DK41" si="1118">IF(AND(E42="A",OR(Q41="Grip",Q41="Conn",Q41="Catch")),"A1",IF(AND(E42="A",OR(Q41="Hula",Q41="RetSq",Q41="RetPa")),"A2",IF(AND(E42="B",OR(Q41="Twirl",Q41="RotF")),"B1",IF(AND(E42="B",OR(Q41="Moon",Q41="Mov",Q41="Hold")),"B2",IF(AND(E42="P",OR(Q41="Porp",Q41="Splch")),"P1",IF(AND(E42="P",OR(Q41="Diva",Q41="Stand")),"P2",IF(AND(E42="P",OR(Q41="Spider",Q41="Climb")),"P3",IF(AND(E42="P",OR(Q41="Fall",Q41="FTurn")),"P4",IF(AND(E42="C",OR(Q41="Jump",Q41="Jump&gt;",Q41="On1Foot",Q41="1F&gt;1F")),"C1",IF(AND(E42="C",OR(Q41="Run",Q41="BRun")),"C2",1))))))))))</f>
        <v>1</v>
      </c>
      <c r="DL41" s="102">
        <f t="shared" ref="DL41" si="1119">IF(AND(E42="A",OR(R41="Grip",R41="Conn",R41="Catch")),"A1",IF(AND(E42="A",OR(R41="Hula",R41="RetSq",R41="RetPa")),"A2",IF(AND(E42="B",OR(R41="Twirl",R41="RotF")),"B1",IF(AND(E42="B",OR(R41="Moon",R41="Mov",R41="Hold")),"B2",IF(AND(E42="P",OR(R41="Porp",R41="Spich")),"P1",IF(AND(E42="P",OR(R41="Diva",R41="Stand")),"P2",IF(AND(E42="P",OR(R41="Spider",R41="Climb")),"P3",IF(AND(E42="P",OR(R41="Fall",R41="FTurn")),"P4",IF(AND(E42="C",OR(R41="Jump",R41="Jump&gt;",R41="On1Foot",R41="1F&gt;1F")),"C1",IF(AND(E42="C",OR(R41="Run",R41="BRun")),"C2",2))))))))))</f>
        <v>2</v>
      </c>
      <c r="DM41" s="102" t="str">
        <f>IF(AND(LEFT(F41,4)="Acro",Q41&lt;&gt;"",OR(Q41=R41,DK41=DL41)),IF(R41="C-Roll","","X"),IF(OR(AND(E42="A",Q41="Catch",R41&lt;&gt;"Dbl"),AND(E42="A",R41="Catch",Q41&lt;&gt;"Dbl")),"X",""))</f>
        <v/>
      </c>
      <c r="DN41" s="102" t="str">
        <f>IF(E42="PA",J41,"")</f>
        <v/>
      </c>
      <c r="DO41" s="102">
        <v>23</v>
      </c>
      <c r="DQ41" s="102" t="str">
        <f>IF(AND($E42="A",COUNTIF($DZ$19:$EA$68,DZ41)&gt;1),DZ41,"")</f>
        <v/>
      </c>
      <c r="DR41" s="102" t="str">
        <f>IF(AND($E42="A",COUNTIF($DZ$19:$EA$68,EA41)&gt;1),EA41,"")</f>
        <v/>
      </c>
      <c r="DS41" s="102" t="str">
        <f ca="1">IF(AND($E42="B",COUNTIF($J$19:$J$68,J41)&gt;1),J41,"")</f>
        <v/>
      </c>
      <c r="DT41" s="102" t="str">
        <f ca="1">IF(AND($E42="B",COUNTIF($K$19:$K$68,K41)&gt;1),K41,"")</f>
        <v/>
      </c>
      <c r="DU41" s="102" t="str">
        <f ca="1">IF(AND($E42="C",COUNTIF($J$19:$J$68,J41)&gt;1),J41,"")</f>
        <v/>
      </c>
      <c r="DV41" s="102" t="str">
        <f ca="1">IF(AND($E42="P",COUNTIF($J$19:$J$68,J41)&gt;1),J41,"")</f>
        <v/>
      </c>
      <c r="DW41" s="102" t="str">
        <f ca="1">IF(AND($E42="P",COUNTIF($K$19:$K$68,K41)&gt;1),K41,"")</f>
        <v/>
      </c>
      <c r="DX41" s="102" t="str">
        <f>IF(AND($E42="P",COUNTIF($DZ$19:$EA$68,DZ41)&gt;1),DZ41,"")</f>
        <v/>
      </c>
      <c r="DY41" s="102" t="str">
        <f>IF(AND($E42="P",COUNTIF($DZ$19:$EA$68,EA41)&gt;1),EA41,"")</f>
        <v/>
      </c>
      <c r="DZ41" s="102" t="str">
        <f>IFERROR(IF(OR(E42="A",E42="P"),M41,""),"")</f>
        <v/>
      </c>
      <c r="EA41" s="102" t="str">
        <f>IFERROR(IF(OR(E42="A",E42="P"),RIGHT(N41,2),""),"")</f>
        <v/>
      </c>
      <c r="EB41" s="102" t="str">
        <f t="shared" ref="EB41" si="1120">IF(Q41="","",IF(AND($E42="P",COUNTIF($Q$19:$R$68,Q41)&gt;1),Q41,""))</f>
        <v/>
      </c>
      <c r="EC41" s="102" t="str">
        <f t="shared" ref="EC41" si="1121">IF(R41="","",IF(AND($E42="P",COUNTIF($Q$19:$R$68,R41)&gt;1),R41,""))</f>
        <v/>
      </c>
      <c r="ED41" s="102" t="str">
        <f t="shared" si="14"/>
        <v/>
      </c>
      <c r="EE41" s="102" t="str">
        <f t="shared" si="15"/>
        <v/>
      </c>
      <c r="EF41" s="102" t="str">
        <f>IF(AND($F$8="Open Team Acrobatic",LEFT(F41,4)="Acro"),E42,"")</f>
        <v/>
      </c>
      <c r="EG41" s="102" t="str">
        <f t="shared" ref="EG41" si="1122">IFERROR(IF(HLOOKUP(EF41,$DQ$12:$DT$13,2,FALSE)&gt;2,"X",""),"")</f>
        <v/>
      </c>
      <c r="EI41" s="102" t="str">
        <f t="shared" ref="EI41" si="1123">IF(OR(AND(F41="Hybrid - Thrust + 2 connections",EI42="T"),AND(E42="H",EI42&lt;&gt;"",EI95="X")),"X","")</f>
        <v/>
      </c>
      <c r="EK41" s="102">
        <f t="shared" ref="EK41" si="1124">IFERROR(IF(AND($E42="H",J41&lt;&gt;"",J41&lt;&gt;"ChoHY"),IF(OR(LEFT(J41,1)="T",LEFT(J41,1)="S",LEFT(J41,1)="A",LEFT(J41,1)="F",LEFT(J41,1)="C"),LEFT(J41,1),"R"),EK$18),"")</f>
        <v>1</v>
      </c>
      <c r="EL41" s="102">
        <f t="shared" ref="EL41:EZ41" si="1125">IFERROR(IF(AND($E42="H",K41&lt;&gt;""),IF(OR(LEFT(K41,1)="T",LEFT(K41,1)="S",LEFT(K41,1)="A",LEFT(K41,1)="F",LEFT(K41,1)="C"),LEFT(K41,1),"R"),EL$18),"")</f>
        <v>2</v>
      </c>
      <c r="EM41" s="102">
        <f t="shared" si="1125"/>
        <v>3</v>
      </c>
      <c r="EN41" s="102">
        <f t="shared" si="1125"/>
        <v>4</v>
      </c>
      <c r="EO41" s="102">
        <f t="shared" si="1125"/>
        <v>5</v>
      </c>
      <c r="EP41" s="102">
        <f t="shared" si="1125"/>
        <v>6</v>
      </c>
      <c r="EQ41" s="102">
        <f t="shared" si="1125"/>
        <v>7</v>
      </c>
      <c r="ER41" s="102">
        <f t="shared" si="1125"/>
        <v>8</v>
      </c>
      <c r="ES41" s="102">
        <f t="shared" si="1125"/>
        <v>9</v>
      </c>
      <c r="ET41" s="102">
        <f t="shared" si="1125"/>
        <v>10</v>
      </c>
      <c r="EU41" s="102">
        <f t="shared" si="1125"/>
        <v>11</v>
      </c>
      <c r="EV41" s="102">
        <f t="shared" si="1125"/>
        <v>12</v>
      </c>
      <c r="EW41" s="102">
        <f t="shared" si="1125"/>
        <v>13</v>
      </c>
      <c r="EX41" s="102">
        <f t="shared" si="1125"/>
        <v>14</v>
      </c>
      <c r="EY41" s="102">
        <f t="shared" si="1125"/>
        <v>15</v>
      </c>
      <c r="EZ41" s="102">
        <f t="shared" si="1125"/>
        <v>16</v>
      </c>
      <c r="FA41" s="102">
        <f t="shared" ref="FA41" si="1126">IFERROR(IF(AND($E42="H",Z41&lt;&gt;""),IF(OR(LEFT(Z41,1)="T",LEFT(Z41,1)="S",LEFT(Z41,1)="A",LEFT(Z41,1)="F",LEFT(Z41,1)="C"),LEFT(Z41,1),"R"),FA$18),"")</f>
        <v>17</v>
      </c>
      <c r="FB41" s="102">
        <f t="shared" ref="FB41" si="1127">IFERROR(IF(AND($E42="H",AA41&lt;&gt;""),IF(OR(LEFT(AA41,1)="T",LEFT(AA41,1)="S",LEFT(AA41,1)="A",LEFT(AA41,1)="F",LEFT(AA41,1)="C"),LEFT(AA41,1),"R"),FB$18),"")</f>
        <v>18</v>
      </c>
      <c r="FC41" s="102">
        <f t="shared" ref="FC41" si="1128">IFERROR(IF(AND($E42="H",AB41&lt;&gt;""),IF(OR(LEFT(AB41,1)="T",LEFT(AB41,1)="S",LEFT(AB41,1)="A",LEFT(AB41,1)="F",LEFT(AB41,1)="C"),LEFT(AB41,1),"R"),FC$18),"")</f>
        <v>19</v>
      </c>
      <c r="FD41" s="102">
        <f t="shared" ref="FD41" si="1129">IFERROR(IF(AND($E42="H",AC41&lt;&gt;""),IF(OR(LEFT(AC41,1)="T",LEFT(AC41,1)="S",LEFT(AC41,1)="A",LEFT(AC41,1)="F",LEFT(AC41,1)="C"),LEFT(AC41,1),"R"),FD$18),"")</f>
        <v>20</v>
      </c>
      <c r="FE41" s="102">
        <f t="shared" ref="FE41" si="1130">IFERROR(IF(AND($E42="H",AD41&lt;&gt;""),IF(OR(LEFT(AD41,1)="T",LEFT(AD41,1)="S",LEFT(AD41,1)="A",LEFT(AD41,1)="F",LEFT(AD41,1)="C"),LEFT(AD41,1),"R"),FE$18),"")</f>
        <v>21</v>
      </c>
      <c r="FF41" s="102">
        <f t="shared" ref="FF41" si="1131">IFERROR(IF(AND($E42="H",AE41&lt;&gt;""),IF(OR(LEFT(AE41,1)="T",LEFT(AE41,1)="S",LEFT(AE41,1)="A",LEFT(AE41,1)="F",LEFT(AE41,1)="C"),LEFT(AE41,1),"R"),FF$18),"")</f>
        <v>22</v>
      </c>
      <c r="FG41" s="102">
        <f t="shared" ref="FG41" si="1132">IFERROR(IF(AND($E42="H",AF41&lt;&gt;""),IF(OR(LEFT(AF41,1)="T",LEFT(AF41,1)="S",LEFT(AF41,1)="A",LEFT(AF41,1)="F",LEFT(AF41,1)="C"),LEFT(AF41,1),"R"),FG$18),"")</f>
        <v>23</v>
      </c>
      <c r="FH41" s="102">
        <f t="shared" ref="FH41" si="1133">IFERROR(IF(AND($E42="H",AG41&lt;&gt;""),IF(OR(LEFT(AG41,1)="T",LEFT(AG41,1)="S",LEFT(AG41,1)="A",LEFT(AG41,1)="F",LEFT(AG41,1)="C"),LEFT(AG41,1),"R"),FH$18),"")</f>
        <v>24</v>
      </c>
      <c r="FI41" s="102">
        <f t="shared" ref="FI41" si="1134">IFERROR(IF(AND($E42="H",AH41&lt;&gt;""),IF(OR(LEFT(AH41,1)="T",LEFT(AH41,1)="S",LEFT(AH41,1)="A",LEFT(AH41,1)="F",LEFT(AH41,1)="C"),LEFT(AH41,1),"R"),FI$18),"")</f>
        <v>25</v>
      </c>
      <c r="FJ41" s="102">
        <f t="shared" ref="FJ41" si="1135">IFERROR(IF(AND($E42="H",AI41&lt;&gt;""),IF(OR(LEFT(AI41,1)="T",LEFT(AI41,1)="S",LEFT(AI41,1)="A",LEFT(AI41,1)="F",LEFT(AI41,1)="C"),LEFT(AI41,1),"R"),FJ$18),"")</f>
        <v>26</v>
      </c>
      <c r="FK41" s="102">
        <f t="shared" ref="FK41" si="1136">IFERROR(IF(AND($E42="H",AJ41&lt;&gt;""),IF(OR(LEFT(AJ41,1)="T",LEFT(AJ41,1)="S",LEFT(AJ41,1)="A",LEFT(AJ41,1)="F",LEFT(AJ41,1)="C"),LEFT(AJ41,1),"R"),FK$18),"")</f>
        <v>27</v>
      </c>
      <c r="FL41" s="102">
        <f t="shared" ref="FL41" si="1137">IFERROR(IF(AND($E42="H",AK41&lt;&gt;""),IF(OR(LEFT(AK41,1)="T",LEFT(AK41,1)="S",LEFT(AK41,1)="A",LEFT(AK41,1)="F",LEFT(AK41,1)="C"),LEFT(AK41,1),"R"),FL$18),"")</f>
        <v>28</v>
      </c>
      <c r="FM41" s="102">
        <f t="shared" ref="FM41" si="1138">IFERROR(IF(AND($E42="H",AL41&lt;&gt;""),IF(OR(LEFT(AL41,1)="T",LEFT(AL41,1)="S",LEFT(AL41,1)="A",LEFT(AL41,1)="F",LEFT(AL41,1)="C"),LEFT(AL41,1),"R"),FM$18),"")</f>
        <v>29</v>
      </c>
      <c r="FN41" s="102">
        <f t="shared" ref="FN41" si="1139">IFERROR(IF(AND($E42="H",AM41&lt;&gt;""),IF(OR(LEFT(AM41,1)="T",LEFT(AM41,1)="S",LEFT(AM41,1)="A",LEFT(AM41,1)="F",LEFT(AM41,1)="C"),LEFT(AM41,1),"R"),FN$18),"")</f>
        <v>30</v>
      </c>
      <c r="FO41" s="102"/>
      <c r="FP41" s="102"/>
      <c r="FQ41" s="102"/>
      <c r="FR41" s="282"/>
      <c r="FS41" s="282"/>
      <c r="FT41" s="282"/>
      <c r="FU41" s="282"/>
      <c r="FV41" s="282"/>
      <c r="FW41" s="282"/>
      <c r="FX41" s="282"/>
      <c r="FY41" s="282"/>
      <c r="FZ41" s="282"/>
      <c r="GA41" s="282"/>
      <c r="GB41" s="282"/>
      <c r="GC41" s="282"/>
      <c r="GD41" s="282"/>
      <c r="GE41" s="282"/>
      <c r="GF41" s="282"/>
      <c r="GG41" s="282"/>
      <c r="GH41" s="282"/>
      <c r="GI41" s="282"/>
      <c r="GJ41" s="282"/>
      <c r="GK41" s="282"/>
      <c r="GL41" s="282"/>
      <c r="GM41" s="282"/>
      <c r="GN41" s="282"/>
      <c r="GO41" s="282"/>
      <c r="GP41" s="282"/>
      <c r="GQ41" s="282"/>
      <c r="GR41" s="282"/>
      <c r="GS41" s="282"/>
      <c r="GT41" s="282"/>
      <c r="GU41" s="282"/>
      <c r="GV41" s="102"/>
      <c r="GW41" s="102">
        <f t="shared" ref="GW41" si="1140">COUNTIF($EK41:$FN41,GW$18)</f>
        <v>0</v>
      </c>
      <c r="GX41" s="102">
        <f t="shared" si="825"/>
        <v>0</v>
      </c>
      <c r="GY41" s="102">
        <f t="shared" si="825"/>
        <v>0</v>
      </c>
      <c r="GZ41" s="102">
        <f t="shared" si="825"/>
        <v>0</v>
      </c>
      <c r="HA41" s="102">
        <f t="shared" si="825"/>
        <v>0</v>
      </c>
      <c r="HB41" s="102">
        <f t="shared" si="825"/>
        <v>0</v>
      </c>
      <c r="HC41" s="102"/>
      <c r="HD41" s="102" t="str">
        <f t="shared" ref="HD41" si="1141">IF(AND($F41="Hybrid - Thrust + 2 connections",HD42=0,LEFT($J41,1)="C",LEFT($K41,1)="C",LEFT($L41,1)="C"),"X","")</f>
        <v/>
      </c>
      <c r="HE41" s="102"/>
      <c r="HF41" s="105"/>
      <c r="HG41" s="114"/>
      <c r="HH41" s="114"/>
      <c r="HI41" s="105" t="str">
        <f t="shared" ref="HI41" si="1142">IF(E42=3,IF(_xlfn.NUMBERVALUE(LEFT(J41,1))&gt;0,_xlfn.NUMBERVALUE(LEFT(J41,1)),""),"")</f>
        <v/>
      </c>
      <c r="HK41" s="105" t="str">
        <f t="shared" ref="HK41" si="1143">IF(OR(E42="B",E42="P"),E42,"")</f>
        <v/>
      </c>
      <c r="HL41" s="105" t="str">
        <f>IF(AND(J41&lt;&gt;"",HK41&lt;&gt;""),IF(HK41="B",MATCH(J41,AcroDD!$U$3:$AE$3,0),MATCH(J41,AcroDD!$U$30:$AC$30,0)),"")</f>
        <v/>
      </c>
      <c r="HM41" s="105" t="str">
        <f t="shared" ref="HM41" si="1144">IF(AND(K41&lt;&gt;"",HK41&lt;&gt;""),K41,"")</f>
        <v/>
      </c>
      <c r="HN41" s="105" t="str">
        <f ca="1">IF(AND(OR(HK41="B",HK41="P"),HL41&lt;&gt;"",HM41&lt;&gt;""),IF(IFERROR(IF(HK41="B",MATCH(HM41,OFFSET(AcroDD!$T$4,0,HL41,20),0),MATCH(HM41,OFFSET(AcroDD!$T$31,0,HL41,20),0)),"")&lt;&gt;"","OK","X"),"")</f>
        <v/>
      </c>
    </row>
    <row r="42" spans="1:222" x14ac:dyDescent="0.25">
      <c r="A42" s="39"/>
      <c r="B42" s="40"/>
      <c r="C42" s="40"/>
      <c r="D42" s="40"/>
      <c r="E42" s="20" t="str">
        <f t="shared" ref="E42" si="1145">IF(F41="Acrobatic - Pair","PA",IF(F41="Acrobatic Airborn","A",IF(F41="Acrobatic Balance","B",IF(F41="Acrobatic Combined","C",IF(F41="Acrobatic Platform","P",IF(F41="Technical Required Element",3,IF(LEFT(F41,4)="Hybr","H","")))))))</f>
        <v/>
      </c>
      <c r="F42" s="20" t="str">
        <f>IF(AND(F41="Hybrid - Thrust + 2 connections",CR41="X"),"Hybrid - Thrust",IF(OR(E42="A",E42="B",E42="C",E42="P"),"Acrobatic",""))</f>
        <v/>
      </c>
      <c r="G42" s="42"/>
      <c r="H42" s="207" t="str">
        <f t="shared" ref="H42" si="1146">IF(E42="PA",IF(OR(LEFT(J41,1)="L",LEFT(J41,1)="S"),"A-Pair-Lift",IF(OR(LEFT(J41,1)="W",LEFT(J41,1)="T"),"A-Pair-Throw",IF(LEFT(J41,1)="J","A-Pair-Jump","A-Pair"))),IF(OR(E42="A",E42="B",E42="C",E42="P"),CONCATENATE("Acro-",E42),""))</f>
        <v/>
      </c>
      <c r="I42" s="201" t="e">
        <f t="shared" ref="I42" si="1147">IF(OR(F41="Hybrid - min 4 swimmers (no DD)",LEFT(F41,5)="Trans"),0,INDEX($BY$3:$BY$9,MATCH(E42,$BX$3:$BX$9,0)))</f>
        <v>#N/A</v>
      </c>
      <c r="J42" s="196">
        <f ca="1">IFERROR(IF($H41="No DD",IF(J41="ChoHY",1,0),IF(OR(ISBLANK(J41),J41="N/A"),0,INDEX(INDIRECT(BI42),MATCH(J41,INDIRECT(BI41),0)))),0)</f>
        <v>0</v>
      </c>
      <c r="K42" s="196">
        <f t="shared" ref="K42:Y42" ca="1" si="1148">IFERROR(IF($H41="No DD",0,IF(OR(ISBLANK(K41),K41="N/A"),0,INDEX(INDIRECT(BJ42),MATCH(K41,INDIRECT(BJ41),0)))),0)</f>
        <v>0</v>
      </c>
      <c r="L42" s="196">
        <f t="shared" ca="1" si="1148"/>
        <v>0</v>
      </c>
      <c r="M42" s="196">
        <f t="shared" ca="1" si="1148"/>
        <v>0</v>
      </c>
      <c r="N42" s="196">
        <f t="shared" ca="1" si="1148"/>
        <v>0</v>
      </c>
      <c r="O42" s="196">
        <f t="shared" ca="1" si="1148"/>
        <v>0</v>
      </c>
      <c r="P42" s="196">
        <f t="shared" ca="1" si="1148"/>
        <v>0</v>
      </c>
      <c r="Q42" s="196">
        <f t="shared" ca="1" si="1148"/>
        <v>0</v>
      </c>
      <c r="R42" s="196">
        <f t="shared" ca="1" si="1148"/>
        <v>0</v>
      </c>
      <c r="S42" s="196">
        <f t="shared" ca="1" si="1148"/>
        <v>0</v>
      </c>
      <c r="T42" s="196">
        <f t="shared" ca="1" si="1148"/>
        <v>0</v>
      </c>
      <c r="U42" s="196">
        <f t="shared" ca="1" si="1148"/>
        <v>0</v>
      </c>
      <c r="V42" s="196">
        <f t="shared" ca="1" si="1148"/>
        <v>0</v>
      </c>
      <c r="W42" s="196">
        <f t="shared" ca="1" si="1148"/>
        <v>0</v>
      </c>
      <c r="X42" s="196">
        <f t="shared" ca="1" si="1148"/>
        <v>0</v>
      </c>
      <c r="Y42" s="196">
        <f t="shared" ca="1" si="1148"/>
        <v>0</v>
      </c>
      <c r="Z42" s="196">
        <f t="shared" ref="Z42" ca="1" si="1149">IFERROR(IF($H41="No DD",0,IF(OR(ISBLANK(Z41),Z41="N/A"),0,INDEX(INDIRECT(BY42),MATCH(Z41,INDIRECT(BY41),0)))),0)</f>
        <v>0</v>
      </c>
      <c r="AA42" s="196">
        <f t="shared" ref="AA42" ca="1" si="1150">IFERROR(IF($H41="No DD",0,IF(OR(ISBLANK(AA41),AA41="N/A"),0,INDEX(INDIRECT(BZ42),MATCH(AA41,INDIRECT(BZ41),0)))),0)</f>
        <v>0</v>
      </c>
      <c r="AB42" s="196">
        <f t="shared" ref="AB42" ca="1" si="1151">IFERROR(IF($H41="No DD",0,IF(OR(ISBLANK(AB41),AB41="N/A"),0,INDEX(INDIRECT(CA42),MATCH(AB41,INDIRECT(CA41),0)))),0)</f>
        <v>0</v>
      </c>
      <c r="AC42" s="196">
        <f t="shared" ref="AC42" ca="1" si="1152">IFERROR(IF($H41="No DD",0,IF(OR(ISBLANK(AC41),AC41="N/A"),0,INDEX(INDIRECT(CB42),MATCH(AC41,INDIRECT(CB41),0)))),0)</f>
        <v>0</v>
      </c>
      <c r="AD42" s="196">
        <f t="shared" ref="AD42" ca="1" si="1153">IFERROR(IF($H41="No DD",0,IF(OR(ISBLANK(AD41),AD41="N/A"),0,INDEX(INDIRECT(CC42),MATCH(AD41,INDIRECT(CC41),0)))),0)</f>
        <v>0</v>
      </c>
      <c r="AE42" s="196">
        <f t="shared" ref="AE42" ca="1" si="1154">IFERROR(IF($H41="No DD",0,IF(OR(ISBLANK(AE41),AE41="N/A"),0,INDEX(INDIRECT(CD42),MATCH(AE41,INDIRECT(CD41),0)))),0)</f>
        <v>0</v>
      </c>
      <c r="AF42" s="196">
        <f t="shared" ref="AF42" ca="1" si="1155">IFERROR(IF($H41="No DD",0,IF(OR(ISBLANK(AF41),AF41="N/A"),0,INDEX(INDIRECT(CE42),MATCH(AF41,INDIRECT(CE41),0)))),0)</f>
        <v>0</v>
      </c>
      <c r="AG42" s="196">
        <f t="shared" ref="AG42" ca="1" si="1156">IFERROR(IF($H41="No DD",0,IF(OR(ISBLANK(AG41),AG41="N/A"),0,INDEX(INDIRECT(CF42),MATCH(AG41,INDIRECT(CF41),0)))),0)</f>
        <v>0</v>
      </c>
      <c r="AH42" s="196">
        <f t="shared" ref="AH42" ca="1" si="1157">IFERROR(IF($H41="No DD",0,IF(OR(ISBLANK(AH41),AH41="N/A"),0,INDEX(INDIRECT(CG42),MATCH(AH41,INDIRECT(CG41),0)))),0)</f>
        <v>0</v>
      </c>
      <c r="AI42" s="196">
        <f t="shared" ref="AI42" ca="1" si="1158">IFERROR(IF($H41="No DD",0,IF(OR(ISBLANK(AI41),AI41="N/A"),0,INDEX(INDIRECT(CH42),MATCH(AI41,INDIRECT(CH41),0)))),0)</f>
        <v>0</v>
      </c>
      <c r="AJ42" s="196">
        <f t="shared" ref="AJ42" ca="1" si="1159">IFERROR(IF($H41="No DD",0,IF(OR(ISBLANK(AJ41),AJ41="N/A"),0,INDEX(INDIRECT(CI42),MATCH(AJ41,INDIRECT(CI41),0)))),0)</f>
        <v>0</v>
      </c>
      <c r="AK42" s="196">
        <f t="shared" ref="AK42" ca="1" si="1160">IFERROR(IF($H41="No DD",0,IF(OR(ISBLANK(AK41),AK41="N/A"),0,INDEX(INDIRECT(CJ42),MATCH(AK41,INDIRECT(CJ41),0)))),0)</f>
        <v>0</v>
      </c>
      <c r="AL42" s="196">
        <f t="shared" ref="AL42" ca="1" si="1161">IFERROR(IF($H41="No DD",0,IF(OR(ISBLANK(AL41),AL41="N/A"),0,INDEX(INDIRECT(CK42),MATCH(AL41,INDIRECT(CK41),0)))),0)</f>
        <v>0</v>
      </c>
      <c r="AM42" s="196">
        <f t="shared" ref="AM42" ca="1" si="1162">IFERROR(IF($H41="No DD",0,IF(OR(ISBLANK(AM41),AM41="N/A"),0,INDEX(INDIRECT(CL42),MATCH(AM41,INDIRECT(CL41),0)))),0)</f>
        <v>0</v>
      </c>
      <c r="AN42" s="197" t="str">
        <f>IFERROR(IF(E42="H",INDEX(HybridBonus_Value,MATCH(AN41,HybridBonus_Code,0)),""),"")</f>
        <v/>
      </c>
      <c r="AO42" s="195" t="str">
        <f t="shared" ref="AO42" si="1163">IFERROR(SUM(I42:AN42),"")</f>
        <v/>
      </c>
      <c r="AP42" s="75"/>
      <c r="AQ42" s="75"/>
      <c r="AR42" s="115"/>
      <c r="AS42" s="115"/>
      <c r="AT42" s="115"/>
      <c r="AU42" s="115"/>
      <c r="AV42" s="115"/>
      <c r="BA42" s="104"/>
      <c r="BB42" s="115"/>
      <c r="BC42" s="115"/>
      <c r="BD42" s="115"/>
      <c r="BE42" s="115"/>
      <c r="BF42" s="115"/>
      <c r="BG42" s="104"/>
      <c r="BH42" s="115"/>
      <c r="BI42" s="105" t="str">
        <f t="shared" ref="BI42" si="1164">IF($E42="H",IF($F41="Hybrid - Thrust + 2 connections","Hybrid_Mix_Req_Value","HybridDD_Value"),IF($E42=3,"TreDD_Value",IF($E42="PA","AcroPair_Value",IF(LEFT($F41,4)="Acro",CONCATENATE(BI$16,$E42,"_Value"),""))))</f>
        <v/>
      </c>
      <c r="BJ42" s="105" t="str">
        <f t="shared" ref="BJ42" si="1165">IF($E42="H",IF($F41="Hybrid - Thrust + 2 connections","Hybrid_Mix_Req_Value","HybridDD_Value"),IF($E42=3,"TreDD_Value",IF($E42="PA","AcroPair_Value",IF(LEFT($F41,4)="Acro",CONCATENATE(BJ$16,$E42,"_Value"),""))))</f>
        <v/>
      </c>
      <c r="BK42" s="105" t="str">
        <f t="shared" ref="BK42" si="1166">IF($E42="H",IF($F41="Hybrid - Thrust + 2 connections","Hybrid_Mix_Req_Value","HybridDD_Value"),IF($E42=3,"TreDD_Value",IF($E42="PA","AcroPair_Value",IF(LEFT($F41,4)="Acro",CONCATENATE(BK$16,$E42,"_Value"),""))))</f>
        <v/>
      </c>
      <c r="BL42" s="105" t="str">
        <f t="shared" ref="BL42" si="1167">IF($E42="H",IF($F41="Hybrid - Thrust + 2 connections","Hybrid_Mix_Req_Value","HybridDD_Value"),IF($E42=3,"TreDD_Value",IF($E42="PA","AcroPair_Value",IF(LEFT($F41,4)="Acro",CONCATENATE(BL$16,$E42,"_Value"),""))))</f>
        <v/>
      </c>
      <c r="BM42" s="105" t="str">
        <f t="shared" ref="BM42" si="1168">IF($E42="H",IF($F41="Hybrid - Thrust + 2 connections","Hybrid_Mix_Req_Value","HybridDD_Value"),IF($E42=3,"TreDD_Value",IF($E42="PA","AcroPair_Value",IF(LEFT($F41,4)="Acro",CONCATENATE(BM$16,$E42,"_Value"),""))))</f>
        <v/>
      </c>
      <c r="BN42" s="105" t="str">
        <f t="shared" ref="BN42" si="1169">IF($E42="H",IF($F41="Hybrid - Thrust + 2 connections","Hybrid_Mix_Req_Value","HybridDD_Value"),IF($E42=3,"TreDD_Value",IF($E42="PA","AcroPair_Value",IF(LEFT($F41,4)="Acro",CONCATENATE(BN$16,$E42,"_Value"),""))))</f>
        <v/>
      </c>
      <c r="BO42" s="105" t="str">
        <f t="shared" ref="BO42" si="1170">IF($E42="H",IF($F41="Hybrid - Thrust + 2 connections","Hybrid_Mix_Req_Value","HybridDD_Value"),IF($E42=3,"TreDD_Value",IF($E42="PA","AcroPair_Value",IF(LEFT($F41,4)="Acro",CONCATENATE(BO$16,$E42,"_Value"),""))))</f>
        <v/>
      </c>
      <c r="BP42" s="105" t="str">
        <f t="shared" ref="BP42" si="1171">IF($E42="H",IF($F41="Hybrid - Thrust + 2 connections","Hybrid_Mix_Req_Value","HybridDD_Value"),IF($E42=3,"TreDD_Value",IF($E42="PA","AcroPair_Value",IF(LEFT($F41,4)="Acro",CONCATENATE(BP$16,$E42,"_Value"),""))))</f>
        <v/>
      </c>
      <c r="BQ42" s="105" t="str">
        <f t="shared" ref="BQ42" si="1172">IF($E42="H",IF($F41="Hybrid - Thrust + 2 connections","Hybrid_Mix_Req_Value","HybridDD_Value"),IF($E42=3,"TreDD_Value",IF($E42="PA","AcroPair_Value",IF(LEFT($F41,4)="Acro",CONCATENATE(BQ$16,$E42,"_Value"),""))))</f>
        <v/>
      </c>
      <c r="BR42" s="104" t="str">
        <f t="shared" ref="BR42" si="1173">IF($E42="H",IF($F41="Hybrid - Thrust + 2 connections","Data!$BI$1:$BI$5","HybridDD_Value"),"Data!$BI$1:$BI$5")</f>
        <v>Data!$BI$1:$BI$5</v>
      </c>
      <c r="BS42" s="104" t="str">
        <f t="shared" ref="BS42" si="1174">IF($E42="H",IF($F41="Hybrid - Thrust + 2 connections","Data!$BI$1:$BI$5","HybridDD_Value"),"Data!$BI$1:$BI$5")</f>
        <v>Data!$BI$1:$BI$5</v>
      </c>
      <c r="BT42" s="104" t="str">
        <f t="shared" ref="BT42" si="1175">IF($E42="H",IF($F41="Hybrid - Thrust + 2 connections","Data!$BI$1:$BI$5","HybridDD_Value"),"Data!$BI$1:$BI$5")</f>
        <v>Data!$BI$1:$BI$5</v>
      </c>
      <c r="BU42" s="104" t="str">
        <f t="shared" ref="BU42" si="1176">IF($E42="H",IF($F41="Hybrid - Thrust + 2 connections","Data!$BI$1:$BI$5","HybridDD_Value"),"Data!$BI$1:$BI$5")</f>
        <v>Data!$BI$1:$BI$5</v>
      </c>
      <c r="BV42" s="104" t="str">
        <f t="shared" ref="BV42" si="1177">IF($E42="H",IF($F41="Hybrid - Thrust + 2 connections","Data!$BI$1:$BI$5","HybridDD_Value"),"Data!$BI$1:$BI$5")</f>
        <v>Data!$BI$1:$BI$5</v>
      </c>
      <c r="BW42" s="104" t="str">
        <f t="shared" ref="BW42" si="1178">IF($E42="H",IF($F41="Hybrid - Thrust + 2 connections","Data!$BI$1:$BI$5","HybridDD_Value"),"Data!$BI$1:$BI$5")</f>
        <v>Data!$BI$1:$BI$5</v>
      </c>
      <c r="BX42" s="104" t="str">
        <f t="shared" ref="BX42" si="1179">IF($E42="H",IF($F41="Hybrid - Thrust + 2 connections","Data!$BI$1:$BI$5","HybridDD_Value"),"Data!$BI$1:$BI$5")</f>
        <v>Data!$BI$1:$BI$5</v>
      </c>
      <c r="BY42" s="104" t="str">
        <f t="shared" ref="BY42" si="1180">IF($E42="H",IF($F41="Hybrid - Thrust + 2 connections","Data!$BI$1:$BI$5","HybridDD_Value"),"Data!$BI$1:$BI$5")</f>
        <v>Data!$BI$1:$BI$5</v>
      </c>
      <c r="BZ42" s="104" t="str">
        <f t="shared" ref="BZ42" si="1181">IF($E42="H",IF($F41="Hybrid - Thrust + 2 connections","Data!$BI$1:$BI$5","HybridDD_Value"),"Data!$BI$1:$BI$5")</f>
        <v>Data!$BI$1:$BI$5</v>
      </c>
      <c r="CA42" s="104" t="str">
        <f t="shared" ref="CA42" si="1182">IF($E42="H",IF($F41="Hybrid - Thrust + 2 connections","Data!$BI$1:$BI$5","HybridDD_Value"),"Data!$BI$1:$BI$5")</f>
        <v>Data!$BI$1:$BI$5</v>
      </c>
      <c r="CB42" s="104" t="str">
        <f t="shared" ref="CB42" si="1183">IF($E42="H",IF($F41="Hybrid - Thrust + 2 connections","Data!$BI$1:$BI$5","HybridDD_Value"),"Data!$BI$1:$BI$5")</f>
        <v>Data!$BI$1:$BI$5</v>
      </c>
      <c r="CC42" s="104" t="str">
        <f t="shared" ref="CC42" si="1184">IF($E42="H",IF($F41="Hybrid - Thrust + 2 connections","Data!$BI$1:$BI$5","HybridDD_Value"),"Data!$BI$1:$BI$5")</f>
        <v>Data!$BI$1:$BI$5</v>
      </c>
      <c r="CD42" s="104" t="str">
        <f t="shared" ref="CD42" si="1185">IF($E42="H",IF($F41="Hybrid - Thrust + 2 connections","Data!$BI$1:$BI$5","HybridDD_Value"),"Data!$BI$1:$BI$5")</f>
        <v>Data!$BI$1:$BI$5</v>
      </c>
      <c r="CE42" s="104" t="str">
        <f t="shared" ref="CE42" si="1186">IF($E42="H",IF($F41="Hybrid - Thrust + 2 connections","Data!$BI$1:$BI$5","HybridDD_Value"),"Data!$BI$1:$BI$5")</f>
        <v>Data!$BI$1:$BI$5</v>
      </c>
      <c r="CF42" s="104" t="str">
        <f t="shared" ref="CF42" si="1187">IF($E42="H",IF($F41="Hybrid - Thrust + 2 connections","Data!$BI$1:$BI$5","HybridDD_Value"),"Data!$BI$1:$BI$5")</f>
        <v>Data!$BI$1:$BI$5</v>
      </c>
      <c r="CG42" s="104" t="str">
        <f t="shared" ref="CG42" si="1188">IF($E42="H",IF($F41="Hybrid - Thrust + 2 connections","Data!$BI$1:$BI$5","HybridDD_Value"),"Data!$BI$1:$BI$5")</f>
        <v>Data!$BI$1:$BI$5</v>
      </c>
      <c r="CH42" s="104" t="str">
        <f t="shared" ref="CH42" si="1189">IF($E42="H",IF($F41="Hybrid - Thrust + 2 connections","Data!$BI$1:$BI$5","HybridDD_Value"),"Data!$BI$1:$BI$5")</f>
        <v>Data!$BI$1:$BI$5</v>
      </c>
      <c r="CI42" s="104" t="str">
        <f t="shared" ref="CI42" si="1190">IF($E42="H",IF($F41="Hybrid - Thrust + 2 connections","Data!$BI$1:$BI$5","HybridDD_Value"),"Data!$BI$1:$BI$5")</f>
        <v>Data!$BI$1:$BI$5</v>
      </c>
      <c r="CJ42" s="104" t="str">
        <f t="shared" ref="CJ42" si="1191">IF($E42="H",IF($F41="Hybrid - Thrust + 2 connections","Data!$BI$1:$BI$5","HybridDD_Value"),"Data!$BI$1:$BI$5")</f>
        <v>Data!$BI$1:$BI$5</v>
      </c>
      <c r="CK42" s="104" t="str">
        <f t="shared" ref="CK42" si="1192">IF($E42="H",IF($F41="Hybrid - Thrust + 2 connections","Data!$BI$1:$BI$5","HybridDD_Value"),"Data!$BI$1:$BI$5")</f>
        <v>Data!$BI$1:$BI$5</v>
      </c>
      <c r="CL42" s="104" t="str">
        <f t="shared" ref="CL42" si="1193">IF($E42="H",IF($F41="Hybrid - Thrust + 2 connections","Data!$BI$1:$BI$5","HybridDD_Value"),"Data!$BI$1:$BI$5")</f>
        <v>Data!$BI$1:$BI$5</v>
      </c>
      <c r="CM42" s="115"/>
      <c r="CN42" s="115"/>
      <c r="CO42" s="116" t="str">
        <f>IFERROR(IF(AND($BV$6="T",$BV$8="T",LEFT(F41,4)="Acro",AO42&gt;3),"X",IF($N$7="X",IF(AND(E42="C",AO42&gt;$CN$6),"X",IF(AND(E42="A",AO42&gt;$CN$4),"X",IF(AND(E42="B",AO42&gt;$CN$5),"X",IF(AND(E42="P",AO42&gt;$CN$7),"X","")))),"")),"")</f>
        <v/>
      </c>
      <c r="CP42" s="108"/>
      <c r="CQ42" s="105"/>
      <c r="CS42" s="105"/>
      <c r="CT42" s="105"/>
      <c r="CU42" s="105"/>
      <c r="CV42" s="105"/>
      <c r="CW42" s="105"/>
      <c r="CX42" s="105"/>
      <c r="CY42" s="105"/>
      <c r="CZ42" s="105"/>
      <c r="DD42" s="102" t="str">
        <f t="shared" si="10"/>
        <v/>
      </c>
      <c r="DE42" s="102" t="str">
        <f t="shared" si="11"/>
        <v/>
      </c>
      <c r="DF42" s="102" t="str">
        <f t="shared" si="12"/>
        <v/>
      </c>
      <c r="DG42" s="102" t="str">
        <f t="shared" si="13"/>
        <v/>
      </c>
      <c r="DO42" s="102">
        <v>24</v>
      </c>
      <c r="ED42" s="102" t="str">
        <f t="shared" si="14"/>
        <v/>
      </c>
      <c r="EE42" s="102" t="str">
        <f t="shared" si="15"/>
        <v/>
      </c>
      <c r="EI42" s="102" t="str" cm="1">
        <f t="array" ref="EI42">IFERROR(INDEX(EK42:FN42,MATCH(TRUE,INDEX((EK42:FN42&lt;&gt;""),),0)),"")</f>
        <v/>
      </c>
      <c r="EK42" s="102" t="str">
        <f t="shared" si="879"/>
        <v/>
      </c>
      <c r="EL42" s="102" t="str">
        <f t="shared" ref="EL42:EZ42" si="1194">IF(G41="Hybrid - Thrust + 2 connections",IF(COUNTIF($EK41:$FD41,EL41)&gt;1,EL41,""),IF(COUNTIF($EK41:$FD41,EL41)&gt;5,EL41,""))</f>
        <v/>
      </c>
      <c r="EM42" s="102" t="str">
        <f t="shared" si="1194"/>
        <v/>
      </c>
      <c r="EN42" s="102" t="str">
        <f t="shared" si="1194"/>
        <v/>
      </c>
      <c r="EO42" s="102" t="str">
        <f t="shared" si="1194"/>
        <v/>
      </c>
      <c r="EP42" s="102" t="str">
        <f t="shared" si="1194"/>
        <v/>
      </c>
      <c r="EQ42" s="102" t="str">
        <f t="shared" si="1194"/>
        <v/>
      </c>
      <c r="ER42" s="102" t="str">
        <f t="shared" si="1194"/>
        <v/>
      </c>
      <c r="ES42" s="102" t="str">
        <f t="shared" si="1194"/>
        <v/>
      </c>
      <c r="ET42" s="102" t="str">
        <f t="shared" si="1194"/>
        <v/>
      </c>
      <c r="EU42" s="102" t="str">
        <f t="shared" si="1194"/>
        <v/>
      </c>
      <c r="EV42" s="102" t="str">
        <f t="shared" si="1194"/>
        <v/>
      </c>
      <c r="EW42" s="102" t="str">
        <f t="shared" si="1194"/>
        <v/>
      </c>
      <c r="EX42" s="102" t="str">
        <f t="shared" si="1194"/>
        <v/>
      </c>
      <c r="EY42" s="102" t="str">
        <f t="shared" si="1194"/>
        <v/>
      </c>
      <c r="EZ42" s="102" t="str">
        <f t="shared" si="1194"/>
        <v/>
      </c>
      <c r="FA42" s="102" t="str">
        <f t="shared" ref="FA42" si="1195">IF(V41="Hybrid - Thrust + 2 connections",IF(COUNTIF($EK41:$FD41,FA41)&gt;1,FA41,""),IF(COUNTIF($EK41:$FD41,FA41)&gt;5,FA41,""))</f>
        <v/>
      </c>
      <c r="FB42" s="102" t="str">
        <f t="shared" ref="FB42" si="1196">IF(W41="Hybrid - Thrust + 2 connections",IF(COUNTIF($EK41:$FD41,FB41)&gt;1,FB41,""),IF(COUNTIF($EK41:$FD41,FB41)&gt;5,FB41,""))</f>
        <v/>
      </c>
      <c r="FC42" s="102" t="str">
        <f t="shared" ref="FC42" si="1197">IF(X41="Hybrid - Thrust + 2 connections",IF(COUNTIF($EK41:$FD41,FC41)&gt;1,FC41,""),IF(COUNTIF($EK41:$FD41,FC41)&gt;5,FC41,""))</f>
        <v/>
      </c>
      <c r="FD42" s="102" t="str">
        <f t="shared" ref="FD42" si="1198">IF(Y41="Hybrid - Thrust + 2 connections",IF(COUNTIF($EK41:$FD41,FD41)&gt;1,FD41,""),IF(COUNTIF($EK41:$FD41,FD41)&gt;5,FD41,""))</f>
        <v/>
      </c>
      <c r="FE42" s="102" t="str">
        <f t="shared" ref="FE42" si="1199">IF(Z41="Hybrid - Thrust + 2 connections",IF(COUNTIF($EK41:$FD41,FE41)&gt;1,FE41,""),IF(COUNTIF($EK41:$FD41,FE41)&gt;5,FE41,""))</f>
        <v/>
      </c>
      <c r="FF42" s="102" t="str">
        <f t="shared" ref="FF42" si="1200">IF(AA41="Hybrid - Thrust + 2 connections",IF(COUNTIF($EK41:$FD41,FF41)&gt;1,FF41,""),IF(COUNTIF($EK41:$FD41,FF41)&gt;5,FF41,""))</f>
        <v/>
      </c>
      <c r="FG42" s="102" t="str">
        <f t="shared" ref="FG42" si="1201">IF(AB41="Hybrid - Thrust + 2 connections",IF(COUNTIF($EK41:$FD41,FG41)&gt;1,FG41,""),IF(COUNTIF($EK41:$FD41,FG41)&gt;5,FG41,""))</f>
        <v/>
      </c>
      <c r="FH42" s="102" t="str">
        <f t="shared" ref="FH42" si="1202">IF(AC41="Hybrid - Thrust + 2 connections",IF(COUNTIF($EK41:$FD41,FH41)&gt;1,FH41,""),IF(COUNTIF($EK41:$FD41,FH41)&gt;5,FH41,""))</f>
        <v/>
      </c>
      <c r="FI42" s="102" t="str">
        <f t="shared" ref="FI42" si="1203">IF(AD41="Hybrid - Thrust + 2 connections",IF(COUNTIF($EK41:$FD41,FI41)&gt;1,FI41,""),IF(COUNTIF($EK41:$FD41,FI41)&gt;5,FI41,""))</f>
        <v/>
      </c>
      <c r="FJ42" s="102" t="str">
        <f t="shared" ref="FJ42" si="1204">IF(AE41="Hybrid - Thrust + 2 connections",IF(COUNTIF($EK41:$FD41,FJ41)&gt;1,FJ41,""),IF(COUNTIF($EK41:$FD41,FJ41)&gt;5,FJ41,""))</f>
        <v/>
      </c>
      <c r="FK42" s="102" t="str">
        <f t="shared" ref="FK42" si="1205">IF(AF41="Hybrid - Thrust + 2 connections",IF(COUNTIF($EK41:$FD41,FK41)&gt;1,FK41,""),IF(COUNTIF($EK41:$FD41,FK41)&gt;5,FK41,""))</f>
        <v/>
      </c>
      <c r="FL42" s="102" t="str">
        <f t="shared" ref="FL42" si="1206">IF(AG41="Hybrid - Thrust + 2 connections",IF(COUNTIF($EK41:$FD41,FL41)&gt;1,FL41,""),IF(COUNTIF($EK41:$FD41,FL41)&gt;5,FL41,""))</f>
        <v/>
      </c>
      <c r="FM42" s="102" t="str">
        <f t="shared" ref="FM42" si="1207">IF(AH41="Hybrid - Thrust + 2 connections",IF(COUNTIF($EK41:$FD41,FM41)&gt;1,FM41,""),IF(COUNTIF($EK41:$FD41,FM41)&gt;5,FM41,""))</f>
        <v/>
      </c>
      <c r="FN42" s="102" t="str">
        <f t="shared" ref="FN42" si="1208">IF(AI41="Hybrid - Thrust + 2 connections",IF(COUNTIF($EK41:$FD41,FN41)&gt;1,FN41,""),IF(COUNTIF($EK41:$FD41,FN41)&gt;5,FN41,""))</f>
        <v/>
      </c>
      <c r="FO42" s="102">
        <f t="shared" ref="FO42" si="1209">FO40+5</f>
        <v>55</v>
      </c>
      <c r="FP42" s="102" t="str">
        <f t="shared" ref="FP42" ca="1" si="1210">OFFSET($FP$75,FO42,0)</f>
        <v/>
      </c>
      <c r="FQ42" s="102" t="str">
        <f t="shared" ref="FQ42" ca="1" si="1211">OFFSET($FQ$75,FO42,0)</f>
        <v/>
      </c>
      <c r="FR42" s="282"/>
      <c r="FS42" s="282"/>
      <c r="FT42" s="282"/>
      <c r="FU42" s="282"/>
      <c r="FV42" s="282"/>
      <c r="FW42" s="282"/>
      <c r="FX42" s="282"/>
      <c r="FY42" s="282"/>
      <c r="FZ42" s="282"/>
      <c r="GA42" s="282"/>
      <c r="GB42" s="282"/>
      <c r="GC42" s="282"/>
      <c r="GD42" s="282"/>
      <c r="GE42" s="282"/>
      <c r="GF42" s="282"/>
      <c r="GG42" s="282"/>
      <c r="GH42" s="282"/>
      <c r="GI42" s="282"/>
      <c r="GJ42" s="282"/>
      <c r="GK42" s="282"/>
      <c r="GL42" s="282"/>
      <c r="GM42" s="282"/>
      <c r="GN42" s="282"/>
      <c r="GO42" s="282"/>
      <c r="GP42" s="282"/>
      <c r="GQ42" s="282"/>
      <c r="GR42" s="282"/>
      <c r="GS42" s="282"/>
      <c r="GT42" s="282"/>
      <c r="GU42" s="282"/>
      <c r="GV42" s="102"/>
      <c r="GW42" s="102"/>
      <c r="GX42" s="102"/>
      <c r="GY42" s="102"/>
      <c r="GZ42" s="102"/>
      <c r="HA42" s="102"/>
      <c r="HB42" s="102"/>
      <c r="HC42" s="102"/>
      <c r="HD42" s="102" t="str">
        <f>IF($F41="Hybrid - Thrust + 2 connections",COUNTBLANK(J41:L41),"")</f>
        <v/>
      </c>
      <c r="HE42" s="102"/>
      <c r="HF42" s="105"/>
      <c r="HG42" s="105"/>
      <c r="HH42" s="105"/>
      <c r="HI42" s="105"/>
    </row>
    <row r="43" spans="1:222" x14ac:dyDescent="0.25">
      <c r="A43" s="39" t="str">
        <f>IF(AND(E41="",A41&lt;&gt;""),IF(CP41=$CP$18,"",IF(C41&lt;&gt;"",IF(D41=59,MINUTE(CP41)+1,MINUTE(CP41)),"")),"")</f>
        <v/>
      </c>
      <c r="B43" s="40" t="str">
        <f>IF(AND(E41="",B41&lt;&gt;""),IF(CP41=$CP$18,"",IF(C41&lt;&gt;"",IF(D41=59,0,SECOND(CP41)+1),"")),"")</f>
        <v/>
      </c>
      <c r="C43" s="50"/>
      <c r="D43" s="50"/>
      <c r="E43" s="9"/>
      <c r="F43" s="51"/>
      <c r="G43" s="42" t="str">
        <f>IF(F43&lt;&gt;"",IF(OR(F43="Transition",F43="Transition - Surface Connection"),0,MAX($G$19:G42)+1),"")</f>
        <v/>
      </c>
      <c r="H43" s="56" t="str">
        <f t="shared" ref="H43" si="1212">IFERROR(IF(E44="3","",IF(OR(F43="Hybrid - min 4 swimmers (no DD)",LEFT(F43,5)="Trans"),"No DD",CONCATENATE("BM = ",I44))),"")</f>
        <v/>
      </c>
      <c r="I43" s="57"/>
      <c r="J43" s="124"/>
      <c r="K43" s="129"/>
      <c r="L43" s="129"/>
      <c r="M43" s="129"/>
      <c r="N43" s="129"/>
      <c r="O43" s="129"/>
      <c r="P43" s="129"/>
      <c r="Q43" s="129"/>
      <c r="R43" s="129"/>
      <c r="S43" s="129"/>
      <c r="T43" s="129"/>
      <c r="U43" s="129"/>
      <c r="V43" s="129"/>
      <c r="W43" s="129"/>
      <c r="X43" s="129"/>
      <c r="Y43" s="129"/>
      <c r="Z43" s="129"/>
      <c r="AA43" s="129"/>
      <c r="AB43" s="129"/>
      <c r="AC43" s="129"/>
      <c r="AD43" s="129"/>
      <c r="AE43" s="129"/>
      <c r="AF43" s="129"/>
      <c r="AG43" s="129"/>
      <c r="AH43" s="129"/>
      <c r="AI43" s="129"/>
      <c r="AJ43" s="129"/>
      <c r="AK43" s="129"/>
      <c r="AL43" s="129"/>
      <c r="AM43" s="129"/>
      <c r="AN43" s="179"/>
      <c r="AO43" s="43"/>
      <c r="AP43" s="74"/>
      <c r="AQ43" s="74"/>
      <c r="AR43" s="104"/>
      <c r="AS43" s="104"/>
      <c r="AT43" s="104"/>
      <c r="AU43" s="104"/>
      <c r="AV43" s="104"/>
      <c r="AW43" s="105" t="str">
        <f t="shared" ref="AW43" si="1213">E44</f>
        <v/>
      </c>
      <c r="AX43" s="108" t="str">
        <f t="shared" ref="AX43" si="1214">IF(AY43=0,"",TIME(0,A43,B43))</f>
        <v/>
      </c>
      <c r="AY43" s="108">
        <f t="shared" ref="AY43" si="1215">TIME(0,C43,D43)</f>
        <v>0</v>
      </c>
      <c r="AZ43" s="108" t="str">
        <f t="shared" ref="AZ43" si="1216">IFERROR(AY43-AX43,"")</f>
        <v/>
      </c>
      <c r="BA43" s="276" t="str">
        <f t="shared" ref="BA43" si="1217">IF($AX$17=0,"",IF(AND($C$10&lt;&gt;"",AW43="H",AZ43&gt;$AX$17),"X",""))</f>
        <v/>
      </c>
      <c r="BB43" s="104"/>
      <c r="BC43" s="104"/>
      <c r="BD43" s="104"/>
      <c r="BE43" s="104"/>
      <c r="BF43" s="104"/>
      <c r="BG43" s="104" t="str">
        <f>IFERROR(IF(F43&lt;&gt;"",INDEX(Parts_Active,MATCH(F43,Parts_Active,0)),""),"No")</f>
        <v/>
      </c>
      <c r="BH43" s="104"/>
      <c r="BI43" s="104" t="str">
        <f t="shared" ref="BI43" si="1218">IF($E44="H",IF($F43="Hybrid - Thrust + 2 connections","Hybrid_Mix_Req",IF($F43="Hybrid - min 4 swimmers (no DD)","Hybrid_ChoHY","HybridDD_Code")),IF($E44=3,"TreDD_Code",IF($E44="PA","AcroPair_Code",IF(LEFT($F43,4)="Acro",CONCATENATE(BI$16,$E44,"_Code"),"Data!$BI$1:$BI$5"))))</f>
        <v>Data!$BI$1:$BI$5</v>
      </c>
      <c r="BJ43" s="104" t="str">
        <f t="shared" ref="BJ43" si="1219">IF($E44="H",IF($F43="Hybrid - Thrust + 2 connections","Hybrid_Mix_Req",IF($F43="Hybrid - min 4 swimmers (no DD)","Data!$BI$1:$BI$5","HybridDD_Code")),IF($E44=3,"TreDD_Code",IF($E44="PA","AcroPair_Code",IF(LEFT($F43,4)="Acro",CONCATENATE(BJ$16,$E44,"_Code"),"Data!$BI$1:$BI$5"))))</f>
        <v>Data!$BI$1:$BI$5</v>
      </c>
      <c r="BK43" s="104" t="str">
        <f t="shared" si="798"/>
        <v>Data!$BI$1:$BI$5</v>
      </c>
      <c r="BL43" s="104" t="str">
        <f t="shared" si="798"/>
        <v>Data!$BI$1:$BI$5</v>
      </c>
      <c r="BM43" s="104" t="str">
        <f t="shared" si="798"/>
        <v>Data!$BI$1:$BI$5</v>
      </c>
      <c r="BN43" s="104" t="str">
        <f t="shared" si="798"/>
        <v>Data!$BI$1:$BI$5</v>
      </c>
      <c r="BO43" s="104" t="str">
        <f t="shared" si="798"/>
        <v>Data!$BI$1:$BI$5</v>
      </c>
      <c r="BP43" s="104" t="str">
        <f t="shared" si="798"/>
        <v>Data!$BI$1:$BI$5</v>
      </c>
      <c r="BQ43" s="104" t="str">
        <f t="shared" si="798"/>
        <v>Data!$BI$1:$BI$5</v>
      </c>
      <c r="BR43" s="104" t="str">
        <f t="shared" ref="BR43" si="1220">IF($E44="H",IF($F43="Hybrid - Thrust + 2 connections","Data!$BI$1:$BI$5","HybridDD_Code"),"Data!$BI$1:$BI$5")</f>
        <v>Data!$BI$1:$BI$5</v>
      </c>
      <c r="BS43" s="104" t="str">
        <f t="shared" si="369"/>
        <v>Data!$BI$1:$BI$5</v>
      </c>
      <c r="BT43" s="104" t="str">
        <f t="shared" si="369"/>
        <v>Data!$BI$1:$BI$5</v>
      </c>
      <c r="BU43" s="104" t="str">
        <f t="shared" si="369"/>
        <v>Data!$BI$1:$BI$5</v>
      </c>
      <c r="BV43" s="104" t="str">
        <f t="shared" si="369"/>
        <v>Data!$BI$1:$BI$5</v>
      </c>
      <c r="BW43" s="104" t="str">
        <f t="shared" si="369"/>
        <v>Data!$BI$1:$BI$5</v>
      </c>
      <c r="BX43" s="104" t="str">
        <f t="shared" si="369"/>
        <v>Data!$BI$1:$BI$5</v>
      </c>
      <c r="BY43" s="104" t="str">
        <f t="shared" si="369"/>
        <v>Data!$BI$1:$BI$5</v>
      </c>
      <c r="BZ43" s="104" t="str">
        <f t="shared" si="369"/>
        <v>Data!$BI$1:$BI$5</v>
      </c>
      <c r="CA43" s="104" t="str">
        <f t="shared" si="369"/>
        <v>Data!$BI$1:$BI$5</v>
      </c>
      <c r="CB43" s="104" t="str">
        <f t="shared" si="369"/>
        <v>Data!$BI$1:$BI$5</v>
      </c>
      <c r="CC43" s="104" t="str">
        <f t="shared" si="369"/>
        <v>Data!$BI$1:$BI$5</v>
      </c>
      <c r="CD43" s="104" t="str">
        <f t="shared" si="369"/>
        <v>Data!$BI$1:$BI$5</v>
      </c>
      <c r="CE43" s="104" t="str">
        <f t="shared" si="369"/>
        <v>Data!$BI$1:$BI$5</v>
      </c>
      <c r="CF43" s="104" t="str">
        <f t="shared" si="369"/>
        <v>Data!$BI$1:$BI$5</v>
      </c>
      <c r="CG43" s="104" t="str">
        <f t="shared" si="369"/>
        <v>Data!$BI$1:$BI$5</v>
      </c>
      <c r="CH43" s="104" t="str">
        <f t="shared" si="369"/>
        <v>Data!$BI$1:$BI$5</v>
      </c>
      <c r="CI43" s="104" t="str">
        <f t="shared" si="800"/>
        <v>Data!$BI$1:$BI$5</v>
      </c>
      <c r="CJ43" s="104" t="str">
        <f t="shared" si="800"/>
        <v>Data!$BI$1:$BI$5</v>
      </c>
      <c r="CK43" s="104" t="str">
        <f t="shared" si="800"/>
        <v>Data!$BI$1:$BI$5</v>
      </c>
      <c r="CL43" s="104" t="str">
        <f t="shared" si="800"/>
        <v>Data!$BI$1:$BI$5</v>
      </c>
      <c r="CM43" s="104"/>
      <c r="CN43" s="104"/>
      <c r="CO43" s="107" t="str">
        <f>IFERROR(TIME(0,A43,B43),"")</f>
        <v/>
      </c>
      <c r="CP43" s="108">
        <f>IFERROR(TIME(0,C43,D43),"")</f>
        <v>0</v>
      </c>
      <c r="CQ43" s="108" t="str">
        <f t="shared" ref="CQ43" si="1221">IF(CP43&gt;$D$12,"X","")</f>
        <v/>
      </c>
      <c r="CR43" s="102" t="str">
        <f>IF(AND(F43="Hybrid - Thrust + 2 connections",OR(LEFT(J43,1)="T",LEFT(K43,1)="T",LEFT(L43,1)="T",LEFT(PB43,1)="T",LEFT(M43,1)="T",LEFT(N43,1)="T",LEFT(O43,1)="T",LEFT(P43,1)="T",LEFT(Q43,1)="T",LEFT(R43,1)="T",LEFT(S43,1)="T",LEFT(T43,1)="T",LEFT(U43,1)="T",LEFT(V43,1)="T",LEFT(W43,1)="T",LEFT(X43,1)="T",LEFT(AK43,1)="T",LEFT(AL43,1)="T",LEFT(AM43,1)="T")),IF(OR(LEN(J43)=2,LEN(K43)=2,LEN(L43)=2,LEN(M43)=2,LEN(N43)=2,LEN(O43)=2,LEN(P43)=2,LEN(Q43)=2,LEN(R43)=2,LEN(S43)=2,LEN(T43)=2,LEN(U43)=2,LEN(V43)=2,LEN(W43)=2,LEN(X43)=2,LEN(Y43)=2,LEN(Z43)=2,LEN(AK43)=2,LEN(AL43)=2,LEN(AM43)=2),"X",""),"")</f>
        <v/>
      </c>
      <c r="CS43" s="105"/>
      <c r="CT43" s="102" t="str">
        <f>IF(LEFT(F43,4)="Acro",IF(AND(N43&lt;&gt;"",M43=RIGHT(N43,2)),"X","OK"),"")</f>
        <v/>
      </c>
      <c r="CU43" s="104" t="str">
        <f t="shared" ref="CU43:DB43" si="1222">IFERROR(IF(AND(LEFT($F43,4)="Acro",INDEX(Requ_App,MATCH(BI43,Requ_Code,0))="No"),"X",""),"")</f>
        <v/>
      </c>
      <c r="CV43" s="104" t="str">
        <f t="shared" si="1222"/>
        <v/>
      </c>
      <c r="CW43" s="104" t="str">
        <f t="shared" si="1222"/>
        <v/>
      </c>
      <c r="CX43" s="104" t="str">
        <f t="shared" si="1222"/>
        <v/>
      </c>
      <c r="CY43" s="104" t="str">
        <f t="shared" si="1222"/>
        <v/>
      </c>
      <c r="CZ43" s="104" t="str">
        <f t="shared" si="1222"/>
        <v/>
      </c>
      <c r="DA43" s="104" t="str">
        <f t="shared" si="1222"/>
        <v/>
      </c>
      <c r="DB43" s="104" t="str">
        <f t="shared" si="1222"/>
        <v/>
      </c>
      <c r="DC43" s="104" t="str">
        <f>IFERROR(IF(AND(LEFT($F43,4)="Acro",INDEX(Requ_App,MATCH(BP43,Requ_Code,0))="No"),"X",""),"")</f>
        <v/>
      </c>
      <c r="DD43" s="102" t="str">
        <f t="shared" si="10"/>
        <v/>
      </c>
      <c r="DE43" s="102" t="str">
        <f t="shared" si="11"/>
        <v/>
      </c>
      <c r="DF43" s="102" t="str">
        <f t="shared" si="12"/>
        <v/>
      </c>
      <c r="DG43" s="102" t="str">
        <f t="shared" si="13"/>
        <v/>
      </c>
      <c r="DK43" s="102">
        <f t="shared" ref="DK43" si="1223">IF(AND(E44="A",OR(Q43="Grip",Q43="Conn",Q43="Catch")),"A1",IF(AND(E44="A",OR(Q43="Hula",Q43="RetSq",Q43="RetPa")),"A2",IF(AND(E44="B",OR(Q43="Twirl",Q43="RotF")),"B1",IF(AND(E44="B",OR(Q43="Moon",Q43="Mov",Q43="Hold")),"B2",IF(AND(E44="P",OR(Q43="Porp",Q43="Splch")),"P1",IF(AND(E44="P",OR(Q43="Diva",Q43="Stand")),"P2",IF(AND(E44="P",OR(Q43="Spider",Q43="Climb")),"P3",IF(AND(E44="P",OR(Q43="Fall",Q43="FTurn")),"P4",IF(AND(E44="C",OR(Q43="Jump",Q43="Jump&gt;",Q43="On1Foot",Q43="1F&gt;1F")),"C1",IF(AND(E44="C",OR(Q43="Run",Q43="BRun")),"C2",1))))))))))</f>
        <v>1</v>
      </c>
      <c r="DL43" s="102">
        <f t="shared" ref="DL43" si="1224">IF(AND(E44="A",OR(R43="Grip",R43="Conn",R43="Catch")),"A1",IF(AND(E44="A",OR(R43="Hula",R43="RetSq",R43="RetPa")),"A2",IF(AND(E44="B",OR(R43="Twirl",R43="RotF")),"B1",IF(AND(E44="B",OR(R43="Moon",R43="Mov",R43="Hold")),"B2",IF(AND(E44="P",OR(R43="Porp",R43="Spich")),"P1",IF(AND(E44="P",OR(R43="Diva",R43="Stand")),"P2",IF(AND(E44="P",OR(R43="Spider",R43="Climb")),"P3",IF(AND(E44="P",OR(R43="Fall",R43="FTurn")),"P4",IF(AND(E44="C",OR(R43="Jump",R43="Jump&gt;",R43="On1Foot",R43="1F&gt;1F")),"C1",IF(AND(E44="C",OR(R43="Run",R43="BRun")),"C2",2))))))))))</f>
        <v>2</v>
      </c>
      <c r="DM43" s="102" t="str">
        <f>IF(AND(LEFT(F43,4)="Acro",Q43&lt;&gt;"",OR(Q43=R43,DK43=DL43)),IF(R43="C-Roll","","X"),IF(OR(AND(E44="A",Q43="Catch",R43&lt;&gt;"Dbl"),AND(E44="A",R43="Catch",Q43&lt;&gt;"Dbl")),"X",""))</f>
        <v/>
      </c>
      <c r="DN43" s="102" t="str">
        <f>IF(E44="PA",J43,"")</f>
        <v/>
      </c>
      <c r="DO43" s="102">
        <v>25</v>
      </c>
      <c r="DQ43" s="102" t="str">
        <f>IF(AND($E44="A",COUNTIF($DZ$19:$EA$68,DZ43)&gt;1),DZ43,"")</f>
        <v/>
      </c>
      <c r="DR43" s="102" t="str">
        <f>IF(AND($E44="A",COUNTIF($DZ$19:$EA$68,EA43)&gt;1),EA43,"")</f>
        <v/>
      </c>
      <c r="DS43" s="102" t="str">
        <f ca="1">IF(AND($E44="B",COUNTIF($J$19:$J$68,J43)&gt;1),J43,"")</f>
        <v/>
      </c>
      <c r="DT43" s="102" t="str">
        <f ca="1">IF(AND($E44="B",COUNTIF($K$19:$K$68,K43)&gt;1),K43,"")</f>
        <v/>
      </c>
      <c r="DU43" s="102" t="str">
        <f ca="1">IF(AND($E44="C",COUNTIF($J$19:$J$68,J43)&gt;1),J43,"")</f>
        <v/>
      </c>
      <c r="DV43" s="102" t="str">
        <f ca="1">IF(AND($E44="P",COUNTIF($J$19:$J$68,J43)&gt;1),J43,"")</f>
        <v/>
      </c>
      <c r="DW43" s="102" t="str">
        <f ca="1">IF(AND($E44="P",COUNTIF($K$19:$K$68,K43)&gt;1),K43,"")</f>
        <v/>
      </c>
      <c r="DX43" s="102" t="str">
        <f>IF(AND($E44="P",COUNTIF($DZ$19:$EA$68,DZ43)&gt;1),DZ43,"")</f>
        <v/>
      </c>
      <c r="DY43" s="102" t="str">
        <f>IF(AND($E44="P",COUNTIF($DZ$19:$EA$68,EA43)&gt;1),EA43,"")</f>
        <v/>
      </c>
      <c r="DZ43" s="102" t="str">
        <f>IFERROR(IF(OR(E44="A",E44="P"),M43,""),"")</f>
        <v/>
      </c>
      <c r="EA43" s="102" t="str">
        <f>IFERROR(IF(OR(E44="A",E44="P"),RIGHT(N43,2),""),"")</f>
        <v/>
      </c>
      <c r="EB43" s="102" t="str">
        <f t="shared" ref="EB43" si="1225">IF(Q43="","",IF(AND($E44="P",COUNTIF($Q$19:$R$68,Q43)&gt;1),Q43,""))</f>
        <v/>
      </c>
      <c r="EC43" s="102" t="str">
        <f t="shared" ref="EC43" si="1226">IF(R43="","",IF(AND($E44="P",COUNTIF($Q$19:$R$68,R43)&gt;1),R43,""))</f>
        <v/>
      </c>
      <c r="ED43" s="102" t="str">
        <f t="shared" si="14"/>
        <v/>
      </c>
      <c r="EE43" s="102" t="str">
        <f t="shared" si="15"/>
        <v/>
      </c>
      <c r="EF43" s="102" t="str">
        <f>IF(AND($F$8="Open Team Acrobatic",LEFT(F43,4)="Acro"),E44,"")</f>
        <v/>
      </c>
      <c r="EG43" s="102" t="str">
        <f t="shared" ref="EG43" si="1227">IFERROR(IF(HLOOKUP(EF43,$DQ$12:$DT$13,2,FALSE)&gt;2,"X",""),"")</f>
        <v/>
      </c>
      <c r="EI43" s="102" t="str">
        <f t="shared" ref="EI43" si="1228">IF(OR(AND(F43="Hybrid - Thrust + 2 connections",EI44="T"),AND(E44="H",EI44&lt;&gt;"",EI97="X")),"X","")</f>
        <v/>
      </c>
      <c r="EK43" s="102">
        <f t="shared" ref="EK43" si="1229">IFERROR(IF(AND($E44="H",J43&lt;&gt;"",J43&lt;&gt;"ChoHY"),IF(OR(LEFT(J43,1)="T",LEFT(J43,1)="S",LEFT(J43,1)="A",LEFT(J43,1)="F",LEFT(J43,1)="C"),LEFT(J43,1),"R"),EK$18),"")</f>
        <v>1</v>
      </c>
      <c r="EL43" s="102">
        <f t="shared" ref="EL43:EZ43" si="1230">IFERROR(IF(AND($E44="H",K43&lt;&gt;""),IF(OR(LEFT(K43,1)="T",LEFT(K43,1)="S",LEFT(K43,1)="A",LEFT(K43,1)="F",LEFT(K43,1)="C"),LEFT(K43,1),"R"),EL$18),"")</f>
        <v>2</v>
      </c>
      <c r="EM43" s="102">
        <f t="shared" si="1230"/>
        <v>3</v>
      </c>
      <c r="EN43" s="102">
        <f t="shared" si="1230"/>
        <v>4</v>
      </c>
      <c r="EO43" s="102">
        <f t="shared" si="1230"/>
        <v>5</v>
      </c>
      <c r="EP43" s="102">
        <f t="shared" si="1230"/>
        <v>6</v>
      </c>
      <c r="EQ43" s="102">
        <f t="shared" si="1230"/>
        <v>7</v>
      </c>
      <c r="ER43" s="102">
        <f t="shared" si="1230"/>
        <v>8</v>
      </c>
      <c r="ES43" s="102">
        <f t="shared" si="1230"/>
        <v>9</v>
      </c>
      <c r="ET43" s="102">
        <f t="shared" si="1230"/>
        <v>10</v>
      </c>
      <c r="EU43" s="102">
        <f t="shared" si="1230"/>
        <v>11</v>
      </c>
      <c r="EV43" s="102">
        <f t="shared" si="1230"/>
        <v>12</v>
      </c>
      <c r="EW43" s="102">
        <f t="shared" si="1230"/>
        <v>13</v>
      </c>
      <c r="EX43" s="102">
        <f t="shared" si="1230"/>
        <v>14</v>
      </c>
      <c r="EY43" s="102">
        <f t="shared" si="1230"/>
        <v>15</v>
      </c>
      <c r="EZ43" s="102">
        <f t="shared" si="1230"/>
        <v>16</v>
      </c>
      <c r="FA43" s="102">
        <f t="shared" ref="FA43" si="1231">IFERROR(IF(AND($E44="H",Z43&lt;&gt;""),IF(OR(LEFT(Z43,1)="T",LEFT(Z43,1)="S",LEFT(Z43,1)="A",LEFT(Z43,1)="F",LEFT(Z43,1)="C"),LEFT(Z43,1),"R"),FA$18),"")</f>
        <v>17</v>
      </c>
      <c r="FB43" s="102">
        <f t="shared" ref="FB43" si="1232">IFERROR(IF(AND($E44="H",AA43&lt;&gt;""),IF(OR(LEFT(AA43,1)="T",LEFT(AA43,1)="S",LEFT(AA43,1)="A",LEFT(AA43,1)="F",LEFT(AA43,1)="C"),LEFT(AA43,1),"R"),FB$18),"")</f>
        <v>18</v>
      </c>
      <c r="FC43" s="102">
        <f t="shared" ref="FC43" si="1233">IFERROR(IF(AND($E44="H",AB43&lt;&gt;""),IF(OR(LEFT(AB43,1)="T",LEFT(AB43,1)="S",LEFT(AB43,1)="A",LEFT(AB43,1)="F",LEFT(AB43,1)="C"),LEFT(AB43,1),"R"),FC$18),"")</f>
        <v>19</v>
      </c>
      <c r="FD43" s="102">
        <f t="shared" ref="FD43" si="1234">IFERROR(IF(AND($E44="H",AC43&lt;&gt;""),IF(OR(LEFT(AC43,1)="T",LEFT(AC43,1)="S",LEFT(AC43,1)="A",LEFT(AC43,1)="F",LEFT(AC43,1)="C"),LEFT(AC43,1),"R"),FD$18),"")</f>
        <v>20</v>
      </c>
      <c r="FE43" s="102">
        <f t="shared" ref="FE43" si="1235">IFERROR(IF(AND($E44="H",AD43&lt;&gt;""),IF(OR(LEFT(AD43,1)="T",LEFT(AD43,1)="S",LEFT(AD43,1)="A",LEFT(AD43,1)="F",LEFT(AD43,1)="C"),LEFT(AD43,1),"R"),FE$18),"")</f>
        <v>21</v>
      </c>
      <c r="FF43" s="102">
        <f t="shared" ref="FF43" si="1236">IFERROR(IF(AND($E44="H",AE43&lt;&gt;""),IF(OR(LEFT(AE43,1)="T",LEFT(AE43,1)="S",LEFT(AE43,1)="A",LEFT(AE43,1)="F",LEFT(AE43,1)="C"),LEFT(AE43,1),"R"),FF$18),"")</f>
        <v>22</v>
      </c>
      <c r="FG43" s="102">
        <f t="shared" ref="FG43" si="1237">IFERROR(IF(AND($E44="H",AF43&lt;&gt;""),IF(OR(LEFT(AF43,1)="T",LEFT(AF43,1)="S",LEFT(AF43,1)="A",LEFT(AF43,1)="F",LEFT(AF43,1)="C"),LEFT(AF43,1),"R"),FG$18),"")</f>
        <v>23</v>
      </c>
      <c r="FH43" s="102">
        <f t="shared" ref="FH43" si="1238">IFERROR(IF(AND($E44="H",AG43&lt;&gt;""),IF(OR(LEFT(AG43,1)="T",LEFT(AG43,1)="S",LEFT(AG43,1)="A",LEFT(AG43,1)="F",LEFT(AG43,1)="C"),LEFT(AG43,1),"R"),FH$18),"")</f>
        <v>24</v>
      </c>
      <c r="FI43" s="102">
        <f t="shared" ref="FI43" si="1239">IFERROR(IF(AND($E44="H",AH43&lt;&gt;""),IF(OR(LEFT(AH43,1)="T",LEFT(AH43,1)="S",LEFT(AH43,1)="A",LEFT(AH43,1)="F",LEFT(AH43,1)="C"),LEFT(AH43,1),"R"),FI$18),"")</f>
        <v>25</v>
      </c>
      <c r="FJ43" s="102">
        <f t="shared" ref="FJ43" si="1240">IFERROR(IF(AND($E44="H",AI43&lt;&gt;""),IF(OR(LEFT(AI43,1)="T",LEFT(AI43,1)="S",LEFT(AI43,1)="A",LEFT(AI43,1)="F",LEFT(AI43,1)="C"),LEFT(AI43,1),"R"),FJ$18),"")</f>
        <v>26</v>
      </c>
      <c r="FK43" s="102">
        <f t="shared" ref="FK43" si="1241">IFERROR(IF(AND($E44="H",AJ43&lt;&gt;""),IF(OR(LEFT(AJ43,1)="T",LEFT(AJ43,1)="S",LEFT(AJ43,1)="A",LEFT(AJ43,1)="F",LEFT(AJ43,1)="C"),LEFT(AJ43,1),"R"),FK$18),"")</f>
        <v>27</v>
      </c>
      <c r="FL43" s="102">
        <f t="shared" ref="FL43" si="1242">IFERROR(IF(AND($E44="H",AK43&lt;&gt;""),IF(OR(LEFT(AK43,1)="T",LEFT(AK43,1)="S",LEFT(AK43,1)="A",LEFT(AK43,1)="F",LEFT(AK43,1)="C"),LEFT(AK43,1),"R"),FL$18),"")</f>
        <v>28</v>
      </c>
      <c r="FM43" s="102">
        <f t="shared" ref="FM43" si="1243">IFERROR(IF(AND($E44="H",AL43&lt;&gt;""),IF(OR(LEFT(AL43,1)="T",LEFT(AL43,1)="S",LEFT(AL43,1)="A",LEFT(AL43,1)="F",LEFT(AL43,1)="C"),LEFT(AL43,1),"R"),FM$18),"")</f>
        <v>29</v>
      </c>
      <c r="FN43" s="102">
        <f t="shared" ref="FN43" si="1244">IFERROR(IF(AND($E44="H",AM43&lt;&gt;""),IF(OR(LEFT(AM43,1)="T",LEFT(AM43,1)="S",LEFT(AM43,1)="A",LEFT(AM43,1)="F",LEFT(AM43,1)="C"),LEFT(AM43,1),"R"),FN$18),"")</f>
        <v>30</v>
      </c>
      <c r="FO43" s="102"/>
      <c r="FP43" s="102"/>
      <c r="FQ43" s="102"/>
      <c r="FR43" s="282"/>
      <c r="FS43" s="282"/>
      <c r="FT43" s="282"/>
      <c r="FU43" s="282"/>
      <c r="FV43" s="282"/>
      <c r="FW43" s="282"/>
      <c r="FX43" s="282"/>
      <c r="FY43" s="282"/>
      <c r="FZ43" s="282"/>
      <c r="GA43" s="282"/>
      <c r="GB43" s="282"/>
      <c r="GC43" s="282"/>
      <c r="GD43" s="282"/>
      <c r="GE43" s="282"/>
      <c r="GF43" s="282"/>
      <c r="GG43" s="282"/>
      <c r="GH43" s="282"/>
      <c r="GI43" s="282"/>
      <c r="GJ43" s="282"/>
      <c r="GK43" s="282"/>
      <c r="GL43" s="282"/>
      <c r="GM43" s="282"/>
      <c r="GN43" s="282"/>
      <c r="GO43" s="282"/>
      <c r="GP43" s="282"/>
      <c r="GQ43" s="282"/>
      <c r="GR43" s="282"/>
      <c r="GS43" s="282"/>
      <c r="GT43" s="282"/>
      <c r="GU43" s="282"/>
      <c r="GV43" s="102"/>
      <c r="GW43" s="102">
        <f t="shared" ref="GW43" si="1245">COUNTIF($EK43:$FN43,GW$18)</f>
        <v>0</v>
      </c>
      <c r="GX43" s="102">
        <f t="shared" si="825"/>
        <v>0</v>
      </c>
      <c r="GY43" s="102">
        <f t="shared" si="825"/>
        <v>0</v>
      </c>
      <c r="GZ43" s="102">
        <f t="shared" si="825"/>
        <v>0</v>
      </c>
      <c r="HA43" s="102">
        <f t="shared" si="825"/>
        <v>0</v>
      </c>
      <c r="HB43" s="102">
        <f t="shared" si="825"/>
        <v>0</v>
      </c>
      <c r="HC43" s="102"/>
      <c r="HD43" s="102" t="str">
        <f t="shared" ref="HD43" si="1246">IF(AND($F43="Hybrid - Thrust + 2 connections",HD44=0,LEFT($J43,1)="C",LEFT($K43,1)="C",LEFT($L43,1)="C"),"X","")</f>
        <v/>
      </c>
      <c r="HE43" s="102"/>
      <c r="HF43" s="105"/>
      <c r="HG43" s="114"/>
      <c r="HH43" s="114"/>
      <c r="HI43" s="105" t="str">
        <f t="shared" ref="HI43" si="1247">IF(E44=3,IF(_xlfn.NUMBERVALUE(LEFT(J43,1))&gt;0,_xlfn.NUMBERVALUE(LEFT(J43,1)),""),"")</f>
        <v/>
      </c>
      <c r="HK43" s="105" t="str">
        <f t="shared" ref="HK43" si="1248">IF(OR(E44="B",E44="P"),E44,"")</f>
        <v/>
      </c>
      <c r="HL43" s="105" t="str">
        <f>IF(AND(J43&lt;&gt;"",HK43&lt;&gt;""),IF(HK43="B",MATCH(J43,AcroDD!$U$3:$AE$3,0),MATCH(J43,AcroDD!$U$30:$AC$30,0)),"")</f>
        <v/>
      </c>
      <c r="HM43" s="105" t="str">
        <f t="shared" ref="HM43" si="1249">IF(AND(K43&lt;&gt;"",HK43&lt;&gt;""),K43,"")</f>
        <v/>
      </c>
      <c r="HN43" s="105" t="str">
        <f ca="1">IF(AND(OR(HK43="B",HK43="P"),HL43&lt;&gt;"",HM43&lt;&gt;""),IF(IFERROR(IF(HK43="B",MATCH(HM43,OFFSET(AcroDD!$T$4,0,HL43,20),0),MATCH(HM43,OFFSET(AcroDD!$T$31,0,HL43,20),0)),"")&lt;&gt;"","OK","X"),"")</f>
        <v/>
      </c>
    </row>
    <row r="44" spans="1:222" x14ac:dyDescent="0.25">
      <c r="A44" s="39"/>
      <c r="B44" s="40"/>
      <c r="C44" s="40"/>
      <c r="D44" s="40"/>
      <c r="E44" s="20" t="str">
        <f t="shared" ref="E44" si="1250">IF(F43="Acrobatic - Pair","PA",IF(F43="Acrobatic Airborn","A",IF(F43="Acrobatic Balance","B",IF(F43="Acrobatic Combined","C",IF(F43="Acrobatic Platform","P",IF(F43="Technical Required Element",3,IF(LEFT(F43,4)="Hybr","H","")))))))</f>
        <v/>
      </c>
      <c r="F44" s="20" t="str">
        <f>IF(AND(F43="Hybrid - Thrust + 2 connections",CR43="X"),"Hybrid - Thrust",IF(OR(E44="A",E44="B",E44="C",E44="P"),"Acrobatic",""))</f>
        <v/>
      </c>
      <c r="G44" s="42"/>
      <c r="H44" s="207" t="str">
        <f t="shared" ref="H44" si="1251">IF(E44="PA",IF(OR(LEFT(J43,1)="L",LEFT(J43,1)="S"),"A-Pair-Lift",IF(OR(LEFT(J43,1)="W",LEFT(J43,1)="T"),"A-Pair-Throw",IF(LEFT(J43,1)="J","A-Pair-Jump","A-Pair"))),IF(OR(E44="A",E44="B",E44="C",E44="P"),CONCATENATE("Acro-",E44),""))</f>
        <v/>
      </c>
      <c r="I44" s="201" t="e">
        <f t="shared" ref="I44" si="1252">IF(OR(F43="Hybrid - min 4 swimmers (no DD)",LEFT(F43,5)="Trans"),0,INDEX($BY$3:$BY$9,MATCH(E44,$BX$3:$BX$9,0)))</f>
        <v>#N/A</v>
      </c>
      <c r="J44" s="196">
        <f ca="1">IFERROR(IF($H43="No DD",IF(J43="ChoHY",1,0),IF(OR(ISBLANK(J43),J43="N/A"),0,INDEX(INDIRECT(BI44),MATCH(J43,INDIRECT(BI43),0)))),0)</f>
        <v>0</v>
      </c>
      <c r="K44" s="196">
        <f t="shared" ref="K44:Y44" ca="1" si="1253">IFERROR(IF($H43="No DD",0,IF(OR(ISBLANK(K43),K43="N/A"),0,INDEX(INDIRECT(BJ44),MATCH(K43,INDIRECT(BJ43),0)))),0)</f>
        <v>0</v>
      </c>
      <c r="L44" s="196">
        <f t="shared" ca="1" si="1253"/>
        <v>0</v>
      </c>
      <c r="M44" s="196">
        <f t="shared" ca="1" si="1253"/>
        <v>0</v>
      </c>
      <c r="N44" s="196">
        <f t="shared" ca="1" si="1253"/>
        <v>0</v>
      </c>
      <c r="O44" s="196">
        <f t="shared" ca="1" si="1253"/>
        <v>0</v>
      </c>
      <c r="P44" s="196">
        <f t="shared" ca="1" si="1253"/>
        <v>0</v>
      </c>
      <c r="Q44" s="196">
        <f t="shared" ca="1" si="1253"/>
        <v>0</v>
      </c>
      <c r="R44" s="196">
        <f t="shared" ca="1" si="1253"/>
        <v>0</v>
      </c>
      <c r="S44" s="196">
        <f t="shared" ca="1" si="1253"/>
        <v>0</v>
      </c>
      <c r="T44" s="196">
        <f t="shared" ca="1" si="1253"/>
        <v>0</v>
      </c>
      <c r="U44" s="196">
        <f t="shared" ca="1" si="1253"/>
        <v>0</v>
      </c>
      <c r="V44" s="196">
        <f t="shared" ca="1" si="1253"/>
        <v>0</v>
      </c>
      <c r="W44" s="196">
        <f t="shared" ca="1" si="1253"/>
        <v>0</v>
      </c>
      <c r="X44" s="196">
        <f t="shared" ca="1" si="1253"/>
        <v>0</v>
      </c>
      <c r="Y44" s="196">
        <f t="shared" ca="1" si="1253"/>
        <v>0</v>
      </c>
      <c r="Z44" s="196">
        <f t="shared" ref="Z44" ca="1" si="1254">IFERROR(IF($H43="No DD",0,IF(OR(ISBLANK(Z43),Z43="N/A"),0,INDEX(INDIRECT(BY44),MATCH(Z43,INDIRECT(BY43),0)))),0)</f>
        <v>0</v>
      </c>
      <c r="AA44" s="196">
        <f t="shared" ref="AA44" ca="1" si="1255">IFERROR(IF($H43="No DD",0,IF(OR(ISBLANK(AA43),AA43="N/A"),0,INDEX(INDIRECT(BZ44),MATCH(AA43,INDIRECT(BZ43),0)))),0)</f>
        <v>0</v>
      </c>
      <c r="AB44" s="196">
        <f t="shared" ref="AB44" ca="1" si="1256">IFERROR(IF($H43="No DD",0,IF(OR(ISBLANK(AB43),AB43="N/A"),0,INDEX(INDIRECT(CA44),MATCH(AB43,INDIRECT(CA43),0)))),0)</f>
        <v>0</v>
      </c>
      <c r="AC44" s="196">
        <f t="shared" ref="AC44" ca="1" si="1257">IFERROR(IF($H43="No DD",0,IF(OR(ISBLANK(AC43),AC43="N/A"),0,INDEX(INDIRECT(CB44),MATCH(AC43,INDIRECT(CB43),0)))),0)</f>
        <v>0</v>
      </c>
      <c r="AD44" s="196">
        <f t="shared" ref="AD44" ca="1" si="1258">IFERROR(IF($H43="No DD",0,IF(OR(ISBLANK(AD43),AD43="N/A"),0,INDEX(INDIRECT(CC44),MATCH(AD43,INDIRECT(CC43),0)))),0)</f>
        <v>0</v>
      </c>
      <c r="AE44" s="196">
        <f t="shared" ref="AE44" ca="1" si="1259">IFERROR(IF($H43="No DD",0,IF(OR(ISBLANK(AE43),AE43="N/A"),0,INDEX(INDIRECT(CD44),MATCH(AE43,INDIRECT(CD43),0)))),0)</f>
        <v>0</v>
      </c>
      <c r="AF44" s="196">
        <f t="shared" ref="AF44" ca="1" si="1260">IFERROR(IF($H43="No DD",0,IF(OR(ISBLANK(AF43),AF43="N/A"),0,INDEX(INDIRECT(CE44),MATCH(AF43,INDIRECT(CE43),0)))),0)</f>
        <v>0</v>
      </c>
      <c r="AG44" s="196">
        <f t="shared" ref="AG44" ca="1" si="1261">IFERROR(IF($H43="No DD",0,IF(OR(ISBLANK(AG43),AG43="N/A"),0,INDEX(INDIRECT(CF44),MATCH(AG43,INDIRECT(CF43),0)))),0)</f>
        <v>0</v>
      </c>
      <c r="AH44" s="196">
        <f t="shared" ref="AH44" ca="1" si="1262">IFERROR(IF($H43="No DD",0,IF(OR(ISBLANK(AH43),AH43="N/A"),0,INDEX(INDIRECT(CG44),MATCH(AH43,INDIRECT(CG43),0)))),0)</f>
        <v>0</v>
      </c>
      <c r="AI44" s="196">
        <f t="shared" ref="AI44" ca="1" si="1263">IFERROR(IF($H43="No DD",0,IF(OR(ISBLANK(AI43),AI43="N/A"),0,INDEX(INDIRECT(CH44),MATCH(AI43,INDIRECT(CH43),0)))),0)</f>
        <v>0</v>
      </c>
      <c r="AJ44" s="196">
        <f t="shared" ref="AJ44" ca="1" si="1264">IFERROR(IF($H43="No DD",0,IF(OR(ISBLANK(AJ43),AJ43="N/A"),0,INDEX(INDIRECT(CI44),MATCH(AJ43,INDIRECT(CI43),0)))),0)</f>
        <v>0</v>
      </c>
      <c r="AK44" s="196">
        <f t="shared" ref="AK44" ca="1" si="1265">IFERROR(IF($H43="No DD",0,IF(OR(ISBLANK(AK43),AK43="N/A"),0,INDEX(INDIRECT(CJ44),MATCH(AK43,INDIRECT(CJ43),0)))),0)</f>
        <v>0</v>
      </c>
      <c r="AL44" s="196">
        <f t="shared" ref="AL44" ca="1" si="1266">IFERROR(IF($H43="No DD",0,IF(OR(ISBLANK(AL43),AL43="N/A"),0,INDEX(INDIRECT(CK44),MATCH(AL43,INDIRECT(CK43),0)))),0)</f>
        <v>0</v>
      </c>
      <c r="AM44" s="196">
        <f t="shared" ref="AM44" ca="1" si="1267">IFERROR(IF($H43="No DD",0,IF(OR(ISBLANK(AM43),AM43="N/A"),0,INDEX(INDIRECT(CL44),MATCH(AM43,INDIRECT(CL43),0)))),0)</f>
        <v>0</v>
      </c>
      <c r="AN44" s="197" t="str">
        <f>IFERROR(IF(E44="H",INDEX(HybridBonus_Value,MATCH(AN43,HybridBonus_Code,0)),""),"")</f>
        <v/>
      </c>
      <c r="AO44" s="195" t="str">
        <f t="shared" ref="AO44" si="1268">IFERROR(SUM(I44:AN44),"")</f>
        <v/>
      </c>
      <c r="AP44" s="75"/>
      <c r="AQ44" s="75"/>
      <c r="AR44" s="115"/>
      <c r="AS44" s="115"/>
      <c r="AT44" s="115"/>
      <c r="AU44" s="115"/>
      <c r="AV44" s="115"/>
      <c r="BA44" s="104"/>
      <c r="BB44" s="115"/>
      <c r="BC44" s="115"/>
      <c r="BD44" s="115"/>
      <c r="BE44" s="115"/>
      <c r="BF44" s="115"/>
      <c r="BG44" s="104"/>
      <c r="BH44" s="115"/>
      <c r="BI44" s="105" t="str">
        <f t="shared" ref="BI44" si="1269">IF($E44="H",IF($F43="Hybrid - Thrust + 2 connections","Hybrid_Mix_Req_Value","HybridDD_Value"),IF($E44=3,"TreDD_Value",IF($E44="PA","AcroPair_Value",IF(LEFT($F43,4)="Acro",CONCATENATE(BI$16,$E44,"_Value"),""))))</f>
        <v/>
      </c>
      <c r="BJ44" s="105" t="str">
        <f t="shared" ref="BJ44" si="1270">IF($E44="H",IF($F43="Hybrid - Thrust + 2 connections","Hybrid_Mix_Req_Value","HybridDD_Value"),IF($E44=3,"TreDD_Value",IF($E44="PA","AcroPair_Value",IF(LEFT($F43,4)="Acro",CONCATENATE(BJ$16,$E44,"_Value"),""))))</f>
        <v/>
      </c>
      <c r="BK44" s="105" t="str">
        <f t="shared" ref="BK44" si="1271">IF($E44="H",IF($F43="Hybrid - Thrust + 2 connections","Hybrid_Mix_Req_Value","HybridDD_Value"),IF($E44=3,"TreDD_Value",IF($E44="PA","AcroPair_Value",IF(LEFT($F43,4)="Acro",CONCATENATE(BK$16,$E44,"_Value"),""))))</f>
        <v/>
      </c>
      <c r="BL44" s="105" t="str">
        <f t="shared" ref="BL44" si="1272">IF($E44="H",IF($F43="Hybrid - Thrust + 2 connections","Hybrid_Mix_Req_Value","HybridDD_Value"),IF($E44=3,"TreDD_Value",IF($E44="PA","AcroPair_Value",IF(LEFT($F43,4)="Acro",CONCATENATE(BL$16,$E44,"_Value"),""))))</f>
        <v/>
      </c>
      <c r="BM44" s="105" t="str">
        <f t="shared" ref="BM44" si="1273">IF($E44="H",IF($F43="Hybrid - Thrust + 2 connections","Hybrid_Mix_Req_Value","HybridDD_Value"),IF($E44=3,"TreDD_Value",IF($E44="PA","AcroPair_Value",IF(LEFT($F43,4)="Acro",CONCATENATE(BM$16,$E44,"_Value"),""))))</f>
        <v/>
      </c>
      <c r="BN44" s="105" t="str">
        <f t="shared" ref="BN44" si="1274">IF($E44="H",IF($F43="Hybrid - Thrust + 2 connections","Hybrid_Mix_Req_Value","HybridDD_Value"),IF($E44=3,"TreDD_Value",IF($E44="PA","AcroPair_Value",IF(LEFT($F43,4)="Acro",CONCATENATE(BN$16,$E44,"_Value"),""))))</f>
        <v/>
      </c>
      <c r="BO44" s="105" t="str">
        <f t="shared" ref="BO44" si="1275">IF($E44="H",IF($F43="Hybrid - Thrust + 2 connections","Hybrid_Mix_Req_Value","HybridDD_Value"),IF($E44=3,"TreDD_Value",IF($E44="PA","AcroPair_Value",IF(LEFT($F43,4)="Acro",CONCATENATE(BO$16,$E44,"_Value"),""))))</f>
        <v/>
      </c>
      <c r="BP44" s="105" t="str">
        <f t="shared" ref="BP44" si="1276">IF($E44="H",IF($F43="Hybrid - Thrust + 2 connections","Hybrid_Mix_Req_Value","HybridDD_Value"),IF($E44=3,"TreDD_Value",IF($E44="PA","AcroPair_Value",IF(LEFT($F43,4)="Acro",CONCATENATE(BP$16,$E44,"_Value"),""))))</f>
        <v/>
      </c>
      <c r="BQ44" s="105" t="str">
        <f t="shared" ref="BQ44" si="1277">IF($E44="H",IF($F43="Hybrid - Thrust + 2 connections","Hybrid_Mix_Req_Value","HybridDD_Value"),IF($E44=3,"TreDD_Value",IF($E44="PA","AcroPair_Value",IF(LEFT($F43,4)="Acro",CONCATENATE(BQ$16,$E44,"_Value"),""))))</f>
        <v/>
      </c>
      <c r="BR44" s="104" t="str">
        <f t="shared" ref="BR44" si="1278">IF($E44="H",IF($F43="Hybrid - Thrust + 2 connections","Data!$BI$1:$BI$5","HybridDD_Value"),"Data!$BI$1:$BI$5")</f>
        <v>Data!$BI$1:$BI$5</v>
      </c>
      <c r="BS44" s="104" t="str">
        <f t="shared" ref="BS44" si="1279">IF($E44="H",IF($F43="Hybrid - Thrust + 2 connections","Data!$BI$1:$BI$5","HybridDD_Value"),"Data!$BI$1:$BI$5")</f>
        <v>Data!$BI$1:$BI$5</v>
      </c>
      <c r="BT44" s="104" t="str">
        <f t="shared" ref="BT44" si="1280">IF($E44="H",IF($F43="Hybrid - Thrust + 2 connections","Data!$BI$1:$BI$5","HybridDD_Value"),"Data!$BI$1:$BI$5")</f>
        <v>Data!$BI$1:$BI$5</v>
      </c>
      <c r="BU44" s="104" t="str">
        <f t="shared" ref="BU44" si="1281">IF($E44="H",IF($F43="Hybrid - Thrust + 2 connections","Data!$BI$1:$BI$5","HybridDD_Value"),"Data!$BI$1:$BI$5")</f>
        <v>Data!$BI$1:$BI$5</v>
      </c>
      <c r="BV44" s="104" t="str">
        <f t="shared" ref="BV44" si="1282">IF($E44="H",IF($F43="Hybrid - Thrust + 2 connections","Data!$BI$1:$BI$5","HybridDD_Value"),"Data!$BI$1:$BI$5")</f>
        <v>Data!$BI$1:$BI$5</v>
      </c>
      <c r="BW44" s="104" t="str">
        <f t="shared" ref="BW44" si="1283">IF($E44="H",IF($F43="Hybrid - Thrust + 2 connections","Data!$BI$1:$BI$5","HybridDD_Value"),"Data!$BI$1:$BI$5")</f>
        <v>Data!$BI$1:$BI$5</v>
      </c>
      <c r="BX44" s="104" t="str">
        <f t="shared" ref="BX44" si="1284">IF($E44="H",IF($F43="Hybrid - Thrust + 2 connections","Data!$BI$1:$BI$5","HybridDD_Value"),"Data!$BI$1:$BI$5")</f>
        <v>Data!$BI$1:$BI$5</v>
      </c>
      <c r="BY44" s="104" t="str">
        <f t="shared" ref="BY44" si="1285">IF($E44="H",IF($F43="Hybrid - Thrust + 2 connections","Data!$BI$1:$BI$5","HybridDD_Value"),"Data!$BI$1:$BI$5")</f>
        <v>Data!$BI$1:$BI$5</v>
      </c>
      <c r="BZ44" s="104" t="str">
        <f t="shared" ref="BZ44" si="1286">IF($E44="H",IF($F43="Hybrid - Thrust + 2 connections","Data!$BI$1:$BI$5","HybridDD_Value"),"Data!$BI$1:$BI$5")</f>
        <v>Data!$BI$1:$BI$5</v>
      </c>
      <c r="CA44" s="104" t="str">
        <f t="shared" ref="CA44" si="1287">IF($E44="H",IF($F43="Hybrid - Thrust + 2 connections","Data!$BI$1:$BI$5","HybridDD_Value"),"Data!$BI$1:$BI$5")</f>
        <v>Data!$BI$1:$BI$5</v>
      </c>
      <c r="CB44" s="104" t="str">
        <f t="shared" ref="CB44" si="1288">IF($E44="H",IF($F43="Hybrid - Thrust + 2 connections","Data!$BI$1:$BI$5","HybridDD_Value"),"Data!$BI$1:$BI$5")</f>
        <v>Data!$BI$1:$BI$5</v>
      </c>
      <c r="CC44" s="104" t="str">
        <f t="shared" ref="CC44" si="1289">IF($E44="H",IF($F43="Hybrid - Thrust + 2 connections","Data!$BI$1:$BI$5","HybridDD_Value"),"Data!$BI$1:$BI$5")</f>
        <v>Data!$BI$1:$BI$5</v>
      </c>
      <c r="CD44" s="104" t="str">
        <f t="shared" ref="CD44" si="1290">IF($E44="H",IF($F43="Hybrid - Thrust + 2 connections","Data!$BI$1:$BI$5","HybridDD_Value"),"Data!$BI$1:$BI$5")</f>
        <v>Data!$BI$1:$BI$5</v>
      </c>
      <c r="CE44" s="104" t="str">
        <f t="shared" ref="CE44" si="1291">IF($E44="H",IF($F43="Hybrid - Thrust + 2 connections","Data!$BI$1:$BI$5","HybridDD_Value"),"Data!$BI$1:$BI$5")</f>
        <v>Data!$BI$1:$BI$5</v>
      </c>
      <c r="CF44" s="104" t="str">
        <f t="shared" ref="CF44" si="1292">IF($E44="H",IF($F43="Hybrid - Thrust + 2 connections","Data!$BI$1:$BI$5","HybridDD_Value"),"Data!$BI$1:$BI$5")</f>
        <v>Data!$BI$1:$BI$5</v>
      </c>
      <c r="CG44" s="104" t="str">
        <f t="shared" ref="CG44" si="1293">IF($E44="H",IF($F43="Hybrid - Thrust + 2 connections","Data!$BI$1:$BI$5","HybridDD_Value"),"Data!$BI$1:$BI$5")</f>
        <v>Data!$BI$1:$BI$5</v>
      </c>
      <c r="CH44" s="104" t="str">
        <f t="shared" ref="CH44" si="1294">IF($E44="H",IF($F43="Hybrid - Thrust + 2 connections","Data!$BI$1:$BI$5","HybridDD_Value"),"Data!$BI$1:$BI$5")</f>
        <v>Data!$BI$1:$BI$5</v>
      </c>
      <c r="CI44" s="104" t="str">
        <f t="shared" ref="CI44" si="1295">IF($E44="H",IF($F43="Hybrid - Thrust + 2 connections","Data!$BI$1:$BI$5","HybridDD_Value"),"Data!$BI$1:$BI$5")</f>
        <v>Data!$BI$1:$BI$5</v>
      </c>
      <c r="CJ44" s="104" t="str">
        <f t="shared" ref="CJ44" si="1296">IF($E44="H",IF($F43="Hybrid - Thrust + 2 connections","Data!$BI$1:$BI$5","HybridDD_Value"),"Data!$BI$1:$BI$5")</f>
        <v>Data!$BI$1:$BI$5</v>
      </c>
      <c r="CK44" s="104" t="str">
        <f t="shared" ref="CK44" si="1297">IF($E44="H",IF($F43="Hybrid - Thrust + 2 connections","Data!$BI$1:$BI$5","HybridDD_Value"),"Data!$BI$1:$BI$5")</f>
        <v>Data!$BI$1:$BI$5</v>
      </c>
      <c r="CL44" s="104" t="str">
        <f t="shared" ref="CL44" si="1298">IF($E44="H",IF($F43="Hybrid - Thrust + 2 connections","Data!$BI$1:$BI$5","HybridDD_Value"),"Data!$BI$1:$BI$5")</f>
        <v>Data!$BI$1:$BI$5</v>
      </c>
      <c r="CM44" s="115"/>
      <c r="CN44" s="115"/>
      <c r="CO44" s="116" t="str">
        <f>IFERROR(IF(AND($BV$6="T",$BV$8="T",LEFT(F43,4)="Acro",AO44&gt;3),"X",IF($N$7="X",IF(AND(E44="C",AO44&gt;$CN$6),"X",IF(AND(E44="A",AO44&gt;$CN$4),"X",IF(AND(E44="B",AO44&gt;$CN$5),"X",IF(AND(E44="P",AO44&gt;$CN$7),"X","")))),"")),"")</f>
        <v/>
      </c>
      <c r="CP44" s="108"/>
      <c r="CQ44" s="105"/>
      <c r="CS44" s="105"/>
      <c r="CT44" s="105"/>
      <c r="CU44" s="105"/>
      <c r="CV44" s="105"/>
      <c r="CW44" s="105"/>
      <c r="CX44" s="105"/>
      <c r="CY44" s="105"/>
      <c r="CZ44" s="105"/>
      <c r="DD44" s="102" t="str">
        <f t="shared" si="10"/>
        <v/>
      </c>
      <c r="DE44" s="102" t="str">
        <f t="shared" si="11"/>
        <v/>
      </c>
      <c r="DF44" s="102" t="str">
        <f t="shared" si="12"/>
        <v/>
      </c>
      <c r="DG44" s="102" t="str">
        <f t="shared" si="13"/>
        <v/>
      </c>
      <c r="DO44" s="102">
        <v>26</v>
      </c>
      <c r="ED44" s="102" t="str">
        <f t="shared" si="14"/>
        <v/>
      </c>
      <c r="EE44" s="102" t="str">
        <f t="shared" si="15"/>
        <v/>
      </c>
      <c r="EI44" s="102" t="str" cm="1">
        <f t="array" ref="EI44">IFERROR(INDEX(EK44:FN44,MATCH(TRUE,INDEX((EK44:FN44&lt;&gt;""),),0)),"")</f>
        <v/>
      </c>
      <c r="EK44" s="102" t="str">
        <f t="shared" si="879"/>
        <v/>
      </c>
      <c r="EL44" s="102" t="str">
        <f t="shared" ref="EL44:EZ44" si="1299">IF(G43="Hybrid - Thrust + 2 connections",IF(COUNTIF($EK43:$FD43,EL43)&gt;1,EL43,""),IF(COUNTIF($EK43:$FD43,EL43)&gt;5,EL43,""))</f>
        <v/>
      </c>
      <c r="EM44" s="102" t="str">
        <f t="shared" si="1299"/>
        <v/>
      </c>
      <c r="EN44" s="102" t="str">
        <f t="shared" si="1299"/>
        <v/>
      </c>
      <c r="EO44" s="102" t="str">
        <f t="shared" si="1299"/>
        <v/>
      </c>
      <c r="EP44" s="102" t="str">
        <f t="shared" si="1299"/>
        <v/>
      </c>
      <c r="EQ44" s="102" t="str">
        <f t="shared" si="1299"/>
        <v/>
      </c>
      <c r="ER44" s="102" t="str">
        <f t="shared" si="1299"/>
        <v/>
      </c>
      <c r="ES44" s="102" t="str">
        <f t="shared" si="1299"/>
        <v/>
      </c>
      <c r="ET44" s="102" t="str">
        <f t="shared" si="1299"/>
        <v/>
      </c>
      <c r="EU44" s="102" t="str">
        <f t="shared" si="1299"/>
        <v/>
      </c>
      <c r="EV44" s="102" t="str">
        <f t="shared" si="1299"/>
        <v/>
      </c>
      <c r="EW44" s="102" t="str">
        <f t="shared" si="1299"/>
        <v/>
      </c>
      <c r="EX44" s="102" t="str">
        <f t="shared" si="1299"/>
        <v/>
      </c>
      <c r="EY44" s="102" t="str">
        <f t="shared" si="1299"/>
        <v/>
      </c>
      <c r="EZ44" s="102" t="str">
        <f t="shared" si="1299"/>
        <v/>
      </c>
      <c r="FA44" s="102" t="str">
        <f t="shared" ref="FA44" si="1300">IF(V43="Hybrid - Thrust + 2 connections",IF(COUNTIF($EK43:$FD43,FA43)&gt;1,FA43,""),IF(COUNTIF($EK43:$FD43,FA43)&gt;5,FA43,""))</f>
        <v/>
      </c>
      <c r="FB44" s="102" t="str">
        <f t="shared" ref="FB44" si="1301">IF(W43="Hybrid - Thrust + 2 connections",IF(COUNTIF($EK43:$FD43,FB43)&gt;1,FB43,""),IF(COUNTIF($EK43:$FD43,FB43)&gt;5,FB43,""))</f>
        <v/>
      </c>
      <c r="FC44" s="102" t="str">
        <f t="shared" ref="FC44" si="1302">IF(X43="Hybrid - Thrust + 2 connections",IF(COUNTIF($EK43:$FD43,FC43)&gt;1,FC43,""),IF(COUNTIF($EK43:$FD43,FC43)&gt;5,FC43,""))</f>
        <v/>
      </c>
      <c r="FD44" s="102" t="str">
        <f t="shared" ref="FD44" si="1303">IF(Y43="Hybrid - Thrust + 2 connections",IF(COUNTIF($EK43:$FD43,FD43)&gt;1,FD43,""),IF(COUNTIF($EK43:$FD43,FD43)&gt;5,FD43,""))</f>
        <v/>
      </c>
      <c r="FE44" s="102" t="str">
        <f t="shared" ref="FE44" si="1304">IF(Z43="Hybrid - Thrust + 2 connections",IF(COUNTIF($EK43:$FD43,FE43)&gt;1,FE43,""),IF(COUNTIF($EK43:$FD43,FE43)&gt;5,FE43,""))</f>
        <v/>
      </c>
      <c r="FF44" s="102" t="str">
        <f t="shared" ref="FF44" si="1305">IF(AA43="Hybrid - Thrust + 2 connections",IF(COUNTIF($EK43:$FD43,FF43)&gt;1,FF43,""),IF(COUNTIF($EK43:$FD43,FF43)&gt;5,FF43,""))</f>
        <v/>
      </c>
      <c r="FG44" s="102" t="str">
        <f t="shared" ref="FG44" si="1306">IF(AB43="Hybrid - Thrust + 2 connections",IF(COUNTIF($EK43:$FD43,FG43)&gt;1,FG43,""),IF(COUNTIF($EK43:$FD43,FG43)&gt;5,FG43,""))</f>
        <v/>
      </c>
      <c r="FH44" s="102" t="str">
        <f t="shared" ref="FH44" si="1307">IF(AC43="Hybrid - Thrust + 2 connections",IF(COUNTIF($EK43:$FD43,FH43)&gt;1,FH43,""),IF(COUNTIF($EK43:$FD43,FH43)&gt;5,FH43,""))</f>
        <v/>
      </c>
      <c r="FI44" s="102" t="str">
        <f t="shared" ref="FI44" si="1308">IF(AD43="Hybrid - Thrust + 2 connections",IF(COUNTIF($EK43:$FD43,FI43)&gt;1,FI43,""),IF(COUNTIF($EK43:$FD43,FI43)&gt;5,FI43,""))</f>
        <v/>
      </c>
      <c r="FJ44" s="102" t="str">
        <f t="shared" ref="FJ44" si="1309">IF(AE43="Hybrid - Thrust + 2 connections",IF(COUNTIF($EK43:$FD43,FJ43)&gt;1,FJ43,""),IF(COUNTIF($EK43:$FD43,FJ43)&gt;5,FJ43,""))</f>
        <v/>
      </c>
      <c r="FK44" s="102" t="str">
        <f t="shared" ref="FK44" si="1310">IF(AF43="Hybrid - Thrust + 2 connections",IF(COUNTIF($EK43:$FD43,FK43)&gt;1,FK43,""),IF(COUNTIF($EK43:$FD43,FK43)&gt;5,FK43,""))</f>
        <v/>
      </c>
      <c r="FL44" s="102" t="str">
        <f t="shared" ref="FL44" si="1311">IF(AG43="Hybrid - Thrust + 2 connections",IF(COUNTIF($EK43:$FD43,FL43)&gt;1,FL43,""),IF(COUNTIF($EK43:$FD43,FL43)&gt;5,FL43,""))</f>
        <v/>
      </c>
      <c r="FM44" s="102" t="str">
        <f t="shared" ref="FM44" si="1312">IF(AH43="Hybrid - Thrust + 2 connections",IF(COUNTIF($EK43:$FD43,FM43)&gt;1,FM43,""),IF(COUNTIF($EK43:$FD43,FM43)&gt;5,FM43,""))</f>
        <v/>
      </c>
      <c r="FN44" s="102" t="str">
        <f t="shared" ref="FN44" si="1313">IF(AI43="Hybrid - Thrust + 2 connections",IF(COUNTIF($EK43:$FD43,FN43)&gt;1,FN43,""),IF(COUNTIF($EK43:$FD43,FN43)&gt;5,FN43,""))</f>
        <v/>
      </c>
      <c r="FO44" s="102">
        <f t="shared" ref="FO44" si="1314">FO42+5</f>
        <v>60</v>
      </c>
      <c r="FP44" s="102" t="str">
        <f t="shared" ref="FP44" ca="1" si="1315">OFFSET($FP$75,FO44,0)</f>
        <v/>
      </c>
      <c r="FQ44" s="102" t="str">
        <f t="shared" ref="FQ44" ca="1" si="1316">OFFSET($FQ$75,FO44,0)</f>
        <v/>
      </c>
      <c r="FR44" s="282"/>
      <c r="FS44" s="282"/>
      <c r="FT44" s="282"/>
      <c r="FU44" s="282"/>
      <c r="FV44" s="282"/>
      <c r="FW44" s="282"/>
      <c r="FX44" s="282"/>
      <c r="FY44" s="282"/>
      <c r="FZ44" s="282"/>
      <c r="GA44" s="282"/>
      <c r="GB44" s="282"/>
      <c r="GC44" s="282"/>
      <c r="GD44" s="282"/>
      <c r="GE44" s="282"/>
      <c r="GF44" s="282"/>
      <c r="GG44" s="282"/>
      <c r="GH44" s="282"/>
      <c r="GI44" s="282"/>
      <c r="GJ44" s="282"/>
      <c r="GK44" s="282"/>
      <c r="GL44" s="282"/>
      <c r="GM44" s="282"/>
      <c r="GN44" s="282"/>
      <c r="GO44" s="282"/>
      <c r="GP44" s="282"/>
      <c r="GQ44" s="282"/>
      <c r="GR44" s="282"/>
      <c r="GS44" s="282"/>
      <c r="GT44" s="282"/>
      <c r="GU44" s="282"/>
      <c r="GV44" s="102"/>
      <c r="GW44" s="102"/>
      <c r="GX44" s="102"/>
      <c r="GY44" s="102"/>
      <c r="GZ44" s="102"/>
      <c r="HA44" s="102"/>
      <c r="HB44" s="102"/>
      <c r="HC44" s="102"/>
      <c r="HD44" s="102" t="str">
        <f>IF($F43="Hybrid - Thrust + 2 connections",COUNTBLANK(J43:L43),"")</f>
        <v/>
      </c>
      <c r="HE44" s="102"/>
      <c r="HF44" s="105"/>
      <c r="HG44" s="105"/>
      <c r="HH44" s="105"/>
      <c r="HI44" s="105"/>
    </row>
    <row r="45" spans="1:222" x14ac:dyDescent="0.25">
      <c r="A45" s="39" t="str">
        <f>IF(AND(E43="",A43&lt;&gt;""),IF(CP43=$CP$18,"",IF(C43&lt;&gt;"",IF(D43=59,MINUTE(CP43)+1,MINUTE(CP43)),"")),"")</f>
        <v/>
      </c>
      <c r="B45" s="40" t="str">
        <f>IF(AND(E43="",B43&lt;&gt;""),IF(CP43=$CP$18,"",IF(C43&lt;&gt;"",IF(D43=59,0,SECOND(CP43)+1),"")),"")</f>
        <v/>
      </c>
      <c r="C45" s="50"/>
      <c r="D45" s="50"/>
      <c r="E45" s="9"/>
      <c r="F45" s="51"/>
      <c r="G45" s="42" t="str">
        <f>IF(F45&lt;&gt;"",IF(OR(F45="Transition",F45="Transition - Surface Connection"),0,MAX($G$19:G44)+1),"")</f>
        <v/>
      </c>
      <c r="H45" s="56" t="str">
        <f t="shared" ref="H45" si="1317">IFERROR(IF(E46="3","",IF(OR(F45="Hybrid - min 4 swimmers (no DD)",LEFT(F45,5)="Trans"),"No DD",CONCATENATE("BM = ",I46))),"")</f>
        <v/>
      </c>
      <c r="I45" s="57"/>
      <c r="J45" s="124"/>
      <c r="K45" s="129"/>
      <c r="L45" s="129"/>
      <c r="M45" s="129"/>
      <c r="N45" s="129"/>
      <c r="O45" s="129"/>
      <c r="P45" s="129"/>
      <c r="Q45" s="129"/>
      <c r="R45" s="129"/>
      <c r="S45" s="129"/>
      <c r="T45" s="129"/>
      <c r="U45" s="129"/>
      <c r="V45" s="129"/>
      <c r="W45" s="129"/>
      <c r="X45" s="129"/>
      <c r="Y45" s="129"/>
      <c r="Z45" s="129"/>
      <c r="AA45" s="129"/>
      <c r="AB45" s="129"/>
      <c r="AC45" s="129"/>
      <c r="AD45" s="129"/>
      <c r="AE45" s="129"/>
      <c r="AF45" s="129"/>
      <c r="AG45" s="129"/>
      <c r="AH45" s="129"/>
      <c r="AI45" s="129"/>
      <c r="AJ45" s="129"/>
      <c r="AK45" s="129"/>
      <c r="AL45" s="129"/>
      <c r="AM45" s="129"/>
      <c r="AN45" s="179"/>
      <c r="AO45" s="43"/>
      <c r="AP45" s="74"/>
      <c r="AQ45" s="74"/>
      <c r="AR45" s="104"/>
      <c r="AS45" s="104"/>
      <c r="AT45" s="104"/>
      <c r="AU45" s="104"/>
      <c r="AV45" s="104"/>
      <c r="AW45" s="105" t="str">
        <f t="shared" ref="AW45" si="1318">E46</f>
        <v/>
      </c>
      <c r="AX45" s="108" t="str">
        <f t="shared" ref="AX45" si="1319">IF(AY45=0,"",TIME(0,A45,B45))</f>
        <v/>
      </c>
      <c r="AY45" s="108">
        <f t="shared" ref="AY45" si="1320">TIME(0,C45,D45)</f>
        <v>0</v>
      </c>
      <c r="AZ45" s="108" t="str">
        <f t="shared" ref="AZ45" si="1321">IFERROR(AY45-AX45,"")</f>
        <v/>
      </c>
      <c r="BA45" s="276" t="str">
        <f t="shared" ref="BA45" si="1322">IF($AX$17=0,"",IF(AND($C$10&lt;&gt;"",AW45="H",AZ45&gt;$AX$17),"X",""))</f>
        <v/>
      </c>
      <c r="BB45" s="104"/>
      <c r="BC45" s="104"/>
      <c r="BD45" s="104"/>
      <c r="BE45" s="104"/>
      <c r="BF45" s="104"/>
      <c r="BG45" s="104" t="str">
        <f>IFERROR(IF(F45&lt;&gt;"",INDEX(Parts_Active,MATCH(F45,Parts_Active,0)),""),"No")</f>
        <v/>
      </c>
      <c r="BH45" s="104"/>
      <c r="BI45" s="104" t="str">
        <f t="shared" ref="BI45" si="1323">IF($E46="H",IF($F45="Hybrid - Thrust + 2 connections","Hybrid_Mix_Req",IF($F45="Hybrid - min 4 swimmers (no DD)","Hybrid_ChoHY","HybridDD_Code")),IF($E46=3,"TreDD_Code",IF($E46="PA","AcroPair_Code",IF(LEFT($F45,4)="Acro",CONCATENATE(BI$16,$E46,"_Code"),"Data!$BI$1:$BI$5"))))</f>
        <v>Data!$BI$1:$BI$5</v>
      </c>
      <c r="BJ45" s="104" t="str">
        <f t="shared" ref="BJ45" si="1324">IF($E46="H",IF($F45="Hybrid - Thrust + 2 connections","Hybrid_Mix_Req",IF($F45="Hybrid - min 4 swimmers (no DD)","Data!$BI$1:$BI$5","HybridDD_Code")),IF($E46=3,"TreDD_Code",IF($E46="PA","AcroPair_Code",IF(LEFT($F45,4)="Acro",CONCATENATE(BJ$16,$E46,"_Code"),"Data!$BI$1:$BI$5"))))</f>
        <v>Data!$BI$1:$BI$5</v>
      </c>
      <c r="BK45" s="104" t="str">
        <f t="shared" si="798"/>
        <v>Data!$BI$1:$BI$5</v>
      </c>
      <c r="BL45" s="104" t="str">
        <f t="shared" si="798"/>
        <v>Data!$BI$1:$BI$5</v>
      </c>
      <c r="BM45" s="104" t="str">
        <f t="shared" si="798"/>
        <v>Data!$BI$1:$BI$5</v>
      </c>
      <c r="BN45" s="104" t="str">
        <f t="shared" si="798"/>
        <v>Data!$BI$1:$BI$5</v>
      </c>
      <c r="BO45" s="104" t="str">
        <f t="shared" si="798"/>
        <v>Data!$BI$1:$BI$5</v>
      </c>
      <c r="BP45" s="104" t="str">
        <f t="shared" si="798"/>
        <v>Data!$BI$1:$BI$5</v>
      </c>
      <c r="BQ45" s="104" t="str">
        <f t="shared" si="798"/>
        <v>Data!$BI$1:$BI$5</v>
      </c>
      <c r="BR45" s="104" t="str">
        <f t="shared" ref="BR45" si="1325">IF($E46="H",IF($F45="Hybrid - Thrust + 2 connections","Data!$BI$1:$BI$5","HybridDD_Code"),"Data!$BI$1:$BI$5")</f>
        <v>Data!$BI$1:$BI$5</v>
      </c>
      <c r="BS45" s="104" t="str">
        <f t="shared" si="369"/>
        <v>Data!$BI$1:$BI$5</v>
      </c>
      <c r="BT45" s="104" t="str">
        <f t="shared" si="369"/>
        <v>Data!$BI$1:$BI$5</v>
      </c>
      <c r="BU45" s="104" t="str">
        <f t="shared" si="369"/>
        <v>Data!$BI$1:$BI$5</v>
      </c>
      <c r="BV45" s="104" t="str">
        <f t="shared" si="369"/>
        <v>Data!$BI$1:$BI$5</v>
      </c>
      <c r="BW45" s="104" t="str">
        <f t="shared" si="369"/>
        <v>Data!$BI$1:$BI$5</v>
      </c>
      <c r="BX45" s="104" t="str">
        <f t="shared" si="369"/>
        <v>Data!$BI$1:$BI$5</v>
      </c>
      <c r="BY45" s="104" t="str">
        <f t="shared" si="369"/>
        <v>Data!$BI$1:$BI$5</v>
      </c>
      <c r="BZ45" s="104" t="str">
        <f t="shared" si="369"/>
        <v>Data!$BI$1:$BI$5</v>
      </c>
      <c r="CA45" s="104" t="str">
        <f t="shared" si="369"/>
        <v>Data!$BI$1:$BI$5</v>
      </c>
      <c r="CB45" s="104" t="str">
        <f t="shared" si="369"/>
        <v>Data!$BI$1:$BI$5</v>
      </c>
      <c r="CC45" s="104" t="str">
        <f t="shared" si="369"/>
        <v>Data!$BI$1:$BI$5</v>
      </c>
      <c r="CD45" s="104" t="str">
        <f t="shared" si="369"/>
        <v>Data!$BI$1:$BI$5</v>
      </c>
      <c r="CE45" s="104" t="str">
        <f t="shared" si="369"/>
        <v>Data!$BI$1:$BI$5</v>
      </c>
      <c r="CF45" s="104" t="str">
        <f t="shared" si="369"/>
        <v>Data!$BI$1:$BI$5</v>
      </c>
      <c r="CG45" s="104" t="str">
        <f t="shared" si="369"/>
        <v>Data!$BI$1:$BI$5</v>
      </c>
      <c r="CH45" s="104" t="str">
        <f t="shared" si="369"/>
        <v>Data!$BI$1:$BI$5</v>
      </c>
      <c r="CI45" s="104" t="str">
        <f t="shared" si="800"/>
        <v>Data!$BI$1:$BI$5</v>
      </c>
      <c r="CJ45" s="104" t="str">
        <f t="shared" si="800"/>
        <v>Data!$BI$1:$BI$5</v>
      </c>
      <c r="CK45" s="104" t="str">
        <f t="shared" si="800"/>
        <v>Data!$BI$1:$BI$5</v>
      </c>
      <c r="CL45" s="104" t="str">
        <f t="shared" si="800"/>
        <v>Data!$BI$1:$BI$5</v>
      </c>
      <c r="CM45" s="104"/>
      <c r="CN45" s="104"/>
      <c r="CO45" s="107" t="str">
        <f>IFERROR(TIME(0,A45,B45),"")</f>
        <v/>
      </c>
      <c r="CP45" s="108">
        <f>IFERROR(TIME(0,C45,D45),"")</f>
        <v>0</v>
      </c>
      <c r="CQ45" s="108" t="str">
        <f t="shared" ref="CQ45" si="1326">IF(CP45&gt;$D$12,"X","")</f>
        <v/>
      </c>
      <c r="CR45" s="102" t="str">
        <f>IF(AND(F45="Hybrid - Thrust + 2 connections",OR(LEFT(J45,1)="T",LEFT(K45,1)="T",LEFT(L45,1)="T",LEFT(PB45,1)="T",LEFT(M45,1)="T",LEFT(N45,1)="T",LEFT(O45,1)="T",LEFT(P45,1)="T",LEFT(Q45,1)="T",LEFT(R45,1)="T",LEFT(S45,1)="T",LEFT(T45,1)="T",LEFT(U45,1)="T",LEFT(V45,1)="T",LEFT(W45,1)="T",LEFT(X45,1)="T",LEFT(AK45,1)="T",LEFT(AL45,1)="T",LEFT(AM45,1)="T")),IF(OR(LEN(J45)=2,LEN(K45)=2,LEN(L45)=2,LEN(M45)=2,LEN(N45)=2,LEN(O45)=2,LEN(P45)=2,LEN(Q45)=2,LEN(R45)=2,LEN(S45)=2,LEN(T45)=2,LEN(U45)=2,LEN(V45)=2,LEN(W45)=2,LEN(X45)=2,LEN(Y45)=2,LEN(Z45)=2,LEN(AK45)=2,LEN(AL45)=2,LEN(AM45)=2),"X",""),"")</f>
        <v/>
      </c>
      <c r="CS45" s="105"/>
      <c r="CT45" s="102" t="str">
        <f>IF(LEFT(F45,4)="Acro",IF(AND(N45&lt;&gt;"",M45=RIGHT(N45,2)),"X","OK"),"")</f>
        <v/>
      </c>
      <c r="CU45" s="104" t="str">
        <f t="shared" ref="CU45:DB45" si="1327">IFERROR(IF(AND(LEFT($F45,4)="Acro",INDEX(Requ_App,MATCH(BI45,Requ_Code,0))="No"),"X",""),"")</f>
        <v/>
      </c>
      <c r="CV45" s="104" t="str">
        <f t="shared" si="1327"/>
        <v/>
      </c>
      <c r="CW45" s="104" t="str">
        <f t="shared" si="1327"/>
        <v/>
      </c>
      <c r="CX45" s="104" t="str">
        <f t="shared" si="1327"/>
        <v/>
      </c>
      <c r="CY45" s="104" t="str">
        <f t="shared" si="1327"/>
        <v/>
      </c>
      <c r="CZ45" s="104" t="str">
        <f t="shared" si="1327"/>
        <v/>
      </c>
      <c r="DA45" s="104" t="str">
        <f t="shared" si="1327"/>
        <v/>
      </c>
      <c r="DB45" s="104" t="str">
        <f t="shared" si="1327"/>
        <v/>
      </c>
      <c r="DC45" s="104" t="str">
        <f>IFERROR(IF(AND(LEFT($F45,4)="Acro",INDEX(Requ_App,MATCH(BP45,Requ_Code,0))="No"),"X",""),"")</f>
        <v/>
      </c>
      <c r="DD45" s="102" t="str">
        <f t="shared" si="10"/>
        <v/>
      </c>
      <c r="DE45" s="102" t="str">
        <f t="shared" si="11"/>
        <v/>
      </c>
      <c r="DF45" s="102" t="str">
        <f t="shared" si="12"/>
        <v/>
      </c>
      <c r="DG45" s="102" t="str">
        <f t="shared" si="13"/>
        <v/>
      </c>
      <c r="DK45" s="102">
        <f t="shared" ref="DK45" si="1328">IF(AND(E46="A",OR(Q45="Grip",Q45="Conn",Q45="Catch")),"A1",IF(AND(E46="A",OR(Q45="Hula",Q45="RetSq",Q45="RetPa")),"A2",IF(AND(E46="B",OR(Q45="Twirl",Q45="RotF")),"B1",IF(AND(E46="B",OR(Q45="Moon",Q45="Mov",Q45="Hold")),"B2",IF(AND(E46="P",OR(Q45="Porp",Q45="Splch")),"P1",IF(AND(E46="P",OR(Q45="Diva",Q45="Stand")),"P2",IF(AND(E46="P",OR(Q45="Spider",Q45="Climb")),"P3",IF(AND(E46="P",OR(Q45="Fall",Q45="FTurn")),"P4",IF(AND(E46="C",OR(Q45="Jump",Q45="Jump&gt;",Q45="On1Foot",Q45="1F&gt;1F")),"C1",IF(AND(E46="C",OR(Q45="Run",Q45="BRun")),"C2",1))))))))))</f>
        <v>1</v>
      </c>
      <c r="DL45" s="102">
        <f t="shared" ref="DL45" si="1329">IF(AND(E46="A",OR(R45="Grip",R45="Conn",R45="Catch")),"A1",IF(AND(E46="A",OR(R45="Hula",R45="RetSq",R45="RetPa")),"A2",IF(AND(E46="B",OR(R45="Twirl",R45="RotF")),"B1",IF(AND(E46="B",OR(R45="Moon",R45="Mov",R45="Hold")),"B2",IF(AND(E46="P",OR(R45="Porp",R45="Spich")),"P1",IF(AND(E46="P",OR(R45="Diva",R45="Stand")),"P2",IF(AND(E46="P",OR(R45="Spider",R45="Climb")),"P3",IF(AND(E46="P",OR(R45="Fall",R45="FTurn")),"P4",IF(AND(E46="C",OR(R45="Jump",R45="Jump&gt;",R45="On1Foot",R45="1F&gt;1F")),"C1",IF(AND(E46="C",OR(R45="Run",R45="BRun")),"C2",2))))))))))</f>
        <v>2</v>
      </c>
      <c r="DM45" s="102" t="str">
        <f>IF(AND(LEFT(F45,4)="Acro",Q45&lt;&gt;"",OR(Q45=R45,DK45=DL45)),IF(R45="C-Roll","","X"),IF(OR(AND(E46="A",Q45="Catch",R45&lt;&gt;"Dbl"),AND(E46="A",R45="Catch",Q45&lt;&gt;"Dbl")),"X",""))</f>
        <v/>
      </c>
      <c r="DN45" s="102" t="str">
        <f>IF(E46="PA",J45,"")</f>
        <v/>
      </c>
      <c r="DO45" s="102">
        <v>27</v>
      </c>
      <c r="DQ45" s="102" t="str">
        <f>IF(AND($E46="A",COUNTIF($DZ$19:$EA$68,DZ45)&gt;1),DZ45,"")</f>
        <v/>
      </c>
      <c r="DR45" s="102" t="str">
        <f>IF(AND($E46="A",COUNTIF($DZ$19:$EA$68,EA45)&gt;1),EA45,"")</f>
        <v/>
      </c>
      <c r="DS45" s="102" t="str">
        <f ca="1">IF(AND($E46="B",COUNTIF($J$19:$J$68,J45)&gt;1),J45,"")</f>
        <v/>
      </c>
      <c r="DT45" s="102" t="str">
        <f ca="1">IF(AND($E46="B",COUNTIF($K$19:$K$68,K45)&gt;1),K45,"")</f>
        <v/>
      </c>
      <c r="DU45" s="102" t="str">
        <f ca="1">IF(AND($E46="C",COUNTIF($J$19:$J$68,J45)&gt;1),J45,"")</f>
        <v/>
      </c>
      <c r="DV45" s="102" t="str">
        <f ca="1">IF(AND($E46="P",COUNTIF($J$19:$J$68,J45)&gt;1),J45,"")</f>
        <v/>
      </c>
      <c r="DW45" s="102" t="str">
        <f ca="1">IF(AND($E46="P",COUNTIF($K$19:$K$68,K45)&gt;1),K45,"")</f>
        <v/>
      </c>
      <c r="DX45" s="102" t="str">
        <f>IF(AND($E46="P",COUNTIF($DZ$19:$EA$68,DZ45)&gt;1),DZ45,"")</f>
        <v/>
      </c>
      <c r="DY45" s="102" t="str">
        <f>IF(AND($E46="P",COUNTIF($DZ$19:$EA$68,EA45)&gt;1),EA45,"")</f>
        <v/>
      </c>
      <c r="DZ45" s="102" t="str">
        <f>IFERROR(IF(OR(E46="A",E46="P"),M45,""),"")</f>
        <v/>
      </c>
      <c r="EA45" s="102" t="str">
        <f>IFERROR(IF(OR(E46="A",E46="P"),RIGHT(N45,2),""),"")</f>
        <v/>
      </c>
      <c r="EB45" s="102" t="str">
        <f t="shared" ref="EB45" si="1330">IF(Q45="","",IF(AND($E46="P",COUNTIF($Q$19:$R$68,Q45)&gt;1),Q45,""))</f>
        <v/>
      </c>
      <c r="EC45" s="102" t="str">
        <f t="shared" ref="EC45" si="1331">IF(R45="","",IF(AND($E46="P",COUNTIF($Q$19:$R$68,R45)&gt;1),R45,""))</f>
        <v/>
      </c>
      <c r="ED45" s="102" t="str">
        <f t="shared" si="14"/>
        <v/>
      </c>
      <c r="EE45" s="102" t="str">
        <f t="shared" si="15"/>
        <v/>
      </c>
      <c r="EF45" s="102" t="str">
        <f>IF(AND($F$8="Open Team Acrobatic",LEFT(F45,4)="Acro"),E46,"")</f>
        <v/>
      </c>
      <c r="EG45" s="102" t="str">
        <f t="shared" ref="EG45" si="1332">IFERROR(IF(HLOOKUP(EF45,$DQ$12:$DT$13,2,FALSE)&gt;2,"X",""),"")</f>
        <v/>
      </c>
      <c r="EI45" s="102" t="str">
        <f t="shared" ref="EI45" si="1333">IF(OR(AND(F45="Hybrid - Thrust + 2 connections",EI46="T"),AND(E46="H",EI46&lt;&gt;"",EI99="X")),"X","")</f>
        <v/>
      </c>
      <c r="EK45" s="102">
        <f t="shared" ref="EK45" si="1334">IFERROR(IF(AND($E46="H",J45&lt;&gt;"",J45&lt;&gt;"ChoHY"),IF(OR(LEFT(J45,1)="T",LEFT(J45,1)="S",LEFT(J45,1)="A",LEFT(J45,1)="F",LEFT(J45,1)="C"),LEFT(J45,1),"R"),EK$18),"")</f>
        <v>1</v>
      </c>
      <c r="EL45" s="102">
        <f t="shared" ref="EL45:EZ45" si="1335">IFERROR(IF(AND($E46="H",K45&lt;&gt;""),IF(OR(LEFT(K45,1)="T",LEFT(K45,1)="S",LEFT(K45,1)="A",LEFT(K45,1)="F",LEFT(K45,1)="C"),LEFT(K45,1),"R"),EL$18),"")</f>
        <v>2</v>
      </c>
      <c r="EM45" s="102">
        <f t="shared" si="1335"/>
        <v>3</v>
      </c>
      <c r="EN45" s="102">
        <f t="shared" si="1335"/>
        <v>4</v>
      </c>
      <c r="EO45" s="102">
        <f t="shared" si="1335"/>
        <v>5</v>
      </c>
      <c r="EP45" s="102">
        <f t="shared" si="1335"/>
        <v>6</v>
      </c>
      <c r="EQ45" s="102">
        <f t="shared" si="1335"/>
        <v>7</v>
      </c>
      <c r="ER45" s="102">
        <f t="shared" si="1335"/>
        <v>8</v>
      </c>
      <c r="ES45" s="102">
        <f t="shared" si="1335"/>
        <v>9</v>
      </c>
      <c r="ET45" s="102">
        <f t="shared" si="1335"/>
        <v>10</v>
      </c>
      <c r="EU45" s="102">
        <f t="shared" si="1335"/>
        <v>11</v>
      </c>
      <c r="EV45" s="102">
        <f t="shared" si="1335"/>
        <v>12</v>
      </c>
      <c r="EW45" s="102">
        <f t="shared" si="1335"/>
        <v>13</v>
      </c>
      <c r="EX45" s="102">
        <f t="shared" si="1335"/>
        <v>14</v>
      </c>
      <c r="EY45" s="102">
        <f t="shared" si="1335"/>
        <v>15</v>
      </c>
      <c r="EZ45" s="102">
        <f t="shared" si="1335"/>
        <v>16</v>
      </c>
      <c r="FA45" s="102">
        <f t="shared" ref="FA45" si="1336">IFERROR(IF(AND($E46="H",Z45&lt;&gt;""),IF(OR(LEFT(Z45,1)="T",LEFT(Z45,1)="S",LEFT(Z45,1)="A",LEFT(Z45,1)="F",LEFT(Z45,1)="C"),LEFT(Z45,1),"R"),FA$18),"")</f>
        <v>17</v>
      </c>
      <c r="FB45" s="102">
        <f t="shared" ref="FB45" si="1337">IFERROR(IF(AND($E46="H",AA45&lt;&gt;""),IF(OR(LEFT(AA45,1)="T",LEFT(AA45,1)="S",LEFT(AA45,1)="A",LEFT(AA45,1)="F",LEFT(AA45,1)="C"),LEFT(AA45,1),"R"),FB$18),"")</f>
        <v>18</v>
      </c>
      <c r="FC45" s="102">
        <f t="shared" ref="FC45" si="1338">IFERROR(IF(AND($E46="H",AB45&lt;&gt;""),IF(OR(LEFT(AB45,1)="T",LEFT(AB45,1)="S",LEFT(AB45,1)="A",LEFT(AB45,1)="F",LEFT(AB45,1)="C"),LEFT(AB45,1),"R"),FC$18),"")</f>
        <v>19</v>
      </c>
      <c r="FD45" s="102">
        <f t="shared" ref="FD45" si="1339">IFERROR(IF(AND($E46="H",AC45&lt;&gt;""),IF(OR(LEFT(AC45,1)="T",LEFT(AC45,1)="S",LEFT(AC45,1)="A",LEFT(AC45,1)="F",LEFT(AC45,1)="C"),LEFT(AC45,1),"R"),FD$18),"")</f>
        <v>20</v>
      </c>
      <c r="FE45" s="102">
        <f t="shared" ref="FE45" si="1340">IFERROR(IF(AND($E46="H",AD45&lt;&gt;""),IF(OR(LEFT(AD45,1)="T",LEFT(AD45,1)="S",LEFT(AD45,1)="A",LEFT(AD45,1)="F",LEFT(AD45,1)="C"),LEFT(AD45,1),"R"),FE$18),"")</f>
        <v>21</v>
      </c>
      <c r="FF45" s="102">
        <f t="shared" ref="FF45" si="1341">IFERROR(IF(AND($E46="H",AE45&lt;&gt;""),IF(OR(LEFT(AE45,1)="T",LEFT(AE45,1)="S",LEFT(AE45,1)="A",LEFT(AE45,1)="F",LEFT(AE45,1)="C"),LEFT(AE45,1),"R"),FF$18),"")</f>
        <v>22</v>
      </c>
      <c r="FG45" s="102">
        <f t="shared" ref="FG45" si="1342">IFERROR(IF(AND($E46="H",AF45&lt;&gt;""),IF(OR(LEFT(AF45,1)="T",LEFT(AF45,1)="S",LEFT(AF45,1)="A",LEFT(AF45,1)="F",LEFT(AF45,1)="C"),LEFT(AF45,1),"R"),FG$18),"")</f>
        <v>23</v>
      </c>
      <c r="FH45" s="102">
        <f t="shared" ref="FH45" si="1343">IFERROR(IF(AND($E46="H",AG45&lt;&gt;""),IF(OR(LEFT(AG45,1)="T",LEFT(AG45,1)="S",LEFT(AG45,1)="A",LEFT(AG45,1)="F",LEFT(AG45,1)="C"),LEFT(AG45,1),"R"),FH$18),"")</f>
        <v>24</v>
      </c>
      <c r="FI45" s="102">
        <f t="shared" ref="FI45" si="1344">IFERROR(IF(AND($E46="H",AH45&lt;&gt;""),IF(OR(LEFT(AH45,1)="T",LEFT(AH45,1)="S",LEFT(AH45,1)="A",LEFT(AH45,1)="F",LEFT(AH45,1)="C"),LEFT(AH45,1),"R"),FI$18),"")</f>
        <v>25</v>
      </c>
      <c r="FJ45" s="102">
        <f t="shared" ref="FJ45" si="1345">IFERROR(IF(AND($E46="H",AI45&lt;&gt;""),IF(OR(LEFT(AI45,1)="T",LEFT(AI45,1)="S",LEFT(AI45,1)="A",LEFT(AI45,1)="F",LEFT(AI45,1)="C"),LEFT(AI45,1),"R"),FJ$18),"")</f>
        <v>26</v>
      </c>
      <c r="FK45" s="102">
        <f t="shared" ref="FK45" si="1346">IFERROR(IF(AND($E46="H",AJ45&lt;&gt;""),IF(OR(LEFT(AJ45,1)="T",LEFT(AJ45,1)="S",LEFT(AJ45,1)="A",LEFT(AJ45,1)="F",LEFT(AJ45,1)="C"),LEFT(AJ45,1),"R"),FK$18),"")</f>
        <v>27</v>
      </c>
      <c r="FL45" s="102">
        <f t="shared" ref="FL45" si="1347">IFERROR(IF(AND($E46="H",AK45&lt;&gt;""),IF(OR(LEFT(AK45,1)="T",LEFT(AK45,1)="S",LEFT(AK45,1)="A",LEFT(AK45,1)="F",LEFT(AK45,1)="C"),LEFT(AK45,1),"R"),FL$18),"")</f>
        <v>28</v>
      </c>
      <c r="FM45" s="102">
        <f t="shared" ref="FM45" si="1348">IFERROR(IF(AND($E46="H",AL45&lt;&gt;""),IF(OR(LEFT(AL45,1)="T",LEFT(AL45,1)="S",LEFT(AL45,1)="A",LEFT(AL45,1)="F",LEFT(AL45,1)="C"),LEFT(AL45,1),"R"),FM$18),"")</f>
        <v>29</v>
      </c>
      <c r="FN45" s="102">
        <f t="shared" ref="FN45" si="1349">IFERROR(IF(AND($E46="H",AM45&lt;&gt;""),IF(OR(LEFT(AM45,1)="T",LEFT(AM45,1)="S",LEFT(AM45,1)="A",LEFT(AM45,1)="F",LEFT(AM45,1)="C"),LEFT(AM45,1),"R"),FN$18),"")</f>
        <v>30</v>
      </c>
      <c r="FO45" s="102"/>
      <c r="FP45" s="102"/>
      <c r="FQ45" s="102"/>
      <c r="FR45" s="282"/>
      <c r="FS45" s="282"/>
      <c r="FT45" s="282"/>
      <c r="FU45" s="282"/>
      <c r="FV45" s="282"/>
      <c r="FW45" s="282"/>
      <c r="FX45" s="282"/>
      <c r="FY45" s="282"/>
      <c r="FZ45" s="282"/>
      <c r="GA45" s="282"/>
      <c r="GB45" s="282"/>
      <c r="GC45" s="282"/>
      <c r="GD45" s="282"/>
      <c r="GE45" s="282"/>
      <c r="GF45" s="282"/>
      <c r="GG45" s="282"/>
      <c r="GH45" s="282"/>
      <c r="GI45" s="282"/>
      <c r="GJ45" s="282"/>
      <c r="GK45" s="282"/>
      <c r="GL45" s="282"/>
      <c r="GM45" s="282"/>
      <c r="GN45" s="282"/>
      <c r="GO45" s="282"/>
      <c r="GP45" s="282"/>
      <c r="GQ45" s="282"/>
      <c r="GR45" s="282"/>
      <c r="GS45" s="282"/>
      <c r="GT45" s="282"/>
      <c r="GU45" s="282"/>
      <c r="GV45" s="102"/>
      <c r="GW45" s="102">
        <f t="shared" ref="GW45" si="1350">COUNTIF($EK45:$FN45,GW$18)</f>
        <v>0</v>
      </c>
      <c r="GX45" s="102">
        <f t="shared" si="825"/>
        <v>0</v>
      </c>
      <c r="GY45" s="102">
        <f t="shared" si="825"/>
        <v>0</v>
      </c>
      <c r="GZ45" s="102">
        <f t="shared" si="825"/>
        <v>0</v>
      </c>
      <c r="HA45" s="102">
        <f t="shared" si="825"/>
        <v>0</v>
      </c>
      <c r="HB45" s="102">
        <f t="shared" si="825"/>
        <v>0</v>
      </c>
      <c r="HC45" s="102"/>
      <c r="HD45" s="102" t="str">
        <f t="shared" ref="HD45" si="1351">IF(AND($F45="Hybrid - Thrust + 2 connections",HD46=0,LEFT($J45,1)="C",LEFT($K45,1)="C",LEFT($L45,1)="C"),"X","")</f>
        <v/>
      </c>
      <c r="HE45" s="102"/>
      <c r="HF45" s="105"/>
      <c r="HG45" s="114"/>
      <c r="HH45" s="114"/>
      <c r="HI45" s="105" t="str">
        <f t="shared" ref="HI45" si="1352">IF(E46=3,IF(_xlfn.NUMBERVALUE(LEFT(J45,1))&gt;0,_xlfn.NUMBERVALUE(LEFT(J45,1)),""),"")</f>
        <v/>
      </c>
      <c r="HK45" s="105" t="str">
        <f t="shared" ref="HK45" si="1353">IF(OR(E46="B",E46="P"),E46,"")</f>
        <v/>
      </c>
      <c r="HL45" s="105" t="str">
        <f>IF(AND(J45&lt;&gt;"",HK45&lt;&gt;""),IF(HK45="B",MATCH(J45,AcroDD!$U$3:$AE$3,0),MATCH(J45,AcroDD!$U$30:$AC$30,0)),"")</f>
        <v/>
      </c>
      <c r="HM45" s="105" t="str">
        <f t="shared" ref="HM45" si="1354">IF(AND(K45&lt;&gt;"",HK45&lt;&gt;""),K45,"")</f>
        <v/>
      </c>
      <c r="HN45" s="105" t="str">
        <f ca="1">IF(AND(OR(HK45="B",HK45="P"),HL45&lt;&gt;"",HM45&lt;&gt;""),IF(IFERROR(IF(HK45="B",MATCH(HM45,OFFSET(AcroDD!$T$4,0,HL45,20),0),MATCH(HM45,OFFSET(AcroDD!$T$31,0,HL45,20),0)),"")&lt;&gt;"","OK","X"),"")</f>
        <v/>
      </c>
    </row>
    <row r="46" spans="1:222" x14ac:dyDescent="0.25">
      <c r="A46" s="39"/>
      <c r="B46" s="40"/>
      <c r="C46" s="40"/>
      <c r="D46" s="40"/>
      <c r="E46" s="20" t="str">
        <f t="shared" ref="E46" si="1355">IF(F45="Acrobatic - Pair","PA",IF(F45="Acrobatic Airborn","A",IF(F45="Acrobatic Balance","B",IF(F45="Acrobatic Combined","C",IF(F45="Acrobatic Platform","P",IF(F45="Technical Required Element",3,IF(LEFT(F45,4)="Hybr","H","")))))))</f>
        <v/>
      </c>
      <c r="F46" s="20" t="str">
        <f>IF(AND(F45="Hybrid - Thrust + 2 connections",CR45="X"),"Hybrid - Thrust",IF(OR(E46="A",E46="B",E46="C",E46="P"),"Acrobatic",""))</f>
        <v/>
      </c>
      <c r="G46" s="42"/>
      <c r="H46" s="207" t="str">
        <f t="shared" ref="H46" si="1356">IF(E46="PA",IF(OR(LEFT(J45,1)="L",LEFT(J45,1)="S"),"A-Pair-Lift",IF(OR(LEFT(J45,1)="W",LEFT(J45,1)="T"),"A-Pair-Throw",IF(LEFT(J45,1)="J","A-Pair-Jump","A-Pair"))),IF(OR(E46="A",E46="B",E46="C",E46="P"),CONCATENATE("Acro-",E46),""))</f>
        <v/>
      </c>
      <c r="I46" s="201" t="e">
        <f t="shared" ref="I46" si="1357">IF(OR(F45="Hybrid - min 4 swimmers (no DD)",LEFT(F45,5)="Trans"),0,INDEX($BY$3:$BY$9,MATCH(E46,$BX$3:$BX$9,0)))</f>
        <v>#N/A</v>
      </c>
      <c r="J46" s="196">
        <f ca="1">IFERROR(IF($H45="No DD",IF(J45="ChoHY",1,0),IF(OR(ISBLANK(J45),J45="N/A"),0,INDEX(INDIRECT(BI46),MATCH(J45,INDIRECT(BI45),0)))),0)</f>
        <v>0</v>
      </c>
      <c r="K46" s="196">
        <f t="shared" ref="K46:Y46" ca="1" si="1358">IFERROR(IF($H45="No DD",0,IF(OR(ISBLANK(K45),K45="N/A"),0,INDEX(INDIRECT(BJ46),MATCH(K45,INDIRECT(BJ45),0)))),0)</f>
        <v>0</v>
      </c>
      <c r="L46" s="196">
        <f t="shared" ca="1" si="1358"/>
        <v>0</v>
      </c>
      <c r="M46" s="196">
        <f t="shared" ca="1" si="1358"/>
        <v>0</v>
      </c>
      <c r="N46" s="196">
        <f t="shared" ca="1" si="1358"/>
        <v>0</v>
      </c>
      <c r="O46" s="196">
        <f t="shared" ca="1" si="1358"/>
        <v>0</v>
      </c>
      <c r="P46" s="196">
        <f t="shared" ca="1" si="1358"/>
        <v>0</v>
      </c>
      <c r="Q46" s="196">
        <f t="shared" ca="1" si="1358"/>
        <v>0</v>
      </c>
      <c r="R46" s="196">
        <f t="shared" ca="1" si="1358"/>
        <v>0</v>
      </c>
      <c r="S46" s="196">
        <f t="shared" ca="1" si="1358"/>
        <v>0</v>
      </c>
      <c r="T46" s="196">
        <f t="shared" ca="1" si="1358"/>
        <v>0</v>
      </c>
      <c r="U46" s="196">
        <f t="shared" ca="1" si="1358"/>
        <v>0</v>
      </c>
      <c r="V46" s="196">
        <f t="shared" ca="1" si="1358"/>
        <v>0</v>
      </c>
      <c r="W46" s="196">
        <f t="shared" ca="1" si="1358"/>
        <v>0</v>
      </c>
      <c r="X46" s="196">
        <f t="shared" ca="1" si="1358"/>
        <v>0</v>
      </c>
      <c r="Y46" s="196">
        <f t="shared" ca="1" si="1358"/>
        <v>0</v>
      </c>
      <c r="Z46" s="196">
        <f t="shared" ref="Z46" ca="1" si="1359">IFERROR(IF($H45="No DD",0,IF(OR(ISBLANK(Z45),Z45="N/A"),0,INDEX(INDIRECT(BY46),MATCH(Z45,INDIRECT(BY45),0)))),0)</f>
        <v>0</v>
      </c>
      <c r="AA46" s="196">
        <f t="shared" ref="AA46" ca="1" si="1360">IFERROR(IF($H45="No DD",0,IF(OR(ISBLANK(AA45),AA45="N/A"),0,INDEX(INDIRECT(BZ46),MATCH(AA45,INDIRECT(BZ45),0)))),0)</f>
        <v>0</v>
      </c>
      <c r="AB46" s="196">
        <f t="shared" ref="AB46" ca="1" si="1361">IFERROR(IF($H45="No DD",0,IF(OR(ISBLANK(AB45),AB45="N/A"),0,INDEX(INDIRECT(CA46),MATCH(AB45,INDIRECT(CA45),0)))),0)</f>
        <v>0</v>
      </c>
      <c r="AC46" s="196">
        <f t="shared" ref="AC46" ca="1" si="1362">IFERROR(IF($H45="No DD",0,IF(OR(ISBLANK(AC45),AC45="N/A"),0,INDEX(INDIRECT(CB46),MATCH(AC45,INDIRECT(CB45),0)))),0)</f>
        <v>0</v>
      </c>
      <c r="AD46" s="196">
        <f t="shared" ref="AD46" ca="1" si="1363">IFERROR(IF($H45="No DD",0,IF(OR(ISBLANK(AD45),AD45="N/A"),0,INDEX(INDIRECT(CC46),MATCH(AD45,INDIRECT(CC45),0)))),0)</f>
        <v>0</v>
      </c>
      <c r="AE46" s="196">
        <f t="shared" ref="AE46" ca="1" si="1364">IFERROR(IF($H45="No DD",0,IF(OR(ISBLANK(AE45),AE45="N/A"),0,INDEX(INDIRECT(CD46),MATCH(AE45,INDIRECT(CD45),0)))),0)</f>
        <v>0</v>
      </c>
      <c r="AF46" s="196">
        <f t="shared" ref="AF46" ca="1" si="1365">IFERROR(IF($H45="No DD",0,IF(OR(ISBLANK(AF45),AF45="N/A"),0,INDEX(INDIRECT(CE46),MATCH(AF45,INDIRECT(CE45),0)))),0)</f>
        <v>0</v>
      </c>
      <c r="AG46" s="196">
        <f t="shared" ref="AG46" ca="1" si="1366">IFERROR(IF($H45="No DD",0,IF(OR(ISBLANK(AG45),AG45="N/A"),0,INDEX(INDIRECT(CF46),MATCH(AG45,INDIRECT(CF45),0)))),0)</f>
        <v>0</v>
      </c>
      <c r="AH46" s="196">
        <f t="shared" ref="AH46" ca="1" si="1367">IFERROR(IF($H45="No DD",0,IF(OR(ISBLANK(AH45),AH45="N/A"),0,INDEX(INDIRECT(CG46),MATCH(AH45,INDIRECT(CG45),0)))),0)</f>
        <v>0</v>
      </c>
      <c r="AI46" s="196">
        <f t="shared" ref="AI46" ca="1" si="1368">IFERROR(IF($H45="No DD",0,IF(OR(ISBLANK(AI45),AI45="N/A"),0,INDEX(INDIRECT(CH46),MATCH(AI45,INDIRECT(CH45),0)))),0)</f>
        <v>0</v>
      </c>
      <c r="AJ46" s="196">
        <f t="shared" ref="AJ46" ca="1" si="1369">IFERROR(IF($H45="No DD",0,IF(OR(ISBLANK(AJ45),AJ45="N/A"),0,INDEX(INDIRECT(CI46),MATCH(AJ45,INDIRECT(CI45),0)))),0)</f>
        <v>0</v>
      </c>
      <c r="AK46" s="196">
        <f t="shared" ref="AK46" ca="1" si="1370">IFERROR(IF($H45="No DD",0,IF(OR(ISBLANK(AK45),AK45="N/A"),0,INDEX(INDIRECT(CJ46),MATCH(AK45,INDIRECT(CJ45),0)))),0)</f>
        <v>0</v>
      </c>
      <c r="AL46" s="196">
        <f t="shared" ref="AL46" ca="1" si="1371">IFERROR(IF($H45="No DD",0,IF(OR(ISBLANK(AL45),AL45="N/A"),0,INDEX(INDIRECT(CK46),MATCH(AL45,INDIRECT(CK45),0)))),0)</f>
        <v>0</v>
      </c>
      <c r="AM46" s="196">
        <f t="shared" ref="AM46" ca="1" si="1372">IFERROR(IF($H45="No DD",0,IF(OR(ISBLANK(AM45),AM45="N/A"),0,INDEX(INDIRECT(CL46),MATCH(AM45,INDIRECT(CL45),0)))),0)</f>
        <v>0</v>
      </c>
      <c r="AN46" s="197" t="str">
        <f>IFERROR(IF(E46="H",INDEX(HybridBonus_Value,MATCH(AN45,HybridBonus_Code,0)),""),"")</f>
        <v/>
      </c>
      <c r="AO46" s="195" t="str">
        <f t="shared" ref="AO46" si="1373">IFERROR(SUM(I46:AN46),"")</f>
        <v/>
      </c>
      <c r="AP46" s="75"/>
      <c r="AQ46" s="75"/>
      <c r="AR46" s="115"/>
      <c r="AS46" s="115"/>
      <c r="AT46" s="115"/>
      <c r="AU46" s="115"/>
      <c r="AV46" s="115"/>
      <c r="BA46" s="104"/>
      <c r="BB46" s="115"/>
      <c r="BC46" s="115"/>
      <c r="BD46" s="115"/>
      <c r="BE46" s="115"/>
      <c r="BF46" s="115"/>
      <c r="BG46" s="104"/>
      <c r="BH46" s="115"/>
      <c r="BI46" s="105" t="str">
        <f t="shared" ref="BI46" si="1374">IF($E46="H",IF($F45="Hybrid - Thrust + 2 connections","Hybrid_Mix_Req_Value","HybridDD_Value"),IF($E46=3,"TreDD_Value",IF($E46="PA","AcroPair_Value",IF(LEFT($F45,4)="Acro",CONCATENATE(BI$16,$E46,"_Value"),""))))</f>
        <v/>
      </c>
      <c r="BJ46" s="105" t="str">
        <f t="shared" ref="BJ46" si="1375">IF($E46="H",IF($F45="Hybrid - Thrust + 2 connections","Hybrid_Mix_Req_Value","HybridDD_Value"),IF($E46=3,"TreDD_Value",IF($E46="PA","AcroPair_Value",IF(LEFT($F45,4)="Acro",CONCATENATE(BJ$16,$E46,"_Value"),""))))</f>
        <v/>
      </c>
      <c r="BK46" s="105" t="str">
        <f t="shared" ref="BK46" si="1376">IF($E46="H",IF($F45="Hybrid - Thrust + 2 connections","Hybrid_Mix_Req_Value","HybridDD_Value"),IF($E46=3,"TreDD_Value",IF($E46="PA","AcroPair_Value",IF(LEFT($F45,4)="Acro",CONCATENATE(BK$16,$E46,"_Value"),""))))</f>
        <v/>
      </c>
      <c r="BL46" s="105" t="str">
        <f t="shared" ref="BL46" si="1377">IF($E46="H",IF($F45="Hybrid - Thrust + 2 connections","Hybrid_Mix_Req_Value","HybridDD_Value"),IF($E46=3,"TreDD_Value",IF($E46="PA","AcroPair_Value",IF(LEFT($F45,4)="Acro",CONCATENATE(BL$16,$E46,"_Value"),""))))</f>
        <v/>
      </c>
      <c r="BM46" s="105" t="str">
        <f t="shared" ref="BM46" si="1378">IF($E46="H",IF($F45="Hybrid - Thrust + 2 connections","Hybrid_Mix_Req_Value","HybridDD_Value"),IF($E46=3,"TreDD_Value",IF($E46="PA","AcroPair_Value",IF(LEFT($F45,4)="Acro",CONCATENATE(BM$16,$E46,"_Value"),""))))</f>
        <v/>
      </c>
      <c r="BN46" s="105" t="str">
        <f t="shared" ref="BN46" si="1379">IF($E46="H",IF($F45="Hybrid - Thrust + 2 connections","Hybrid_Mix_Req_Value","HybridDD_Value"),IF($E46=3,"TreDD_Value",IF($E46="PA","AcroPair_Value",IF(LEFT($F45,4)="Acro",CONCATENATE(BN$16,$E46,"_Value"),""))))</f>
        <v/>
      </c>
      <c r="BO46" s="105" t="str">
        <f t="shared" ref="BO46" si="1380">IF($E46="H",IF($F45="Hybrid - Thrust + 2 connections","Hybrid_Mix_Req_Value","HybridDD_Value"),IF($E46=3,"TreDD_Value",IF($E46="PA","AcroPair_Value",IF(LEFT($F45,4)="Acro",CONCATENATE(BO$16,$E46,"_Value"),""))))</f>
        <v/>
      </c>
      <c r="BP46" s="105" t="str">
        <f t="shared" ref="BP46" si="1381">IF($E46="H",IF($F45="Hybrid - Thrust + 2 connections","Hybrid_Mix_Req_Value","HybridDD_Value"),IF($E46=3,"TreDD_Value",IF($E46="PA","AcroPair_Value",IF(LEFT($F45,4)="Acro",CONCATENATE(BP$16,$E46,"_Value"),""))))</f>
        <v/>
      </c>
      <c r="BQ46" s="105" t="str">
        <f t="shared" ref="BQ46" si="1382">IF($E46="H",IF($F45="Hybrid - Thrust + 2 connections","Hybrid_Mix_Req_Value","HybridDD_Value"),IF($E46=3,"TreDD_Value",IF($E46="PA","AcroPair_Value",IF(LEFT($F45,4)="Acro",CONCATENATE(BQ$16,$E46,"_Value"),""))))</f>
        <v/>
      </c>
      <c r="BR46" s="104" t="str">
        <f t="shared" ref="BR46" si="1383">IF($E46="H",IF($F45="Hybrid - Thrust + 2 connections","Data!$BI$1:$BI$5","HybridDD_Value"),"Data!$BI$1:$BI$5")</f>
        <v>Data!$BI$1:$BI$5</v>
      </c>
      <c r="BS46" s="104" t="str">
        <f t="shared" ref="BS46" si="1384">IF($E46="H",IF($F45="Hybrid - Thrust + 2 connections","Data!$BI$1:$BI$5","HybridDD_Value"),"Data!$BI$1:$BI$5")</f>
        <v>Data!$BI$1:$BI$5</v>
      </c>
      <c r="BT46" s="104" t="str">
        <f t="shared" ref="BT46" si="1385">IF($E46="H",IF($F45="Hybrid - Thrust + 2 connections","Data!$BI$1:$BI$5","HybridDD_Value"),"Data!$BI$1:$BI$5")</f>
        <v>Data!$BI$1:$BI$5</v>
      </c>
      <c r="BU46" s="104" t="str">
        <f t="shared" ref="BU46" si="1386">IF($E46="H",IF($F45="Hybrid - Thrust + 2 connections","Data!$BI$1:$BI$5","HybridDD_Value"),"Data!$BI$1:$BI$5")</f>
        <v>Data!$BI$1:$BI$5</v>
      </c>
      <c r="BV46" s="104" t="str">
        <f t="shared" ref="BV46" si="1387">IF($E46="H",IF($F45="Hybrid - Thrust + 2 connections","Data!$BI$1:$BI$5","HybridDD_Value"),"Data!$BI$1:$BI$5")</f>
        <v>Data!$BI$1:$BI$5</v>
      </c>
      <c r="BW46" s="104" t="str">
        <f t="shared" ref="BW46" si="1388">IF($E46="H",IF($F45="Hybrid - Thrust + 2 connections","Data!$BI$1:$BI$5","HybridDD_Value"),"Data!$BI$1:$BI$5")</f>
        <v>Data!$BI$1:$BI$5</v>
      </c>
      <c r="BX46" s="104" t="str">
        <f t="shared" ref="BX46" si="1389">IF($E46="H",IF($F45="Hybrid - Thrust + 2 connections","Data!$BI$1:$BI$5","HybridDD_Value"),"Data!$BI$1:$BI$5")</f>
        <v>Data!$BI$1:$BI$5</v>
      </c>
      <c r="BY46" s="104" t="str">
        <f t="shared" ref="BY46" si="1390">IF($E46="H",IF($F45="Hybrid - Thrust + 2 connections","Data!$BI$1:$BI$5","HybridDD_Value"),"Data!$BI$1:$BI$5")</f>
        <v>Data!$BI$1:$BI$5</v>
      </c>
      <c r="BZ46" s="104" t="str">
        <f t="shared" ref="BZ46" si="1391">IF($E46="H",IF($F45="Hybrid - Thrust + 2 connections","Data!$BI$1:$BI$5","HybridDD_Value"),"Data!$BI$1:$BI$5")</f>
        <v>Data!$BI$1:$BI$5</v>
      </c>
      <c r="CA46" s="104" t="str">
        <f t="shared" ref="CA46" si="1392">IF($E46="H",IF($F45="Hybrid - Thrust + 2 connections","Data!$BI$1:$BI$5","HybridDD_Value"),"Data!$BI$1:$BI$5")</f>
        <v>Data!$BI$1:$BI$5</v>
      </c>
      <c r="CB46" s="104" t="str">
        <f t="shared" ref="CB46" si="1393">IF($E46="H",IF($F45="Hybrid - Thrust + 2 connections","Data!$BI$1:$BI$5","HybridDD_Value"),"Data!$BI$1:$BI$5")</f>
        <v>Data!$BI$1:$BI$5</v>
      </c>
      <c r="CC46" s="104" t="str">
        <f t="shared" ref="CC46" si="1394">IF($E46="H",IF($F45="Hybrid - Thrust + 2 connections","Data!$BI$1:$BI$5","HybridDD_Value"),"Data!$BI$1:$BI$5")</f>
        <v>Data!$BI$1:$BI$5</v>
      </c>
      <c r="CD46" s="104" t="str">
        <f t="shared" ref="CD46" si="1395">IF($E46="H",IF($F45="Hybrid - Thrust + 2 connections","Data!$BI$1:$BI$5","HybridDD_Value"),"Data!$BI$1:$BI$5")</f>
        <v>Data!$BI$1:$BI$5</v>
      </c>
      <c r="CE46" s="104" t="str">
        <f t="shared" ref="CE46" si="1396">IF($E46="H",IF($F45="Hybrid - Thrust + 2 connections","Data!$BI$1:$BI$5","HybridDD_Value"),"Data!$BI$1:$BI$5")</f>
        <v>Data!$BI$1:$BI$5</v>
      </c>
      <c r="CF46" s="104" t="str">
        <f t="shared" ref="CF46" si="1397">IF($E46="H",IF($F45="Hybrid - Thrust + 2 connections","Data!$BI$1:$BI$5","HybridDD_Value"),"Data!$BI$1:$BI$5")</f>
        <v>Data!$BI$1:$BI$5</v>
      </c>
      <c r="CG46" s="104" t="str">
        <f t="shared" ref="CG46" si="1398">IF($E46="H",IF($F45="Hybrid - Thrust + 2 connections","Data!$BI$1:$BI$5","HybridDD_Value"),"Data!$BI$1:$BI$5")</f>
        <v>Data!$BI$1:$BI$5</v>
      </c>
      <c r="CH46" s="104" t="str">
        <f t="shared" ref="CH46" si="1399">IF($E46="H",IF($F45="Hybrid - Thrust + 2 connections","Data!$BI$1:$BI$5","HybridDD_Value"),"Data!$BI$1:$BI$5")</f>
        <v>Data!$BI$1:$BI$5</v>
      </c>
      <c r="CI46" s="104" t="str">
        <f t="shared" ref="CI46" si="1400">IF($E46="H",IF($F45="Hybrid - Thrust + 2 connections","Data!$BI$1:$BI$5","HybridDD_Value"),"Data!$BI$1:$BI$5")</f>
        <v>Data!$BI$1:$BI$5</v>
      </c>
      <c r="CJ46" s="104" t="str">
        <f t="shared" ref="CJ46" si="1401">IF($E46="H",IF($F45="Hybrid - Thrust + 2 connections","Data!$BI$1:$BI$5","HybridDD_Value"),"Data!$BI$1:$BI$5")</f>
        <v>Data!$BI$1:$BI$5</v>
      </c>
      <c r="CK46" s="104" t="str">
        <f t="shared" ref="CK46" si="1402">IF($E46="H",IF($F45="Hybrid - Thrust + 2 connections","Data!$BI$1:$BI$5","HybridDD_Value"),"Data!$BI$1:$BI$5")</f>
        <v>Data!$BI$1:$BI$5</v>
      </c>
      <c r="CL46" s="104" t="str">
        <f t="shared" ref="CL46" si="1403">IF($E46="H",IF($F45="Hybrid - Thrust + 2 connections","Data!$BI$1:$BI$5","HybridDD_Value"),"Data!$BI$1:$BI$5")</f>
        <v>Data!$BI$1:$BI$5</v>
      </c>
      <c r="CM46" s="115"/>
      <c r="CN46" s="115"/>
      <c r="CO46" s="116" t="str">
        <f>IFERROR(IF(AND($BV$6="T",$BV$8="T",LEFT(F45,4)="Acro",AO46&gt;3),"X",IF($N$7="X",IF(AND(E46="C",AO46&gt;$CN$6),"X",IF(AND(E46="A",AO46&gt;$CN$4),"X",IF(AND(E46="B",AO46&gt;$CN$5),"X",IF(AND(E46="P",AO46&gt;$CN$7),"X","")))),"")),"")</f>
        <v/>
      </c>
      <c r="CP46" s="108"/>
      <c r="CQ46" s="105"/>
      <c r="CS46" s="105"/>
      <c r="CT46" s="105"/>
      <c r="CU46" s="105"/>
      <c r="CV46" s="105"/>
      <c r="CW46" s="105"/>
      <c r="CX46" s="105"/>
      <c r="CY46" s="105"/>
      <c r="CZ46" s="105"/>
      <c r="DD46" s="102" t="str">
        <f t="shared" si="10"/>
        <v/>
      </c>
      <c r="DE46" s="102" t="str">
        <f t="shared" si="11"/>
        <v/>
      </c>
      <c r="DF46" s="102" t="str">
        <f t="shared" si="12"/>
        <v/>
      </c>
      <c r="DG46" s="102" t="str">
        <f t="shared" si="13"/>
        <v/>
      </c>
      <c r="DO46" s="102">
        <v>28</v>
      </c>
      <c r="ED46" s="102" t="str">
        <f t="shared" si="14"/>
        <v/>
      </c>
      <c r="EE46" s="102" t="str">
        <f t="shared" si="15"/>
        <v/>
      </c>
      <c r="EI46" s="102" t="str" cm="1">
        <f t="array" ref="EI46">IFERROR(INDEX(EK46:FN46,MATCH(TRUE,INDEX((EK46:FN46&lt;&gt;""),),0)),"")</f>
        <v/>
      </c>
      <c r="EK46" s="102" t="str">
        <f t="shared" si="879"/>
        <v/>
      </c>
      <c r="EL46" s="102" t="str">
        <f t="shared" ref="EL46:EZ46" si="1404">IF(G45="Hybrid - Thrust + 2 connections",IF(COUNTIF($EK45:$FD45,EL45)&gt;1,EL45,""),IF(COUNTIF($EK45:$FD45,EL45)&gt;5,EL45,""))</f>
        <v/>
      </c>
      <c r="EM46" s="102" t="str">
        <f t="shared" si="1404"/>
        <v/>
      </c>
      <c r="EN46" s="102" t="str">
        <f t="shared" si="1404"/>
        <v/>
      </c>
      <c r="EO46" s="102" t="str">
        <f t="shared" si="1404"/>
        <v/>
      </c>
      <c r="EP46" s="102" t="str">
        <f t="shared" si="1404"/>
        <v/>
      </c>
      <c r="EQ46" s="102" t="str">
        <f t="shared" si="1404"/>
        <v/>
      </c>
      <c r="ER46" s="102" t="str">
        <f t="shared" si="1404"/>
        <v/>
      </c>
      <c r="ES46" s="102" t="str">
        <f t="shared" si="1404"/>
        <v/>
      </c>
      <c r="ET46" s="102" t="str">
        <f t="shared" si="1404"/>
        <v/>
      </c>
      <c r="EU46" s="102" t="str">
        <f t="shared" si="1404"/>
        <v/>
      </c>
      <c r="EV46" s="102" t="str">
        <f t="shared" si="1404"/>
        <v/>
      </c>
      <c r="EW46" s="102" t="str">
        <f t="shared" si="1404"/>
        <v/>
      </c>
      <c r="EX46" s="102" t="str">
        <f t="shared" si="1404"/>
        <v/>
      </c>
      <c r="EY46" s="102" t="str">
        <f t="shared" si="1404"/>
        <v/>
      </c>
      <c r="EZ46" s="102" t="str">
        <f t="shared" si="1404"/>
        <v/>
      </c>
      <c r="FA46" s="102" t="str">
        <f t="shared" ref="FA46" si="1405">IF(V45="Hybrid - Thrust + 2 connections",IF(COUNTIF($EK45:$FD45,FA45)&gt;1,FA45,""),IF(COUNTIF($EK45:$FD45,FA45)&gt;5,FA45,""))</f>
        <v/>
      </c>
      <c r="FB46" s="102" t="str">
        <f t="shared" ref="FB46" si="1406">IF(W45="Hybrid - Thrust + 2 connections",IF(COUNTIF($EK45:$FD45,FB45)&gt;1,FB45,""),IF(COUNTIF($EK45:$FD45,FB45)&gt;5,FB45,""))</f>
        <v/>
      </c>
      <c r="FC46" s="102" t="str">
        <f t="shared" ref="FC46" si="1407">IF(X45="Hybrid - Thrust + 2 connections",IF(COUNTIF($EK45:$FD45,FC45)&gt;1,FC45,""),IF(COUNTIF($EK45:$FD45,FC45)&gt;5,FC45,""))</f>
        <v/>
      </c>
      <c r="FD46" s="102" t="str">
        <f t="shared" ref="FD46" si="1408">IF(Y45="Hybrid - Thrust + 2 connections",IF(COUNTIF($EK45:$FD45,FD45)&gt;1,FD45,""),IF(COUNTIF($EK45:$FD45,FD45)&gt;5,FD45,""))</f>
        <v/>
      </c>
      <c r="FE46" s="102" t="str">
        <f t="shared" ref="FE46" si="1409">IF(Z45="Hybrid - Thrust + 2 connections",IF(COUNTIF($EK45:$FD45,FE45)&gt;1,FE45,""),IF(COUNTIF($EK45:$FD45,FE45)&gt;5,FE45,""))</f>
        <v/>
      </c>
      <c r="FF46" s="102" t="str">
        <f t="shared" ref="FF46" si="1410">IF(AA45="Hybrid - Thrust + 2 connections",IF(COUNTIF($EK45:$FD45,FF45)&gt;1,FF45,""),IF(COUNTIF($EK45:$FD45,FF45)&gt;5,FF45,""))</f>
        <v/>
      </c>
      <c r="FG46" s="102" t="str">
        <f t="shared" ref="FG46" si="1411">IF(AB45="Hybrid - Thrust + 2 connections",IF(COUNTIF($EK45:$FD45,FG45)&gt;1,FG45,""),IF(COUNTIF($EK45:$FD45,FG45)&gt;5,FG45,""))</f>
        <v/>
      </c>
      <c r="FH46" s="102" t="str">
        <f t="shared" ref="FH46" si="1412">IF(AC45="Hybrid - Thrust + 2 connections",IF(COUNTIF($EK45:$FD45,FH45)&gt;1,FH45,""),IF(COUNTIF($EK45:$FD45,FH45)&gt;5,FH45,""))</f>
        <v/>
      </c>
      <c r="FI46" s="102" t="str">
        <f t="shared" ref="FI46" si="1413">IF(AD45="Hybrid - Thrust + 2 connections",IF(COUNTIF($EK45:$FD45,FI45)&gt;1,FI45,""),IF(COUNTIF($EK45:$FD45,FI45)&gt;5,FI45,""))</f>
        <v/>
      </c>
      <c r="FJ46" s="102" t="str">
        <f t="shared" ref="FJ46" si="1414">IF(AE45="Hybrid - Thrust + 2 connections",IF(COUNTIF($EK45:$FD45,FJ45)&gt;1,FJ45,""),IF(COUNTIF($EK45:$FD45,FJ45)&gt;5,FJ45,""))</f>
        <v/>
      </c>
      <c r="FK46" s="102" t="str">
        <f t="shared" ref="FK46" si="1415">IF(AF45="Hybrid - Thrust + 2 connections",IF(COUNTIF($EK45:$FD45,FK45)&gt;1,FK45,""),IF(COUNTIF($EK45:$FD45,FK45)&gt;5,FK45,""))</f>
        <v/>
      </c>
      <c r="FL46" s="102" t="str">
        <f t="shared" ref="FL46" si="1416">IF(AG45="Hybrid - Thrust + 2 connections",IF(COUNTIF($EK45:$FD45,FL45)&gt;1,FL45,""),IF(COUNTIF($EK45:$FD45,FL45)&gt;5,FL45,""))</f>
        <v/>
      </c>
      <c r="FM46" s="102" t="str">
        <f t="shared" ref="FM46" si="1417">IF(AH45="Hybrid - Thrust + 2 connections",IF(COUNTIF($EK45:$FD45,FM45)&gt;1,FM45,""),IF(COUNTIF($EK45:$FD45,FM45)&gt;5,FM45,""))</f>
        <v/>
      </c>
      <c r="FN46" s="102" t="str">
        <f t="shared" ref="FN46" si="1418">IF(AI45="Hybrid - Thrust + 2 connections",IF(COUNTIF($EK45:$FD45,FN45)&gt;1,FN45,""),IF(COUNTIF($EK45:$FD45,FN45)&gt;5,FN45,""))</f>
        <v/>
      </c>
      <c r="FO46" s="102">
        <f t="shared" ref="FO46" si="1419">FO44+5</f>
        <v>65</v>
      </c>
      <c r="FP46" s="102" t="str">
        <f t="shared" ref="FP46" ca="1" si="1420">OFFSET($FP$75,FO46,0)</f>
        <v/>
      </c>
      <c r="FQ46" s="102" t="str">
        <f t="shared" ref="FQ46" ca="1" si="1421">OFFSET($FQ$75,FO46,0)</f>
        <v/>
      </c>
      <c r="FR46" s="282"/>
      <c r="FS46" s="282"/>
      <c r="FT46" s="282"/>
      <c r="FU46" s="282"/>
      <c r="FV46" s="282"/>
      <c r="FW46" s="282"/>
      <c r="FX46" s="282"/>
      <c r="FY46" s="282"/>
      <c r="FZ46" s="282"/>
      <c r="GA46" s="282"/>
      <c r="GB46" s="282"/>
      <c r="GC46" s="282"/>
      <c r="GD46" s="282"/>
      <c r="GE46" s="282"/>
      <c r="GF46" s="282"/>
      <c r="GG46" s="282"/>
      <c r="GH46" s="282"/>
      <c r="GI46" s="282"/>
      <c r="GJ46" s="282"/>
      <c r="GK46" s="282"/>
      <c r="GL46" s="282"/>
      <c r="GM46" s="282"/>
      <c r="GN46" s="282"/>
      <c r="GO46" s="282"/>
      <c r="GP46" s="282"/>
      <c r="GQ46" s="282"/>
      <c r="GR46" s="282"/>
      <c r="GS46" s="282"/>
      <c r="GT46" s="282"/>
      <c r="GU46" s="282"/>
      <c r="GV46" s="102"/>
      <c r="GW46" s="102"/>
      <c r="GX46" s="102"/>
      <c r="GY46" s="102"/>
      <c r="GZ46" s="102"/>
      <c r="HA46" s="102"/>
      <c r="HB46" s="102"/>
      <c r="HC46" s="102"/>
      <c r="HD46" s="102" t="str">
        <f>IF($F45="Hybrid - Thrust + 2 connections",COUNTBLANK(J45:L45),"")</f>
        <v/>
      </c>
      <c r="HE46" s="102"/>
      <c r="HF46" s="105"/>
      <c r="HG46" s="105"/>
      <c r="HH46" s="105"/>
      <c r="HI46" s="105"/>
    </row>
    <row r="47" spans="1:222" x14ac:dyDescent="0.25">
      <c r="A47" s="39" t="str">
        <f>IF(AND(E45="",A45&lt;&gt;""),IF(CP45=$CP$18,"",IF(C45&lt;&gt;"",IF(D45=59,MINUTE(CP45)+1,MINUTE(CP45)),"")),"")</f>
        <v/>
      </c>
      <c r="B47" s="40" t="str">
        <f>IF(AND(E45="",B45&lt;&gt;""),IF(CP45=$CP$18,"",IF(C45&lt;&gt;"",IF(D45=59,0,SECOND(CP45)+1),"")),"")</f>
        <v/>
      </c>
      <c r="C47" s="50"/>
      <c r="D47" s="50"/>
      <c r="E47" s="9"/>
      <c r="F47" s="51"/>
      <c r="G47" s="42" t="str">
        <f>IF(F47&lt;&gt;"",IF(OR(F47="Transition",F47="Transition - Surface Connection"),0,MAX($G$19:G46)+1),"")</f>
        <v/>
      </c>
      <c r="H47" s="56" t="str">
        <f t="shared" ref="H47" si="1422">IFERROR(IF(E48="3","",IF(OR(F47="Hybrid - min 4 swimmers (no DD)",LEFT(F47,5)="Trans"),"No DD",CONCATENATE("BM = ",I48))),"")</f>
        <v/>
      </c>
      <c r="I47" s="57"/>
      <c r="J47" s="124"/>
      <c r="K47" s="129"/>
      <c r="L47" s="129"/>
      <c r="M47" s="129"/>
      <c r="N47" s="129"/>
      <c r="O47" s="129"/>
      <c r="P47" s="129"/>
      <c r="Q47" s="129"/>
      <c r="R47" s="129"/>
      <c r="S47" s="129"/>
      <c r="T47" s="129"/>
      <c r="U47" s="129"/>
      <c r="V47" s="129"/>
      <c r="W47" s="129"/>
      <c r="X47" s="129"/>
      <c r="Y47" s="129"/>
      <c r="Z47" s="129"/>
      <c r="AA47" s="129"/>
      <c r="AB47" s="129"/>
      <c r="AC47" s="129"/>
      <c r="AD47" s="129"/>
      <c r="AE47" s="129"/>
      <c r="AF47" s="129"/>
      <c r="AG47" s="129"/>
      <c r="AH47" s="129"/>
      <c r="AI47" s="129"/>
      <c r="AJ47" s="129"/>
      <c r="AK47" s="129"/>
      <c r="AL47" s="129"/>
      <c r="AM47" s="129"/>
      <c r="AN47" s="179"/>
      <c r="AO47" s="43"/>
      <c r="AP47" s="74"/>
      <c r="AQ47" s="74"/>
      <c r="AR47" s="104"/>
      <c r="AS47" s="104"/>
      <c r="AT47" s="104"/>
      <c r="AU47" s="104"/>
      <c r="AV47" s="104"/>
      <c r="AW47" s="105" t="str">
        <f t="shared" ref="AW47" si="1423">E48</f>
        <v/>
      </c>
      <c r="AX47" s="108" t="str">
        <f t="shared" ref="AX47" si="1424">IF(AY47=0,"",TIME(0,A47,B47))</f>
        <v/>
      </c>
      <c r="AY47" s="108">
        <f t="shared" ref="AY47" si="1425">TIME(0,C47,D47)</f>
        <v>0</v>
      </c>
      <c r="AZ47" s="108" t="str">
        <f t="shared" ref="AZ47" si="1426">IFERROR(AY47-AX47,"")</f>
        <v/>
      </c>
      <c r="BA47" s="276" t="str">
        <f t="shared" ref="BA47" si="1427">IF($AX$17=0,"",IF(AND($C$10&lt;&gt;"",AW47="H",AZ47&gt;$AX$17),"X",""))</f>
        <v/>
      </c>
      <c r="BB47" s="104"/>
      <c r="BC47" s="104"/>
      <c r="BD47" s="104"/>
      <c r="BE47" s="104"/>
      <c r="BF47" s="104"/>
      <c r="BG47" s="104" t="str">
        <f>IFERROR(IF(F47&lt;&gt;"",INDEX(Parts_Active,MATCH(F47,Parts_Active,0)),""),"No")</f>
        <v/>
      </c>
      <c r="BH47" s="104"/>
      <c r="BI47" s="104" t="str">
        <f t="shared" ref="BI47" si="1428">IF($E48="H",IF($F47="Hybrid - Thrust + 2 connections","Hybrid_Mix_Req",IF($F47="Hybrid - min 4 swimmers (no DD)","Hybrid_ChoHY","HybridDD_Code")),IF($E48=3,"TreDD_Code",IF($E48="PA","AcroPair_Code",IF(LEFT($F47,4)="Acro",CONCATENATE(BI$16,$E48,"_Code"),"Data!$BI$1:$BI$5"))))</f>
        <v>Data!$BI$1:$BI$5</v>
      </c>
      <c r="BJ47" s="104" t="str">
        <f t="shared" ref="BJ47" si="1429">IF($E48="H",IF($F47="Hybrid - Thrust + 2 connections","Hybrid_Mix_Req",IF($F47="Hybrid - min 4 swimmers (no DD)","Data!$BI$1:$BI$5","HybridDD_Code")),IF($E48=3,"TreDD_Code",IF($E48="PA","AcroPair_Code",IF(LEFT($F47,4)="Acro",CONCATENATE(BJ$16,$E48,"_Code"),"Data!$BI$1:$BI$5"))))</f>
        <v>Data!$BI$1:$BI$5</v>
      </c>
      <c r="BK47" s="104" t="str">
        <f t="shared" si="798"/>
        <v>Data!$BI$1:$BI$5</v>
      </c>
      <c r="BL47" s="104" t="str">
        <f t="shared" si="798"/>
        <v>Data!$BI$1:$BI$5</v>
      </c>
      <c r="BM47" s="104" t="str">
        <f t="shared" si="798"/>
        <v>Data!$BI$1:$BI$5</v>
      </c>
      <c r="BN47" s="104" t="str">
        <f t="shared" si="798"/>
        <v>Data!$BI$1:$BI$5</v>
      </c>
      <c r="BO47" s="104" t="str">
        <f t="shared" si="798"/>
        <v>Data!$BI$1:$BI$5</v>
      </c>
      <c r="BP47" s="104" t="str">
        <f t="shared" si="798"/>
        <v>Data!$BI$1:$BI$5</v>
      </c>
      <c r="BQ47" s="104" t="str">
        <f t="shared" si="798"/>
        <v>Data!$BI$1:$BI$5</v>
      </c>
      <c r="BR47" s="104" t="str">
        <f t="shared" ref="BR47" si="1430">IF($E48="H",IF($F47="Hybrid - Thrust + 2 connections","Data!$BI$1:$BI$5","HybridDD_Code"),"Data!$BI$1:$BI$5")</f>
        <v>Data!$BI$1:$BI$5</v>
      </c>
      <c r="BS47" s="104" t="str">
        <f t="shared" si="369"/>
        <v>Data!$BI$1:$BI$5</v>
      </c>
      <c r="BT47" s="104" t="str">
        <f t="shared" si="369"/>
        <v>Data!$BI$1:$BI$5</v>
      </c>
      <c r="BU47" s="104" t="str">
        <f t="shared" si="369"/>
        <v>Data!$BI$1:$BI$5</v>
      </c>
      <c r="BV47" s="104" t="str">
        <f t="shared" si="369"/>
        <v>Data!$BI$1:$BI$5</v>
      </c>
      <c r="BW47" s="104" t="str">
        <f t="shared" si="369"/>
        <v>Data!$BI$1:$BI$5</v>
      </c>
      <c r="BX47" s="104" t="str">
        <f t="shared" si="369"/>
        <v>Data!$BI$1:$BI$5</v>
      </c>
      <c r="BY47" s="104" t="str">
        <f t="shared" si="369"/>
        <v>Data!$BI$1:$BI$5</v>
      </c>
      <c r="BZ47" s="104" t="str">
        <f t="shared" si="369"/>
        <v>Data!$BI$1:$BI$5</v>
      </c>
      <c r="CA47" s="104" t="str">
        <f t="shared" si="369"/>
        <v>Data!$BI$1:$BI$5</v>
      </c>
      <c r="CB47" s="104" t="str">
        <f t="shared" si="369"/>
        <v>Data!$BI$1:$BI$5</v>
      </c>
      <c r="CC47" s="104" t="str">
        <f t="shared" si="369"/>
        <v>Data!$BI$1:$BI$5</v>
      </c>
      <c r="CD47" s="104" t="str">
        <f t="shared" si="369"/>
        <v>Data!$BI$1:$BI$5</v>
      </c>
      <c r="CE47" s="104" t="str">
        <f t="shared" si="369"/>
        <v>Data!$BI$1:$BI$5</v>
      </c>
      <c r="CF47" s="104" t="str">
        <f t="shared" si="369"/>
        <v>Data!$BI$1:$BI$5</v>
      </c>
      <c r="CG47" s="104" t="str">
        <f t="shared" si="369"/>
        <v>Data!$BI$1:$BI$5</v>
      </c>
      <c r="CH47" s="104" t="str">
        <f t="shared" si="369"/>
        <v>Data!$BI$1:$BI$5</v>
      </c>
      <c r="CI47" s="104" t="str">
        <f t="shared" si="800"/>
        <v>Data!$BI$1:$BI$5</v>
      </c>
      <c r="CJ47" s="104" t="str">
        <f t="shared" si="800"/>
        <v>Data!$BI$1:$BI$5</v>
      </c>
      <c r="CK47" s="104" t="str">
        <f t="shared" si="800"/>
        <v>Data!$BI$1:$BI$5</v>
      </c>
      <c r="CL47" s="104" t="str">
        <f t="shared" si="800"/>
        <v>Data!$BI$1:$BI$5</v>
      </c>
      <c r="CM47" s="104"/>
      <c r="CN47" s="104"/>
      <c r="CO47" s="107" t="str">
        <f>IFERROR(TIME(0,A47,B47),"")</f>
        <v/>
      </c>
      <c r="CP47" s="108">
        <f>IFERROR(TIME(0,C47,D47),"")</f>
        <v>0</v>
      </c>
      <c r="CQ47" s="108" t="str">
        <f t="shared" ref="CQ47" si="1431">IF(CP47&gt;$D$12,"X","")</f>
        <v/>
      </c>
      <c r="CR47" s="102" t="str">
        <f>IF(AND(F47="Hybrid - Thrust + 2 connections",OR(LEFT(J47,1)="T",LEFT(K47,1)="T",LEFT(L47,1)="T",LEFT(PB47,1)="T",LEFT(M47,1)="T",LEFT(N47,1)="T",LEFT(O47,1)="T",LEFT(P47,1)="T",LEFT(Q47,1)="T",LEFT(R47,1)="T",LEFT(S47,1)="T",LEFT(T47,1)="T",LEFT(U47,1)="T",LEFT(V47,1)="T",LEFT(W47,1)="T",LEFT(X47,1)="T",LEFT(AK47,1)="T",LEFT(AL47,1)="T",LEFT(AM47,1)="T")),IF(OR(LEN(J47)=2,LEN(K47)=2,LEN(L47)=2,LEN(M47)=2,LEN(N47)=2,LEN(O47)=2,LEN(P47)=2,LEN(Q47)=2,LEN(R47)=2,LEN(S47)=2,LEN(T47)=2,LEN(U47)=2,LEN(V47)=2,LEN(W47)=2,LEN(X47)=2,LEN(Y47)=2,LEN(Z47)=2,LEN(AK47)=2,LEN(AL47)=2,LEN(AM47)=2),"X",""),"")</f>
        <v/>
      </c>
      <c r="CS47" s="105" t="str">
        <f>IF(F47="Hybrid",SECOND(CP47),"")</f>
        <v/>
      </c>
      <c r="CT47" s="102" t="str">
        <f>IF(LEFT(F47,4)="Acro",IF(AND(N47&lt;&gt;"",M47=RIGHT(N47,2)),"X","OK"),"")</f>
        <v/>
      </c>
      <c r="CU47" s="104" t="str">
        <f t="shared" ref="CU47:DB47" si="1432">IFERROR(IF(AND(LEFT($F47,4)="Acro",INDEX(Requ_App,MATCH(BI47,Requ_Code,0))="No"),"X",""),"")</f>
        <v/>
      </c>
      <c r="CV47" s="104" t="str">
        <f t="shared" si="1432"/>
        <v/>
      </c>
      <c r="CW47" s="104" t="str">
        <f t="shared" si="1432"/>
        <v/>
      </c>
      <c r="CX47" s="104" t="str">
        <f t="shared" si="1432"/>
        <v/>
      </c>
      <c r="CY47" s="104" t="str">
        <f t="shared" si="1432"/>
        <v/>
      </c>
      <c r="CZ47" s="104" t="str">
        <f t="shared" si="1432"/>
        <v/>
      </c>
      <c r="DA47" s="104" t="str">
        <f t="shared" si="1432"/>
        <v/>
      </c>
      <c r="DB47" s="104" t="str">
        <f t="shared" si="1432"/>
        <v/>
      </c>
      <c r="DC47" s="104" t="str">
        <f>IFERROR(IF(AND(LEFT($F47,4)="Acro",INDEX(Requ_App,MATCH(BP47,Requ_Code,0))="No"),"X",""),"")</f>
        <v/>
      </c>
      <c r="DD47" s="102" t="str">
        <f t="shared" si="10"/>
        <v/>
      </c>
      <c r="DE47" s="102" t="str">
        <f t="shared" si="11"/>
        <v/>
      </c>
      <c r="DF47" s="102" t="str">
        <f t="shared" si="12"/>
        <v/>
      </c>
      <c r="DG47" s="102" t="str">
        <f t="shared" si="13"/>
        <v/>
      </c>
      <c r="DK47" s="102">
        <f t="shared" ref="DK47" si="1433">IF(AND(E48="A",OR(Q47="Grip",Q47="Conn",Q47="Catch")),"A1",IF(AND(E48="A",OR(Q47="Hula",Q47="RetSq",Q47="RetPa")),"A2",IF(AND(E48="B",OR(Q47="Twirl",Q47="RotF")),"B1",IF(AND(E48="B",OR(Q47="Moon",Q47="Mov",Q47="Hold")),"B2",IF(AND(E48="P",OR(Q47="Porp",Q47="Splch")),"P1",IF(AND(E48="P",OR(Q47="Diva",Q47="Stand")),"P2",IF(AND(E48="P",OR(Q47="Spider",Q47="Climb")),"P3",IF(AND(E48="P",OR(Q47="Fall",Q47="FTurn")),"P4",IF(AND(E48="C",OR(Q47="Jump",Q47="Jump&gt;",Q47="On1Foot",Q47="1F&gt;1F")),"C1",IF(AND(E48="C",OR(Q47="Run",Q47="BRun")),"C2",1))))))))))</f>
        <v>1</v>
      </c>
      <c r="DL47" s="102">
        <f t="shared" ref="DL47" si="1434">IF(AND(E48="A",OR(R47="Grip",R47="Conn",R47="Catch")),"A1",IF(AND(E48="A",OR(R47="Hula",R47="RetSq",R47="RetPa")),"A2",IF(AND(E48="B",OR(R47="Twirl",R47="RotF")),"B1",IF(AND(E48="B",OR(R47="Moon",R47="Mov",R47="Hold")),"B2",IF(AND(E48="P",OR(R47="Porp",R47="Spich")),"P1",IF(AND(E48="P",OR(R47="Diva",R47="Stand")),"P2",IF(AND(E48="P",OR(R47="Spider",R47="Climb")),"P3",IF(AND(E48="P",OR(R47="Fall",R47="FTurn")),"P4",IF(AND(E48="C",OR(R47="Jump",R47="Jump&gt;",R47="On1Foot",R47="1F&gt;1F")),"C1",IF(AND(E48="C",OR(R47="Run",R47="BRun")),"C2",2))))))))))</f>
        <v>2</v>
      </c>
      <c r="DM47" s="102" t="str">
        <f>IF(AND(LEFT(F47,4)="Acro",Q47&lt;&gt;"",OR(Q47=R47,DK47=DL47)),IF(R47="C-Roll","","X"),IF(OR(AND(E48="A",Q47="Catch",R47&lt;&gt;"Dbl"),AND(E48="A",R47="Catch",Q47&lt;&gt;"Dbl")),"X",""))</f>
        <v/>
      </c>
      <c r="DN47" s="102" t="str">
        <f>IF(E48="PA",J47,"")</f>
        <v/>
      </c>
      <c r="DO47" s="102">
        <v>29</v>
      </c>
      <c r="DQ47" s="102" t="str">
        <f>IF(AND($E48="A",COUNTIF($DZ$19:$EA$68,DZ47)&gt;1),DZ47,"")</f>
        <v/>
      </c>
      <c r="DR47" s="102" t="str">
        <f>IF(AND($E48="A",COUNTIF($DZ$19:$EA$68,EA47)&gt;1),EA47,"")</f>
        <v/>
      </c>
      <c r="DS47" s="102" t="str">
        <f ca="1">IF(AND($E48="B",COUNTIF($J$19:$J$68,J47)&gt;1),J47,"")</f>
        <v/>
      </c>
      <c r="DT47" s="102" t="str">
        <f ca="1">IF(AND($E48="B",COUNTIF($K$19:$K$68,K47)&gt;1),K47,"")</f>
        <v/>
      </c>
      <c r="DU47" s="102" t="str">
        <f ca="1">IF(AND($E48="C",COUNTIF($J$19:$J$68,J47)&gt;1),J47,"")</f>
        <v/>
      </c>
      <c r="DV47" s="102" t="str">
        <f ca="1">IF(AND($E48="P",COUNTIF($J$19:$J$68,J47)&gt;1),J47,"")</f>
        <v/>
      </c>
      <c r="DW47" s="102" t="str">
        <f ca="1">IF(AND($E48="P",COUNTIF($K$19:$K$68,K47)&gt;1),K47,"")</f>
        <v/>
      </c>
      <c r="DX47" s="102" t="str">
        <f>IF(AND($E48="P",COUNTIF($DZ$19:$EA$68,DZ47)&gt;1),DZ47,"")</f>
        <v/>
      </c>
      <c r="DY47" s="102" t="str">
        <f>IF(AND($E48="P",COUNTIF($DZ$19:$EA$68,EA47)&gt;1),EA47,"")</f>
        <v/>
      </c>
      <c r="DZ47" s="102" t="str">
        <f>IFERROR(IF(OR(E48="A",E48="P"),M47,""),"")</f>
        <v/>
      </c>
      <c r="EA47" s="102" t="str">
        <f>IFERROR(IF(OR(E48="A",E48="P"),RIGHT(N47,2),""),"")</f>
        <v/>
      </c>
      <c r="EB47" s="102" t="str">
        <f t="shared" ref="EB47" si="1435">IF(Q47="","",IF(AND($E48="P",COUNTIF($Q$19:$R$68,Q47)&gt;1),Q47,""))</f>
        <v/>
      </c>
      <c r="EC47" s="102" t="str">
        <f t="shared" ref="EC47" si="1436">IF(R47="","",IF(AND($E48="P",COUNTIF($Q$19:$R$68,R47)&gt;1),R47,""))</f>
        <v/>
      </c>
      <c r="ED47" s="102" t="str">
        <f t="shared" si="14"/>
        <v/>
      </c>
      <c r="EE47" s="102" t="str">
        <f t="shared" si="15"/>
        <v/>
      </c>
      <c r="EF47" s="102" t="str">
        <f>IF(AND($F$8="Open Team Acrobatic",LEFT(F47,4)="Acro"),E48,"")</f>
        <v/>
      </c>
      <c r="EG47" s="102" t="str">
        <f t="shared" ref="EG47" si="1437">IFERROR(IF(HLOOKUP(EF47,$DQ$12:$DT$13,2,FALSE)&gt;2,"X",""),"")</f>
        <v/>
      </c>
      <c r="EI47" s="102" t="str">
        <f t="shared" ref="EI47" si="1438">IF(OR(AND(F47="Hybrid - Thrust + 2 connections",EI48="T"),AND(E48="H",EI48&lt;&gt;"",EI101="X")),"X","")</f>
        <v/>
      </c>
      <c r="EK47" s="102">
        <f t="shared" ref="EK47" si="1439">IFERROR(IF(AND($E48="H",J47&lt;&gt;"",J47&lt;&gt;"ChoHY"),IF(OR(LEFT(J47,1)="T",LEFT(J47,1)="S",LEFT(J47,1)="A",LEFT(J47,1)="F",LEFT(J47,1)="C"),LEFT(J47,1),"R"),EK$18),"")</f>
        <v>1</v>
      </c>
      <c r="EL47" s="102">
        <f t="shared" ref="EL47:EZ47" si="1440">IFERROR(IF(AND($E48="H",K47&lt;&gt;""),IF(OR(LEFT(K47,1)="T",LEFT(K47,1)="S",LEFT(K47,1)="A",LEFT(K47,1)="F",LEFT(K47,1)="C"),LEFT(K47,1),"R"),EL$18),"")</f>
        <v>2</v>
      </c>
      <c r="EM47" s="102">
        <f t="shared" si="1440"/>
        <v>3</v>
      </c>
      <c r="EN47" s="102">
        <f t="shared" si="1440"/>
        <v>4</v>
      </c>
      <c r="EO47" s="102">
        <f t="shared" si="1440"/>
        <v>5</v>
      </c>
      <c r="EP47" s="102">
        <f t="shared" si="1440"/>
        <v>6</v>
      </c>
      <c r="EQ47" s="102">
        <f t="shared" si="1440"/>
        <v>7</v>
      </c>
      <c r="ER47" s="102">
        <f t="shared" si="1440"/>
        <v>8</v>
      </c>
      <c r="ES47" s="102">
        <f t="shared" si="1440"/>
        <v>9</v>
      </c>
      <c r="ET47" s="102">
        <f t="shared" si="1440"/>
        <v>10</v>
      </c>
      <c r="EU47" s="102">
        <f t="shared" si="1440"/>
        <v>11</v>
      </c>
      <c r="EV47" s="102">
        <f t="shared" si="1440"/>
        <v>12</v>
      </c>
      <c r="EW47" s="102">
        <f t="shared" si="1440"/>
        <v>13</v>
      </c>
      <c r="EX47" s="102">
        <f t="shared" si="1440"/>
        <v>14</v>
      </c>
      <c r="EY47" s="102">
        <f t="shared" si="1440"/>
        <v>15</v>
      </c>
      <c r="EZ47" s="102">
        <f t="shared" si="1440"/>
        <v>16</v>
      </c>
      <c r="FA47" s="102">
        <f t="shared" ref="FA47" si="1441">IFERROR(IF(AND($E48="H",Z47&lt;&gt;""),IF(OR(LEFT(Z47,1)="T",LEFT(Z47,1)="S",LEFT(Z47,1)="A",LEFT(Z47,1)="F",LEFT(Z47,1)="C"),LEFT(Z47,1),"R"),FA$18),"")</f>
        <v>17</v>
      </c>
      <c r="FB47" s="102">
        <f t="shared" ref="FB47" si="1442">IFERROR(IF(AND($E48="H",AA47&lt;&gt;""),IF(OR(LEFT(AA47,1)="T",LEFT(AA47,1)="S",LEFT(AA47,1)="A",LEFT(AA47,1)="F",LEFT(AA47,1)="C"),LEFT(AA47,1),"R"),FB$18),"")</f>
        <v>18</v>
      </c>
      <c r="FC47" s="102">
        <f t="shared" ref="FC47" si="1443">IFERROR(IF(AND($E48="H",AB47&lt;&gt;""),IF(OR(LEFT(AB47,1)="T",LEFT(AB47,1)="S",LEFT(AB47,1)="A",LEFT(AB47,1)="F",LEFT(AB47,1)="C"),LEFT(AB47,1),"R"),FC$18),"")</f>
        <v>19</v>
      </c>
      <c r="FD47" s="102">
        <f t="shared" ref="FD47" si="1444">IFERROR(IF(AND($E48="H",AC47&lt;&gt;""),IF(OR(LEFT(AC47,1)="T",LEFT(AC47,1)="S",LEFT(AC47,1)="A",LEFT(AC47,1)="F",LEFT(AC47,1)="C"),LEFT(AC47,1),"R"),FD$18),"")</f>
        <v>20</v>
      </c>
      <c r="FE47" s="102">
        <f t="shared" ref="FE47" si="1445">IFERROR(IF(AND($E48="H",AD47&lt;&gt;""),IF(OR(LEFT(AD47,1)="T",LEFT(AD47,1)="S",LEFT(AD47,1)="A",LEFT(AD47,1)="F",LEFT(AD47,1)="C"),LEFT(AD47,1),"R"),FE$18),"")</f>
        <v>21</v>
      </c>
      <c r="FF47" s="102">
        <f t="shared" ref="FF47" si="1446">IFERROR(IF(AND($E48="H",AE47&lt;&gt;""),IF(OR(LEFT(AE47,1)="T",LEFT(AE47,1)="S",LEFT(AE47,1)="A",LEFT(AE47,1)="F",LEFT(AE47,1)="C"),LEFT(AE47,1),"R"),FF$18),"")</f>
        <v>22</v>
      </c>
      <c r="FG47" s="102">
        <f t="shared" ref="FG47" si="1447">IFERROR(IF(AND($E48="H",AF47&lt;&gt;""),IF(OR(LEFT(AF47,1)="T",LEFT(AF47,1)="S",LEFT(AF47,1)="A",LEFT(AF47,1)="F",LEFT(AF47,1)="C"),LEFT(AF47,1),"R"),FG$18),"")</f>
        <v>23</v>
      </c>
      <c r="FH47" s="102">
        <f t="shared" ref="FH47" si="1448">IFERROR(IF(AND($E48="H",AG47&lt;&gt;""),IF(OR(LEFT(AG47,1)="T",LEFT(AG47,1)="S",LEFT(AG47,1)="A",LEFT(AG47,1)="F",LEFT(AG47,1)="C"),LEFT(AG47,1),"R"),FH$18),"")</f>
        <v>24</v>
      </c>
      <c r="FI47" s="102">
        <f t="shared" ref="FI47" si="1449">IFERROR(IF(AND($E48="H",AH47&lt;&gt;""),IF(OR(LEFT(AH47,1)="T",LEFT(AH47,1)="S",LEFT(AH47,1)="A",LEFT(AH47,1)="F",LEFT(AH47,1)="C"),LEFT(AH47,1),"R"),FI$18),"")</f>
        <v>25</v>
      </c>
      <c r="FJ47" s="102">
        <f t="shared" ref="FJ47" si="1450">IFERROR(IF(AND($E48="H",AI47&lt;&gt;""),IF(OR(LEFT(AI47,1)="T",LEFT(AI47,1)="S",LEFT(AI47,1)="A",LEFT(AI47,1)="F",LEFT(AI47,1)="C"),LEFT(AI47,1),"R"),FJ$18),"")</f>
        <v>26</v>
      </c>
      <c r="FK47" s="102">
        <f t="shared" ref="FK47" si="1451">IFERROR(IF(AND($E48="H",AJ47&lt;&gt;""),IF(OR(LEFT(AJ47,1)="T",LEFT(AJ47,1)="S",LEFT(AJ47,1)="A",LEFT(AJ47,1)="F",LEFT(AJ47,1)="C"),LEFT(AJ47,1),"R"),FK$18),"")</f>
        <v>27</v>
      </c>
      <c r="FL47" s="102">
        <f t="shared" ref="FL47" si="1452">IFERROR(IF(AND($E48="H",AK47&lt;&gt;""),IF(OR(LEFT(AK47,1)="T",LEFT(AK47,1)="S",LEFT(AK47,1)="A",LEFT(AK47,1)="F",LEFT(AK47,1)="C"),LEFT(AK47,1),"R"),FL$18),"")</f>
        <v>28</v>
      </c>
      <c r="FM47" s="102">
        <f t="shared" ref="FM47" si="1453">IFERROR(IF(AND($E48="H",AL47&lt;&gt;""),IF(OR(LEFT(AL47,1)="T",LEFT(AL47,1)="S",LEFT(AL47,1)="A",LEFT(AL47,1)="F",LEFT(AL47,1)="C"),LEFT(AL47,1),"R"),FM$18),"")</f>
        <v>29</v>
      </c>
      <c r="FN47" s="102">
        <f t="shared" ref="FN47" si="1454">IFERROR(IF(AND($E48="H",AM47&lt;&gt;""),IF(OR(LEFT(AM47,1)="T",LEFT(AM47,1)="S",LEFT(AM47,1)="A",LEFT(AM47,1)="F",LEFT(AM47,1)="C"),LEFT(AM47,1),"R"),FN$18),"")</f>
        <v>30</v>
      </c>
      <c r="FO47" s="102"/>
      <c r="FP47" s="102"/>
      <c r="FQ47" s="102"/>
      <c r="FR47" s="282"/>
      <c r="FS47" s="282"/>
      <c r="FT47" s="282"/>
      <c r="FU47" s="282"/>
      <c r="FV47" s="282"/>
      <c r="FW47" s="282"/>
      <c r="FX47" s="282"/>
      <c r="FY47" s="282"/>
      <c r="FZ47" s="282"/>
      <c r="GA47" s="282"/>
      <c r="GB47" s="282"/>
      <c r="GC47" s="282"/>
      <c r="GD47" s="282"/>
      <c r="GE47" s="282"/>
      <c r="GF47" s="282"/>
      <c r="GG47" s="282"/>
      <c r="GH47" s="282"/>
      <c r="GI47" s="282"/>
      <c r="GJ47" s="282"/>
      <c r="GK47" s="282"/>
      <c r="GL47" s="282"/>
      <c r="GM47" s="282"/>
      <c r="GN47" s="282"/>
      <c r="GO47" s="282"/>
      <c r="GP47" s="282"/>
      <c r="GQ47" s="282"/>
      <c r="GR47" s="282"/>
      <c r="GS47" s="282"/>
      <c r="GT47" s="282"/>
      <c r="GU47" s="282"/>
      <c r="GV47" s="102"/>
      <c r="GW47" s="102">
        <f t="shared" ref="GW47" si="1455">COUNTIF($EK47:$FN47,GW$18)</f>
        <v>0</v>
      </c>
      <c r="GX47" s="102">
        <f t="shared" si="825"/>
        <v>0</v>
      </c>
      <c r="GY47" s="102">
        <f t="shared" si="825"/>
        <v>0</v>
      </c>
      <c r="GZ47" s="102">
        <f t="shared" si="825"/>
        <v>0</v>
      </c>
      <c r="HA47" s="102">
        <f t="shared" si="825"/>
        <v>0</v>
      </c>
      <c r="HB47" s="102">
        <f t="shared" si="825"/>
        <v>0</v>
      </c>
      <c r="HC47" s="102"/>
      <c r="HD47" s="102" t="str">
        <f t="shared" ref="HD47" si="1456">IF(AND($F47="Hybrid - Thrust + 2 connections",HD48=0,LEFT($J47,1)="C",LEFT($K47,1)="C",LEFT($L47,1)="C"),"X","")</f>
        <v/>
      </c>
      <c r="HE47" s="102"/>
      <c r="HF47" s="105"/>
      <c r="HG47" s="114"/>
      <c r="HH47" s="114"/>
      <c r="HI47" s="105" t="str">
        <f t="shared" ref="HI47" si="1457">IF(E48=3,IF(_xlfn.NUMBERVALUE(LEFT(J47,1))&gt;0,_xlfn.NUMBERVALUE(LEFT(J47,1)),""),"")</f>
        <v/>
      </c>
      <c r="HK47" s="105" t="str">
        <f t="shared" ref="HK47" si="1458">IF(OR(E48="B",E48="P"),E48,"")</f>
        <v/>
      </c>
      <c r="HL47" s="105" t="str">
        <f>IF(AND(J47&lt;&gt;"",HK47&lt;&gt;""),IF(HK47="B",MATCH(J47,AcroDD!$U$3:$AE$3,0),MATCH(J47,AcroDD!$U$30:$AC$30,0)),"")</f>
        <v/>
      </c>
      <c r="HM47" s="105" t="str">
        <f t="shared" ref="HM47" si="1459">IF(AND(K47&lt;&gt;"",HK47&lt;&gt;""),K47,"")</f>
        <v/>
      </c>
      <c r="HN47" s="105" t="str">
        <f ca="1">IF(AND(OR(HK47="B",HK47="P"),HL47&lt;&gt;"",HM47&lt;&gt;""),IF(IFERROR(IF(HK47="B",MATCH(HM47,OFFSET(AcroDD!$T$4,0,HL47,20),0),MATCH(HM47,OFFSET(AcroDD!$T$31,0,HL47,20),0)),"")&lt;&gt;"","OK","X"),"")</f>
        <v/>
      </c>
    </row>
    <row r="48" spans="1:222" x14ac:dyDescent="0.25">
      <c r="A48" s="39"/>
      <c r="B48" s="40"/>
      <c r="C48" s="40"/>
      <c r="D48" s="40"/>
      <c r="E48" s="20" t="str">
        <f t="shared" ref="E48" si="1460">IF(F47="Acrobatic - Pair","PA",IF(F47="Acrobatic Airborn","A",IF(F47="Acrobatic Balance","B",IF(F47="Acrobatic Combined","C",IF(F47="Acrobatic Platform","P",IF(F47="Technical Required Element",3,IF(LEFT(F47,4)="Hybr","H","")))))))</f>
        <v/>
      </c>
      <c r="F48" s="20" t="str">
        <f>IF(AND(F47="Hybrid - Thrust + 2 connections",CR47="X"),"Hybrid - Thrust",IF(OR(E48="A",E48="B",E48="C",E48="P"),"Acrobatic",""))</f>
        <v/>
      </c>
      <c r="G48" s="42"/>
      <c r="H48" s="207" t="str">
        <f t="shared" ref="H48" si="1461">IF(E48="PA",IF(OR(LEFT(J47,1)="L",LEFT(J47,1)="S"),"A-Pair-Lift",IF(OR(LEFT(J47,1)="W",LEFT(J47,1)="T"),"A-Pair-Throw",IF(LEFT(J47,1)="J","A-Pair-Jump","A-Pair"))),IF(OR(E48="A",E48="B",E48="C",E48="P"),CONCATENATE("Acro-",E48),""))</f>
        <v/>
      </c>
      <c r="I48" s="201" t="e">
        <f t="shared" ref="I48" si="1462">IF(OR(F47="Hybrid - min 4 swimmers (no DD)",LEFT(F47,5)="Trans"),0,INDEX($BY$3:$BY$9,MATCH(E48,$BX$3:$BX$9,0)))</f>
        <v>#N/A</v>
      </c>
      <c r="J48" s="196">
        <f ca="1">IFERROR(IF($H47="No DD",IF(J47="ChoHY",1,0),IF(OR(ISBLANK(J47),J47="N/A"),0,INDEX(INDIRECT(BI48),MATCH(J47,INDIRECT(BI47),0)))),0)</f>
        <v>0</v>
      </c>
      <c r="K48" s="196">
        <f t="shared" ref="K48:Y48" ca="1" si="1463">IFERROR(IF($H47="No DD",0,IF(OR(ISBLANK(K47),K47="N/A"),0,INDEX(INDIRECT(BJ48),MATCH(K47,INDIRECT(BJ47),0)))),0)</f>
        <v>0</v>
      </c>
      <c r="L48" s="196">
        <f t="shared" ca="1" si="1463"/>
        <v>0</v>
      </c>
      <c r="M48" s="196">
        <f t="shared" ca="1" si="1463"/>
        <v>0</v>
      </c>
      <c r="N48" s="196">
        <f t="shared" ca="1" si="1463"/>
        <v>0</v>
      </c>
      <c r="O48" s="196">
        <f t="shared" ca="1" si="1463"/>
        <v>0</v>
      </c>
      <c r="P48" s="196">
        <f t="shared" ca="1" si="1463"/>
        <v>0</v>
      </c>
      <c r="Q48" s="196">
        <f t="shared" ca="1" si="1463"/>
        <v>0</v>
      </c>
      <c r="R48" s="196">
        <f t="shared" ca="1" si="1463"/>
        <v>0</v>
      </c>
      <c r="S48" s="196">
        <f t="shared" ca="1" si="1463"/>
        <v>0</v>
      </c>
      <c r="T48" s="196">
        <f t="shared" ca="1" si="1463"/>
        <v>0</v>
      </c>
      <c r="U48" s="196">
        <f t="shared" ca="1" si="1463"/>
        <v>0</v>
      </c>
      <c r="V48" s="196">
        <f t="shared" ca="1" si="1463"/>
        <v>0</v>
      </c>
      <c r="W48" s="196">
        <f t="shared" ca="1" si="1463"/>
        <v>0</v>
      </c>
      <c r="X48" s="196">
        <f t="shared" ca="1" si="1463"/>
        <v>0</v>
      </c>
      <c r="Y48" s="196">
        <f t="shared" ca="1" si="1463"/>
        <v>0</v>
      </c>
      <c r="Z48" s="196">
        <f t="shared" ref="Z48" ca="1" si="1464">IFERROR(IF($H47="No DD",0,IF(OR(ISBLANK(Z47),Z47="N/A"),0,INDEX(INDIRECT(BY48),MATCH(Z47,INDIRECT(BY47),0)))),0)</f>
        <v>0</v>
      </c>
      <c r="AA48" s="196">
        <f t="shared" ref="AA48" ca="1" si="1465">IFERROR(IF($H47="No DD",0,IF(OR(ISBLANK(AA47),AA47="N/A"),0,INDEX(INDIRECT(BZ48),MATCH(AA47,INDIRECT(BZ47),0)))),0)</f>
        <v>0</v>
      </c>
      <c r="AB48" s="196">
        <f t="shared" ref="AB48" ca="1" si="1466">IFERROR(IF($H47="No DD",0,IF(OR(ISBLANK(AB47),AB47="N/A"),0,INDEX(INDIRECT(CA48),MATCH(AB47,INDIRECT(CA47),0)))),0)</f>
        <v>0</v>
      </c>
      <c r="AC48" s="196">
        <f t="shared" ref="AC48" ca="1" si="1467">IFERROR(IF($H47="No DD",0,IF(OR(ISBLANK(AC47),AC47="N/A"),0,INDEX(INDIRECT(CB48),MATCH(AC47,INDIRECT(CB47),0)))),0)</f>
        <v>0</v>
      </c>
      <c r="AD48" s="196">
        <f t="shared" ref="AD48" ca="1" si="1468">IFERROR(IF($H47="No DD",0,IF(OR(ISBLANK(AD47),AD47="N/A"),0,INDEX(INDIRECT(CC48),MATCH(AD47,INDIRECT(CC47),0)))),0)</f>
        <v>0</v>
      </c>
      <c r="AE48" s="196">
        <f t="shared" ref="AE48" ca="1" si="1469">IFERROR(IF($H47="No DD",0,IF(OR(ISBLANK(AE47),AE47="N/A"),0,INDEX(INDIRECT(CD48),MATCH(AE47,INDIRECT(CD47),0)))),0)</f>
        <v>0</v>
      </c>
      <c r="AF48" s="196">
        <f t="shared" ref="AF48" ca="1" si="1470">IFERROR(IF($H47="No DD",0,IF(OR(ISBLANK(AF47),AF47="N/A"),0,INDEX(INDIRECT(CE48),MATCH(AF47,INDIRECT(CE47),0)))),0)</f>
        <v>0</v>
      </c>
      <c r="AG48" s="196">
        <f t="shared" ref="AG48" ca="1" si="1471">IFERROR(IF($H47="No DD",0,IF(OR(ISBLANK(AG47),AG47="N/A"),0,INDEX(INDIRECT(CF48),MATCH(AG47,INDIRECT(CF47),0)))),0)</f>
        <v>0</v>
      </c>
      <c r="AH48" s="196">
        <f t="shared" ref="AH48" ca="1" si="1472">IFERROR(IF($H47="No DD",0,IF(OR(ISBLANK(AH47),AH47="N/A"),0,INDEX(INDIRECT(CG48),MATCH(AH47,INDIRECT(CG47),0)))),0)</f>
        <v>0</v>
      </c>
      <c r="AI48" s="196">
        <f t="shared" ref="AI48" ca="1" si="1473">IFERROR(IF($H47="No DD",0,IF(OR(ISBLANK(AI47),AI47="N/A"),0,INDEX(INDIRECT(CH48),MATCH(AI47,INDIRECT(CH47),0)))),0)</f>
        <v>0</v>
      </c>
      <c r="AJ48" s="196">
        <f t="shared" ref="AJ48" ca="1" si="1474">IFERROR(IF($H47="No DD",0,IF(OR(ISBLANK(AJ47),AJ47="N/A"),0,INDEX(INDIRECT(CI48),MATCH(AJ47,INDIRECT(CI47),0)))),0)</f>
        <v>0</v>
      </c>
      <c r="AK48" s="196">
        <f t="shared" ref="AK48" ca="1" si="1475">IFERROR(IF($H47="No DD",0,IF(OR(ISBLANK(AK47),AK47="N/A"),0,INDEX(INDIRECT(CJ48),MATCH(AK47,INDIRECT(CJ47),0)))),0)</f>
        <v>0</v>
      </c>
      <c r="AL48" s="196">
        <f t="shared" ref="AL48" ca="1" si="1476">IFERROR(IF($H47="No DD",0,IF(OR(ISBLANK(AL47),AL47="N/A"),0,INDEX(INDIRECT(CK48),MATCH(AL47,INDIRECT(CK47),0)))),0)</f>
        <v>0</v>
      </c>
      <c r="AM48" s="196">
        <f t="shared" ref="AM48" ca="1" si="1477">IFERROR(IF($H47="No DD",0,IF(OR(ISBLANK(AM47),AM47="N/A"),0,INDEX(INDIRECT(CL48),MATCH(AM47,INDIRECT(CL47),0)))),0)</f>
        <v>0</v>
      </c>
      <c r="AN48" s="197" t="str">
        <f>IFERROR(IF(E48="H",INDEX(HybridBonus_Value,MATCH(AN47,HybridBonus_Code,0)),""),"")</f>
        <v/>
      </c>
      <c r="AO48" s="195" t="str">
        <f t="shared" ref="AO48" si="1478">IFERROR(SUM(I48:AN48),"")</f>
        <v/>
      </c>
      <c r="AP48" s="75"/>
      <c r="AQ48" s="75"/>
      <c r="AR48" s="115"/>
      <c r="AS48" s="115"/>
      <c r="AT48" s="115"/>
      <c r="AU48" s="115"/>
      <c r="AV48" s="115"/>
      <c r="BA48" s="104"/>
      <c r="BB48" s="115"/>
      <c r="BC48" s="115"/>
      <c r="BD48" s="115"/>
      <c r="BE48" s="115"/>
      <c r="BF48" s="115"/>
      <c r="BG48" s="104"/>
      <c r="BH48" s="115"/>
      <c r="BI48" s="105" t="str">
        <f t="shared" ref="BI48" si="1479">IF($E48="H",IF($F47="Hybrid - Thrust + 2 connections","Hybrid_Mix_Req_Value","HybridDD_Value"),IF($E48=3,"TreDD_Value",IF($E48="PA","AcroPair_Value",IF(LEFT($F47,4)="Acro",CONCATENATE(BI$16,$E48,"_Value"),""))))</f>
        <v/>
      </c>
      <c r="BJ48" s="105" t="str">
        <f t="shared" ref="BJ48" si="1480">IF($E48="H",IF($F47="Hybrid - Thrust + 2 connections","Hybrid_Mix_Req_Value","HybridDD_Value"),IF($E48=3,"TreDD_Value",IF($E48="PA","AcroPair_Value",IF(LEFT($F47,4)="Acro",CONCATENATE(BJ$16,$E48,"_Value"),""))))</f>
        <v/>
      </c>
      <c r="BK48" s="105" t="str">
        <f t="shared" ref="BK48" si="1481">IF($E48="H",IF($F47="Hybrid - Thrust + 2 connections","Hybrid_Mix_Req_Value","HybridDD_Value"),IF($E48=3,"TreDD_Value",IF($E48="PA","AcroPair_Value",IF(LEFT($F47,4)="Acro",CONCATENATE(BK$16,$E48,"_Value"),""))))</f>
        <v/>
      </c>
      <c r="BL48" s="105" t="str">
        <f t="shared" ref="BL48" si="1482">IF($E48="H",IF($F47="Hybrid - Thrust + 2 connections","Hybrid_Mix_Req_Value","HybridDD_Value"),IF($E48=3,"TreDD_Value",IF($E48="PA","AcroPair_Value",IF(LEFT($F47,4)="Acro",CONCATENATE(BL$16,$E48,"_Value"),""))))</f>
        <v/>
      </c>
      <c r="BM48" s="105" t="str">
        <f t="shared" ref="BM48" si="1483">IF($E48="H",IF($F47="Hybrid - Thrust + 2 connections","Hybrid_Mix_Req_Value","HybridDD_Value"),IF($E48=3,"TreDD_Value",IF($E48="PA","AcroPair_Value",IF(LEFT($F47,4)="Acro",CONCATENATE(BM$16,$E48,"_Value"),""))))</f>
        <v/>
      </c>
      <c r="BN48" s="105" t="str">
        <f t="shared" ref="BN48" si="1484">IF($E48="H",IF($F47="Hybrid - Thrust + 2 connections","Hybrid_Mix_Req_Value","HybridDD_Value"),IF($E48=3,"TreDD_Value",IF($E48="PA","AcroPair_Value",IF(LEFT($F47,4)="Acro",CONCATENATE(BN$16,$E48,"_Value"),""))))</f>
        <v/>
      </c>
      <c r="BO48" s="105" t="str">
        <f t="shared" ref="BO48" si="1485">IF($E48="H",IF($F47="Hybrid - Thrust + 2 connections","Hybrid_Mix_Req_Value","HybridDD_Value"),IF($E48=3,"TreDD_Value",IF($E48="PA","AcroPair_Value",IF(LEFT($F47,4)="Acro",CONCATENATE(BO$16,$E48,"_Value"),""))))</f>
        <v/>
      </c>
      <c r="BP48" s="105" t="str">
        <f t="shared" ref="BP48" si="1486">IF($E48="H",IF($F47="Hybrid - Thrust + 2 connections","Hybrid_Mix_Req_Value","HybridDD_Value"),IF($E48=3,"TreDD_Value",IF($E48="PA","AcroPair_Value",IF(LEFT($F47,4)="Acro",CONCATENATE(BP$16,$E48,"_Value"),""))))</f>
        <v/>
      </c>
      <c r="BQ48" s="105" t="str">
        <f t="shared" ref="BQ48" si="1487">IF($E48="H",IF($F47="Hybrid - Thrust + 2 connections","Hybrid_Mix_Req_Value","HybridDD_Value"),IF($E48=3,"TreDD_Value",IF($E48="PA","AcroPair_Value",IF(LEFT($F47,4)="Acro",CONCATENATE(BQ$16,$E48,"_Value"),""))))</f>
        <v/>
      </c>
      <c r="BR48" s="104" t="str">
        <f t="shared" ref="BR48" si="1488">IF($E48="H",IF($F47="Hybrid - Thrust + 2 connections","Data!$BI$1:$BI$5","HybridDD_Value"),"Data!$BI$1:$BI$5")</f>
        <v>Data!$BI$1:$BI$5</v>
      </c>
      <c r="BS48" s="104" t="str">
        <f t="shared" ref="BS48" si="1489">IF($E48="H",IF($F47="Hybrid - Thrust + 2 connections","Data!$BI$1:$BI$5","HybridDD_Value"),"Data!$BI$1:$BI$5")</f>
        <v>Data!$BI$1:$BI$5</v>
      </c>
      <c r="BT48" s="104" t="str">
        <f t="shared" ref="BT48" si="1490">IF($E48="H",IF($F47="Hybrid - Thrust + 2 connections","Data!$BI$1:$BI$5","HybridDD_Value"),"Data!$BI$1:$BI$5")</f>
        <v>Data!$BI$1:$BI$5</v>
      </c>
      <c r="BU48" s="104" t="str">
        <f t="shared" ref="BU48" si="1491">IF($E48="H",IF($F47="Hybrid - Thrust + 2 connections","Data!$BI$1:$BI$5","HybridDD_Value"),"Data!$BI$1:$BI$5")</f>
        <v>Data!$BI$1:$BI$5</v>
      </c>
      <c r="BV48" s="104" t="str">
        <f t="shared" ref="BV48" si="1492">IF($E48="H",IF($F47="Hybrid - Thrust + 2 connections","Data!$BI$1:$BI$5","HybridDD_Value"),"Data!$BI$1:$BI$5")</f>
        <v>Data!$BI$1:$BI$5</v>
      </c>
      <c r="BW48" s="104" t="str">
        <f t="shared" ref="BW48" si="1493">IF($E48="H",IF($F47="Hybrid - Thrust + 2 connections","Data!$BI$1:$BI$5","HybridDD_Value"),"Data!$BI$1:$BI$5")</f>
        <v>Data!$BI$1:$BI$5</v>
      </c>
      <c r="BX48" s="104" t="str">
        <f t="shared" ref="BX48" si="1494">IF($E48="H",IF($F47="Hybrid - Thrust + 2 connections","Data!$BI$1:$BI$5","HybridDD_Value"),"Data!$BI$1:$BI$5")</f>
        <v>Data!$BI$1:$BI$5</v>
      </c>
      <c r="BY48" s="104" t="str">
        <f t="shared" ref="BY48" si="1495">IF($E48="H",IF($F47="Hybrid - Thrust + 2 connections","Data!$BI$1:$BI$5","HybridDD_Value"),"Data!$BI$1:$BI$5")</f>
        <v>Data!$BI$1:$BI$5</v>
      </c>
      <c r="BZ48" s="104" t="str">
        <f t="shared" ref="BZ48" si="1496">IF($E48="H",IF($F47="Hybrid - Thrust + 2 connections","Data!$BI$1:$BI$5","HybridDD_Value"),"Data!$BI$1:$BI$5")</f>
        <v>Data!$BI$1:$BI$5</v>
      </c>
      <c r="CA48" s="104" t="str">
        <f t="shared" ref="CA48" si="1497">IF($E48="H",IF($F47="Hybrid - Thrust + 2 connections","Data!$BI$1:$BI$5","HybridDD_Value"),"Data!$BI$1:$BI$5")</f>
        <v>Data!$BI$1:$BI$5</v>
      </c>
      <c r="CB48" s="104" t="str">
        <f t="shared" ref="CB48" si="1498">IF($E48="H",IF($F47="Hybrid - Thrust + 2 connections","Data!$BI$1:$BI$5","HybridDD_Value"),"Data!$BI$1:$BI$5")</f>
        <v>Data!$BI$1:$BI$5</v>
      </c>
      <c r="CC48" s="104" t="str">
        <f t="shared" ref="CC48" si="1499">IF($E48="H",IF($F47="Hybrid - Thrust + 2 connections","Data!$BI$1:$BI$5","HybridDD_Value"),"Data!$BI$1:$BI$5")</f>
        <v>Data!$BI$1:$BI$5</v>
      </c>
      <c r="CD48" s="104" t="str">
        <f t="shared" ref="CD48" si="1500">IF($E48="H",IF($F47="Hybrid - Thrust + 2 connections","Data!$BI$1:$BI$5","HybridDD_Value"),"Data!$BI$1:$BI$5")</f>
        <v>Data!$BI$1:$BI$5</v>
      </c>
      <c r="CE48" s="104" t="str">
        <f t="shared" ref="CE48" si="1501">IF($E48="H",IF($F47="Hybrid - Thrust + 2 connections","Data!$BI$1:$BI$5","HybridDD_Value"),"Data!$BI$1:$BI$5")</f>
        <v>Data!$BI$1:$BI$5</v>
      </c>
      <c r="CF48" s="104" t="str">
        <f t="shared" ref="CF48" si="1502">IF($E48="H",IF($F47="Hybrid - Thrust + 2 connections","Data!$BI$1:$BI$5","HybridDD_Value"),"Data!$BI$1:$BI$5")</f>
        <v>Data!$BI$1:$BI$5</v>
      </c>
      <c r="CG48" s="104" t="str">
        <f t="shared" ref="CG48" si="1503">IF($E48="H",IF($F47="Hybrid - Thrust + 2 connections","Data!$BI$1:$BI$5","HybridDD_Value"),"Data!$BI$1:$BI$5")</f>
        <v>Data!$BI$1:$BI$5</v>
      </c>
      <c r="CH48" s="104" t="str">
        <f t="shared" ref="CH48" si="1504">IF($E48="H",IF($F47="Hybrid - Thrust + 2 connections","Data!$BI$1:$BI$5","HybridDD_Value"),"Data!$BI$1:$BI$5")</f>
        <v>Data!$BI$1:$BI$5</v>
      </c>
      <c r="CI48" s="104" t="str">
        <f t="shared" ref="CI48" si="1505">IF($E48="H",IF($F47="Hybrid - Thrust + 2 connections","Data!$BI$1:$BI$5","HybridDD_Value"),"Data!$BI$1:$BI$5")</f>
        <v>Data!$BI$1:$BI$5</v>
      </c>
      <c r="CJ48" s="104" t="str">
        <f t="shared" ref="CJ48" si="1506">IF($E48="H",IF($F47="Hybrid - Thrust + 2 connections","Data!$BI$1:$BI$5","HybridDD_Value"),"Data!$BI$1:$BI$5")</f>
        <v>Data!$BI$1:$BI$5</v>
      </c>
      <c r="CK48" s="104" t="str">
        <f t="shared" ref="CK48" si="1507">IF($E48="H",IF($F47="Hybrid - Thrust + 2 connections","Data!$BI$1:$BI$5","HybridDD_Value"),"Data!$BI$1:$BI$5")</f>
        <v>Data!$BI$1:$BI$5</v>
      </c>
      <c r="CL48" s="104" t="str">
        <f t="shared" ref="CL48" si="1508">IF($E48="H",IF($F47="Hybrid - Thrust + 2 connections","Data!$BI$1:$BI$5","HybridDD_Value"),"Data!$BI$1:$BI$5")</f>
        <v>Data!$BI$1:$BI$5</v>
      </c>
      <c r="CM48" s="115"/>
      <c r="CN48" s="115"/>
      <c r="CO48" s="116" t="str">
        <f>IFERROR(IF(AND($BV$6="T",$BV$8="T",LEFT(F47,4)="Acro",AO48&gt;3),"X",IF($N$7="X",IF(AND(E48="C",AO48&gt;$CN$6),"X",IF(AND(E48="A",AO48&gt;$CN$4),"X",IF(AND(E48="B",AO48&gt;$CN$5),"X",IF(AND(E48="P",AO48&gt;$CN$7),"X","")))),"")),"")</f>
        <v/>
      </c>
      <c r="CP48" s="108"/>
      <c r="CQ48" s="105"/>
      <c r="CS48" s="105"/>
      <c r="CT48" s="105"/>
      <c r="CU48" s="105"/>
      <c r="CV48" s="105"/>
      <c r="CW48" s="105"/>
      <c r="CX48" s="105"/>
      <c r="CY48" s="105"/>
      <c r="CZ48" s="105"/>
      <c r="DD48" s="102" t="str">
        <f t="shared" si="10"/>
        <v/>
      </c>
      <c r="DE48" s="102" t="str">
        <f t="shared" si="11"/>
        <v/>
      </c>
      <c r="DF48" s="102" t="str">
        <f t="shared" si="12"/>
        <v/>
      </c>
      <c r="DG48" s="102" t="str">
        <f t="shared" si="13"/>
        <v/>
      </c>
      <c r="DO48" s="102">
        <v>30</v>
      </c>
      <c r="ED48" s="102" t="str">
        <f t="shared" si="14"/>
        <v/>
      </c>
      <c r="EE48" s="102" t="str">
        <f t="shared" si="15"/>
        <v/>
      </c>
      <c r="EI48" s="102" t="str" cm="1">
        <f t="array" ref="EI48">IFERROR(INDEX(EK48:FN48,MATCH(TRUE,INDEX((EK48:FN48&lt;&gt;""),),0)),"")</f>
        <v/>
      </c>
      <c r="EK48" s="102" t="str">
        <f t="shared" si="879"/>
        <v/>
      </c>
      <c r="EL48" s="102" t="str">
        <f t="shared" ref="EL48:EZ48" si="1509">IF(G47="Hybrid - Thrust + 2 connections",IF(COUNTIF($EK47:$FD47,EL47)&gt;1,EL47,""),IF(COUNTIF($EK47:$FD47,EL47)&gt;5,EL47,""))</f>
        <v/>
      </c>
      <c r="EM48" s="102" t="str">
        <f t="shared" si="1509"/>
        <v/>
      </c>
      <c r="EN48" s="102" t="str">
        <f t="shared" si="1509"/>
        <v/>
      </c>
      <c r="EO48" s="102" t="str">
        <f t="shared" si="1509"/>
        <v/>
      </c>
      <c r="EP48" s="102" t="str">
        <f t="shared" si="1509"/>
        <v/>
      </c>
      <c r="EQ48" s="102" t="str">
        <f t="shared" si="1509"/>
        <v/>
      </c>
      <c r="ER48" s="102" t="str">
        <f t="shared" si="1509"/>
        <v/>
      </c>
      <c r="ES48" s="102" t="str">
        <f t="shared" si="1509"/>
        <v/>
      </c>
      <c r="ET48" s="102" t="str">
        <f t="shared" si="1509"/>
        <v/>
      </c>
      <c r="EU48" s="102" t="str">
        <f t="shared" si="1509"/>
        <v/>
      </c>
      <c r="EV48" s="102" t="str">
        <f t="shared" si="1509"/>
        <v/>
      </c>
      <c r="EW48" s="102" t="str">
        <f t="shared" si="1509"/>
        <v/>
      </c>
      <c r="EX48" s="102" t="str">
        <f t="shared" si="1509"/>
        <v/>
      </c>
      <c r="EY48" s="102" t="str">
        <f t="shared" si="1509"/>
        <v/>
      </c>
      <c r="EZ48" s="102" t="str">
        <f t="shared" si="1509"/>
        <v/>
      </c>
      <c r="FA48" s="102" t="str">
        <f t="shared" ref="FA48" si="1510">IF(V47="Hybrid - Thrust + 2 connections",IF(COUNTIF($EK47:$FD47,FA47)&gt;1,FA47,""),IF(COUNTIF($EK47:$FD47,FA47)&gt;5,FA47,""))</f>
        <v/>
      </c>
      <c r="FB48" s="102" t="str">
        <f t="shared" ref="FB48" si="1511">IF(W47="Hybrid - Thrust + 2 connections",IF(COUNTIF($EK47:$FD47,FB47)&gt;1,FB47,""),IF(COUNTIF($EK47:$FD47,FB47)&gt;5,FB47,""))</f>
        <v/>
      </c>
      <c r="FC48" s="102" t="str">
        <f t="shared" ref="FC48" si="1512">IF(X47="Hybrid - Thrust + 2 connections",IF(COUNTIF($EK47:$FD47,FC47)&gt;1,FC47,""),IF(COUNTIF($EK47:$FD47,FC47)&gt;5,FC47,""))</f>
        <v/>
      </c>
      <c r="FD48" s="102" t="str">
        <f t="shared" ref="FD48" si="1513">IF(Y47="Hybrid - Thrust + 2 connections",IF(COUNTIF($EK47:$FD47,FD47)&gt;1,FD47,""),IF(COUNTIF($EK47:$FD47,FD47)&gt;5,FD47,""))</f>
        <v/>
      </c>
      <c r="FE48" s="102" t="str">
        <f t="shared" ref="FE48" si="1514">IF(Z47="Hybrid - Thrust + 2 connections",IF(COUNTIF($EK47:$FD47,FE47)&gt;1,FE47,""),IF(COUNTIF($EK47:$FD47,FE47)&gt;5,FE47,""))</f>
        <v/>
      </c>
      <c r="FF48" s="102" t="str">
        <f t="shared" ref="FF48" si="1515">IF(AA47="Hybrid - Thrust + 2 connections",IF(COUNTIF($EK47:$FD47,FF47)&gt;1,FF47,""),IF(COUNTIF($EK47:$FD47,FF47)&gt;5,FF47,""))</f>
        <v/>
      </c>
      <c r="FG48" s="102" t="str">
        <f t="shared" ref="FG48" si="1516">IF(AB47="Hybrid - Thrust + 2 connections",IF(COUNTIF($EK47:$FD47,FG47)&gt;1,FG47,""),IF(COUNTIF($EK47:$FD47,FG47)&gt;5,FG47,""))</f>
        <v/>
      </c>
      <c r="FH48" s="102" t="str">
        <f t="shared" ref="FH48" si="1517">IF(AC47="Hybrid - Thrust + 2 connections",IF(COUNTIF($EK47:$FD47,FH47)&gt;1,FH47,""),IF(COUNTIF($EK47:$FD47,FH47)&gt;5,FH47,""))</f>
        <v/>
      </c>
      <c r="FI48" s="102" t="str">
        <f t="shared" ref="FI48" si="1518">IF(AD47="Hybrid - Thrust + 2 connections",IF(COUNTIF($EK47:$FD47,FI47)&gt;1,FI47,""),IF(COUNTIF($EK47:$FD47,FI47)&gt;5,FI47,""))</f>
        <v/>
      </c>
      <c r="FJ48" s="102" t="str">
        <f t="shared" ref="FJ48" si="1519">IF(AE47="Hybrid - Thrust + 2 connections",IF(COUNTIF($EK47:$FD47,FJ47)&gt;1,FJ47,""),IF(COUNTIF($EK47:$FD47,FJ47)&gt;5,FJ47,""))</f>
        <v/>
      </c>
      <c r="FK48" s="102" t="str">
        <f t="shared" ref="FK48" si="1520">IF(AF47="Hybrid - Thrust + 2 connections",IF(COUNTIF($EK47:$FD47,FK47)&gt;1,FK47,""),IF(COUNTIF($EK47:$FD47,FK47)&gt;5,FK47,""))</f>
        <v/>
      </c>
      <c r="FL48" s="102" t="str">
        <f t="shared" ref="FL48" si="1521">IF(AG47="Hybrid - Thrust + 2 connections",IF(COUNTIF($EK47:$FD47,FL47)&gt;1,FL47,""),IF(COUNTIF($EK47:$FD47,FL47)&gt;5,FL47,""))</f>
        <v/>
      </c>
      <c r="FM48" s="102" t="str">
        <f t="shared" ref="FM48" si="1522">IF(AH47="Hybrid - Thrust + 2 connections",IF(COUNTIF($EK47:$FD47,FM47)&gt;1,FM47,""),IF(COUNTIF($EK47:$FD47,FM47)&gt;5,FM47,""))</f>
        <v/>
      </c>
      <c r="FN48" s="102" t="str">
        <f t="shared" ref="FN48" si="1523">IF(AI47="Hybrid - Thrust + 2 connections",IF(COUNTIF($EK47:$FD47,FN47)&gt;1,FN47,""),IF(COUNTIF($EK47:$FD47,FN47)&gt;5,FN47,""))</f>
        <v/>
      </c>
      <c r="FO48" s="102">
        <f t="shared" ref="FO48" si="1524">FO46+5</f>
        <v>70</v>
      </c>
      <c r="FP48" s="102" t="str">
        <f t="shared" ref="FP48" ca="1" si="1525">OFFSET($FP$75,FO48,0)</f>
        <v/>
      </c>
      <c r="FQ48" s="102" t="str">
        <f t="shared" ref="FQ48" ca="1" si="1526">OFFSET($FQ$75,FO48,0)</f>
        <v/>
      </c>
      <c r="FR48" s="282"/>
      <c r="FS48" s="282"/>
      <c r="FT48" s="282"/>
      <c r="FU48" s="282"/>
      <c r="FV48" s="282"/>
      <c r="FW48" s="282"/>
      <c r="FX48" s="282"/>
      <c r="FY48" s="282"/>
      <c r="FZ48" s="282"/>
      <c r="GA48" s="282"/>
      <c r="GB48" s="282"/>
      <c r="GC48" s="282"/>
      <c r="GD48" s="282"/>
      <c r="GE48" s="282"/>
      <c r="GF48" s="282"/>
      <c r="GG48" s="282"/>
      <c r="GH48" s="282"/>
      <c r="GI48" s="282"/>
      <c r="GJ48" s="282"/>
      <c r="GK48" s="282"/>
      <c r="GL48" s="282"/>
      <c r="GM48" s="282"/>
      <c r="GN48" s="282"/>
      <c r="GO48" s="282"/>
      <c r="GP48" s="282"/>
      <c r="GQ48" s="282"/>
      <c r="GR48" s="282"/>
      <c r="GS48" s="282"/>
      <c r="GT48" s="282"/>
      <c r="GU48" s="282"/>
      <c r="GV48" s="102"/>
      <c r="GW48" s="102"/>
      <c r="GX48" s="102"/>
      <c r="GY48" s="102"/>
      <c r="GZ48" s="102"/>
      <c r="HA48" s="102"/>
      <c r="HB48" s="102"/>
      <c r="HC48" s="102"/>
      <c r="HD48" s="102" t="str">
        <f>IF($F47="Hybrid - Thrust + 2 connections",COUNTBLANK(J47:L47),"")</f>
        <v/>
      </c>
      <c r="HE48" s="102"/>
      <c r="HF48" s="105"/>
      <c r="HG48" s="105"/>
      <c r="HH48" s="105"/>
      <c r="HI48" s="105"/>
    </row>
    <row r="49" spans="1:222" x14ac:dyDescent="0.25">
      <c r="A49" s="39" t="str">
        <f>IF(AND(E47="",A47&lt;&gt;""),IF(CP47=$CP$18,"",IF(C47&lt;&gt;"",IF(D47=59,MINUTE(CP47)+1,MINUTE(CP47)),"")),"")</f>
        <v/>
      </c>
      <c r="B49" s="40" t="str">
        <f>IF(AND(E47="",B47&lt;&gt;""),IF(CP47=$CP$18,"",IF(C47&lt;&gt;"",IF(D47=59,0,SECOND(CP47)+1),"")),"")</f>
        <v/>
      </c>
      <c r="C49" s="50"/>
      <c r="D49" s="50"/>
      <c r="E49" s="9"/>
      <c r="F49" s="51"/>
      <c r="G49" s="42" t="str">
        <f>IF(F49&lt;&gt;"",IF(OR(F49="Transition",F49="Transition - Surface Connection"),0,MAX($G$19:G48)+1),"")</f>
        <v/>
      </c>
      <c r="H49" s="56" t="str">
        <f t="shared" ref="H49" si="1527">IFERROR(IF(E50="3","",IF(OR(F49="Hybrid - min 4 swimmers (no DD)",LEFT(F49,5)="Trans"),"No DD",CONCATENATE("BM = ",I50))),"")</f>
        <v/>
      </c>
      <c r="I49" s="57"/>
      <c r="J49" s="124"/>
      <c r="K49" s="129"/>
      <c r="L49" s="129"/>
      <c r="M49" s="129"/>
      <c r="N49" s="129"/>
      <c r="O49" s="129"/>
      <c r="P49" s="129"/>
      <c r="Q49" s="129"/>
      <c r="R49" s="129"/>
      <c r="S49" s="129"/>
      <c r="T49" s="129"/>
      <c r="U49" s="129"/>
      <c r="V49" s="129"/>
      <c r="W49" s="129"/>
      <c r="X49" s="129"/>
      <c r="Y49" s="129"/>
      <c r="Z49" s="129"/>
      <c r="AA49" s="129"/>
      <c r="AB49" s="129"/>
      <c r="AC49" s="129"/>
      <c r="AD49" s="129"/>
      <c r="AE49" s="129"/>
      <c r="AF49" s="129"/>
      <c r="AG49" s="129"/>
      <c r="AH49" s="129"/>
      <c r="AI49" s="129"/>
      <c r="AJ49" s="129"/>
      <c r="AK49" s="129"/>
      <c r="AL49" s="129"/>
      <c r="AM49" s="129"/>
      <c r="AN49" s="179"/>
      <c r="AO49" s="43"/>
      <c r="AP49" s="74"/>
      <c r="AQ49" s="74"/>
      <c r="AR49" s="104"/>
      <c r="AS49" s="104"/>
      <c r="AT49" s="104"/>
      <c r="AU49" s="104"/>
      <c r="AV49" s="104"/>
      <c r="AW49" s="105" t="str">
        <f t="shared" ref="AW49" si="1528">E50</f>
        <v/>
      </c>
      <c r="AX49" s="108" t="str">
        <f t="shared" ref="AX49" si="1529">IF(AY49=0,"",TIME(0,A49,B49))</f>
        <v/>
      </c>
      <c r="AY49" s="108">
        <f t="shared" ref="AY49" si="1530">TIME(0,C49,D49)</f>
        <v>0</v>
      </c>
      <c r="AZ49" s="108" t="str">
        <f t="shared" ref="AZ49" si="1531">IFERROR(AY49-AX49,"")</f>
        <v/>
      </c>
      <c r="BA49" s="276" t="str">
        <f t="shared" ref="BA49" si="1532">IF($AX$17=0,"",IF(AND($C$10&lt;&gt;"",AW49="H",AZ49&gt;$AX$17),"X",""))</f>
        <v/>
      </c>
      <c r="BB49" s="104"/>
      <c r="BC49" s="104"/>
      <c r="BD49" s="104"/>
      <c r="BE49" s="104"/>
      <c r="BF49" s="104"/>
      <c r="BG49" s="104" t="str">
        <f>IFERROR(IF(F49&lt;&gt;"",INDEX(Parts_Active,MATCH(F49,Parts_Active,0)),""),"No")</f>
        <v/>
      </c>
      <c r="BH49" s="104"/>
      <c r="BI49" s="104" t="str">
        <f t="shared" ref="BI49" si="1533">IF($E50="H",IF($F49="Hybrid - Thrust + 2 connections","Hybrid_Mix_Req",IF($F49="Hybrid - min 4 swimmers (no DD)","Hybrid_ChoHY","HybridDD_Code")),IF($E50=3,"TreDD_Code",IF($E50="PA","AcroPair_Code",IF(LEFT($F49,4)="Acro",CONCATENATE(BI$16,$E50,"_Code"),"Data!$BI$1:$BI$5"))))</f>
        <v>Data!$BI$1:$BI$5</v>
      </c>
      <c r="BJ49" s="104" t="str">
        <f t="shared" ref="BJ49" si="1534">IF($E50="H",IF($F49="Hybrid - Thrust + 2 connections","Hybrid_Mix_Req",IF($F49="Hybrid - min 4 swimmers (no DD)","Data!$BI$1:$BI$5","HybridDD_Code")),IF($E50=3,"TreDD_Code",IF($E50="PA","AcroPair_Code",IF(LEFT($F49,4)="Acro",CONCATENATE(BJ$16,$E50,"_Code"),"Data!$BI$1:$BI$5"))))</f>
        <v>Data!$BI$1:$BI$5</v>
      </c>
      <c r="BK49" s="104" t="str">
        <f t="shared" si="798"/>
        <v>Data!$BI$1:$BI$5</v>
      </c>
      <c r="BL49" s="104" t="str">
        <f t="shared" si="798"/>
        <v>Data!$BI$1:$BI$5</v>
      </c>
      <c r="BM49" s="104" t="str">
        <f t="shared" si="798"/>
        <v>Data!$BI$1:$BI$5</v>
      </c>
      <c r="BN49" s="104" t="str">
        <f t="shared" si="798"/>
        <v>Data!$BI$1:$BI$5</v>
      </c>
      <c r="BO49" s="104" t="str">
        <f t="shared" si="798"/>
        <v>Data!$BI$1:$BI$5</v>
      </c>
      <c r="BP49" s="104" t="str">
        <f t="shared" si="798"/>
        <v>Data!$BI$1:$BI$5</v>
      </c>
      <c r="BQ49" s="104" t="str">
        <f t="shared" si="798"/>
        <v>Data!$BI$1:$BI$5</v>
      </c>
      <c r="BR49" s="104" t="str">
        <f t="shared" ref="BR49" si="1535">IF($E50="H",IF($F49="Hybrid - Thrust + 2 connections","Data!$BI$1:$BI$5","HybridDD_Code"),"Data!$BI$1:$BI$5")</f>
        <v>Data!$BI$1:$BI$5</v>
      </c>
      <c r="BS49" s="104" t="str">
        <f t="shared" si="369"/>
        <v>Data!$BI$1:$BI$5</v>
      </c>
      <c r="BT49" s="104" t="str">
        <f t="shared" si="369"/>
        <v>Data!$BI$1:$BI$5</v>
      </c>
      <c r="BU49" s="104" t="str">
        <f t="shared" si="369"/>
        <v>Data!$BI$1:$BI$5</v>
      </c>
      <c r="BV49" s="104" t="str">
        <f t="shared" si="369"/>
        <v>Data!$BI$1:$BI$5</v>
      </c>
      <c r="BW49" s="104" t="str">
        <f t="shared" si="369"/>
        <v>Data!$BI$1:$BI$5</v>
      </c>
      <c r="BX49" s="104" t="str">
        <f t="shared" si="369"/>
        <v>Data!$BI$1:$BI$5</v>
      </c>
      <c r="BY49" s="104" t="str">
        <f t="shared" si="369"/>
        <v>Data!$BI$1:$BI$5</v>
      </c>
      <c r="BZ49" s="104" t="str">
        <f t="shared" si="369"/>
        <v>Data!$BI$1:$BI$5</v>
      </c>
      <c r="CA49" s="104" t="str">
        <f t="shared" si="369"/>
        <v>Data!$BI$1:$BI$5</v>
      </c>
      <c r="CB49" s="104" t="str">
        <f t="shared" si="369"/>
        <v>Data!$BI$1:$BI$5</v>
      </c>
      <c r="CC49" s="104" t="str">
        <f t="shared" si="369"/>
        <v>Data!$BI$1:$BI$5</v>
      </c>
      <c r="CD49" s="104" t="str">
        <f t="shared" si="369"/>
        <v>Data!$BI$1:$BI$5</v>
      </c>
      <c r="CE49" s="104" t="str">
        <f t="shared" si="369"/>
        <v>Data!$BI$1:$BI$5</v>
      </c>
      <c r="CF49" s="104" t="str">
        <f t="shared" si="369"/>
        <v>Data!$BI$1:$BI$5</v>
      </c>
      <c r="CG49" s="104" t="str">
        <f t="shared" si="369"/>
        <v>Data!$BI$1:$BI$5</v>
      </c>
      <c r="CH49" s="104" t="str">
        <f t="shared" si="369"/>
        <v>Data!$BI$1:$BI$5</v>
      </c>
      <c r="CI49" s="104" t="str">
        <f t="shared" si="800"/>
        <v>Data!$BI$1:$BI$5</v>
      </c>
      <c r="CJ49" s="104" t="str">
        <f t="shared" si="800"/>
        <v>Data!$BI$1:$BI$5</v>
      </c>
      <c r="CK49" s="104" t="str">
        <f t="shared" si="800"/>
        <v>Data!$BI$1:$BI$5</v>
      </c>
      <c r="CL49" s="104" t="str">
        <f t="shared" si="800"/>
        <v>Data!$BI$1:$BI$5</v>
      </c>
      <c r="CM49" s="104"/>
      <c r="CN49" s="104"/>
      <c r="CO49" s="107" t="str">
        <f>IFERROR(TIME(0,A49,B49),"")</f>
        <v/>
      </c>
      <c r="CP49" s="108">
        <f>IFERROR(TIME(0,C49,D49),"")</f>
        <v>0</v>
      </c>
      <c r="CQ49" s="108" t="str">
        <f t="shared" ref="CQ49" si="1536">IF(CP49&gt;$D$12,"X","")</f>
        <v/>
      </c>
      <c r="CR49" s="102" t="str">
        <f>IF(AND(F49="Hybrid - Thrust + 2 connections",OR(LEFT(J49,1)="T",LEFT(K49,1)="T",LEFT(L49,1)="T",LEFT(PB49,1)="T",LEFT(M49,1)="T",LEFT(N49,1)="T",LEFT(O49,1)="T",LEFT(P49,1)="T",LEFT(Q49,1)="T",LEFT(R49,1)="T",LEFT(S49,1)="T",LEFT(T49,1)="T",LEFT(U49,1)="T",LEFT(V49,1)="T",LEFT(W49,1)="T",LEFT(X49,1)="T",LEFT(AK49,1)="T",LEFT(AL49,1)="T",LEFT(AM49,1)="T")),IF(OR(LEN(J49)=2,LEN(K49)=2,LEN(L49)=2,LEN(M49)=2,LEN(N49)=2,LEN(O49)=2,LEN(P49)=2,LEN(Q49)=2,LEN(R49)=2,LEN(S49)=2,LEN(T49)=2,LEN(U49)=2,LEN(V49)=2,LEN(W49)=2,LEN(X49)=2,LEN(Y49)=2,LEN(Z49)=2,LEN(AK49)=2,LEN(AL49)=2,LEN(AM49)=2),"X",""),"")</f>
        <v/>
      </c>
      <c r="CS49" s="105" t="str">
        <f>IF(F49="Hybrid",SECOND(CP49),"")</f>
        <v/>
      </c>
      <c r="CT49" s="102" t="str">
        <f>IF(LEFT(F49,4)="Acro",IF(AND(N49&lt;&gt;"",M49=RIGHT(N49,2)),"X","OK"),"")</f>
        <v/>
      </c>
      <c r="CU49" s="104" t="str">
        <f t="shared" ref="CU49:DB49" si="1537">IFERROR(IF(AND(LEFT($F49,4)="Acro",INDEX(Requ_App,MATCH(BI49,Requ_Code,0))="No"),"X",""),"")</f>
        <v/>
      </c>
      <c r="CV49" s="104" t="str">
        <f t="shared" si="1537"/>
        <v/>
      </c>
      <c r="CW49" s="104" t="str">
        <f t="shared" si="1537"/>
        <v/>
      </c>
      <c r="CX49" s="104" t="str">
        <f t="shared" si="1537"/>
        <v/>
      </c>
      <c r="CY49" s="104" t="str">
        <f t="shared" si="1537"/>
        <v/>
      </c>
      <c r="CZ49" s="104" t="str">
        <f t="shared" si="1537"/>
        <v/>
      </c>
      <c r="DA49" s="104" t="str">
        <f t="shared" si="1537"/>
        <v/>
      </c>
      <c r="DB49" s="104" t="str">
        <f t="shared" si="1537"/>
        <v/>
      </c>
      <c r="DC49" s="104" t="str">
        <f>IFERROR(IF(AND(LEFT($F49,4)="Acro",INDEX(Requ_App,MATCH(BP49,Requ_Code,0))="No"),"X",""),"")</f>
        <v/>
      </c>
      <c r="DD49" s="102" t="str">
        <f t="shared" si="10"/>
        <v/>
      </c>
      <c r="DE49" s="102" t="str">
        <f t="shared" si="11"/>
        <v/>
      </c>
      <c r="DF49" s="102" t="str">
        <f t="shared" si="12"/>
        <v/>
      </c>
      <c r="DG49" s="102" t="str">
        <f t="shared" si="13"/>
        <v/>
      </c>
      <c r="DK49" s="102">
        <f t="shared" ref="DK49" si="1538">IF(AND(E50="A",OR(Q49="Grip",Q49="Conn",Q49="Catch")),"A1",IF(AND(E50="A",OR(Q49="Hula",Q49="RetSq",Q49="RetPa")),"A2",IF(AND(E50="B",OR(Q49="Twirl",Q49="RotF")),"B1",IF(AND(E50="B",OR(Q49="Moon",Q49="Mov",Q49="Hold")),"B2",IF(AND(E50="P",OR(Q49="Porp",Q49="Splch")),"P1",IF(AND(E50="P",OR(Q49="Diva",Q49="Stand")),"P2",IF(AND(E50="P",OR(Q49="Spider",Q49="Climb")),"P3",IF(AND(E50="P",OR(Q49="Fall",Q49="FTurn")),"P4",IF(AND(E50="C",OR(Q49="Jump",Q49="Jump&gt;",Q49="On1Foot",Q49="1F&gt;1F")),"C1",IF(AND(E50="C",OR(Q49="Run",Q49="BRun")),"C2",1))))))))))</f>
        <v>1</v>
      </c>
      <c r="DL49" s="102">
        <f t="shared" ref="DL49" si="1539">IF(AND(E50="A",OR(R49="Grip",R49="Conn",R49="Catch")),"A1",IF(AND(E50="A",OR(R49="Hula",R49="RetSq",R49="RetPa")),"A2",IF(AND(E50="B",OR(R49="Twirl",R49="RotF")),"B1",IF(AND(E50="B",OR(R49="Moon",R49="Mov",R49="Hold")),"B2",IF(AND(E50="P",OR(R49="Porp",R49="Spich")),"P1",IF(AND(E50="P",OR(R49="Diva",R49="Stand")),"P2",IF(AND(E50="P",OR(R49="Spider",R49="Climb")),"P3",IF(AND(E50="P",OR(R49="Fall",R49="FTurn")),"P4",IF(AND(E50="C",OR(R49="Jump",R49="Jump&gt;",R49="On1Foot",R49="1F&gt;1F")),"C1",IF(AND(E50="C",OR(R49="Run",R49="BRun")),"C2",2))))))))))</f>
        <v>2</v>
      </c>
      <c r="DM49" s="102" t="str">
        <f>IF(AND(LEFT(F49,4)="Acro",Q49&lt;&gt;"",OR(Q49=R49,DK49=DL49)),IF(R49="C-Roll","","X"),IF(OR(AND(E50="A",Q49="Catch",R49&lt;&gt;"Dbl"),AND(E50="A",R49="Catch",Q49&lt;&gt;"Dbl")),"X",""))</f>
        <v/>
      </c>
      <c r="DN49" s="102" t="str">
        <f>IF(E50="PA",J49,"")</f>
        <v/>
      </c>
      <c r="DO49" s="102">
        <v>31</v>
      </c>
      <c r="DQ49" s="102" t="str">
        <f>IF(AND($E50="A",COUNTIF($DZ$19:$EA$68,DZ49)&gt;1),DZ49,"")</f>
        <v/>
      </c>
      <c r="DR49" s="102" t="str">
        <f>IF(AND($E50="A",COUNTIF($DZ$19:$EA$68,EA49)&gt;1),EA49,"")</f>
        <v/>
      </c>
      <c r="DS49" s="102" t="str">
        <f ca="1">IF(AND($E50="B",COUNTIF($J$19:$J$68,J49)&gt;1),J49,"")</f>
        <v/>
      </c>
      <c r="DT49" s="102" t="str">
        <f ca="1">IF(AND($E50="B",COUNTIF($K$19:$K$68,K49)&gt;1),K49,"")</f>
        <v/>
      </c>
      <c r="DU49" s="102" t="str">
        <f ca="1">IF(AND($E50="C",COUNTIF($J$19:$J$68,J49)&gt;1),J49,"")</f>
        <v/>
      </c>
      <c r="DV49" s="102" t="str">
        <f ca="1">IF(AND($E50="P",COUNTIF($J$19:$J$68,J49)&gt;1),J49,"")</f>
        <v/>
      </c>
      <c r="DW49" s="102" t="str">
        <f ca="1">IF(AND($E50="P",COUNTIF($K$19:$K$68,K49)&gt;1),K49,"")</f>
        <v/>
      </c>
      <c r="DX49" s="102" t="str">
        <f>IF(AND($E50="P",COUNTIF($DZ$19:$EA$68,DZ49)&gt;1),DZ49,"")</f>
        <v/>
      </c>
      <c r="DY49" s="102" t="str">
        <f>IF(AND($E50="P",COUNTIF($DZ$19:$EA$68,EA49)&gt;1),EA49,"")</f>
        <v/>
      </c>
      <c r="DZ49" s="102" t="str">
        <f>IFERROR(IF(OR(E50="A",E50="P"),M49,""),"")</f>
        <v/>
      </c>
      <c r="EA49" s="102" t="str">
        <f>IFERROR(IF(OR(E50="A",E50="P"),RIGHT(N49,2),""),"")</f>
        <v/>
      </c>
      <c r="EB49" s="102" t="str">
        <f t="shared" ref="EB49" si="1540">IF(Q49="","",IF(AND($E50="P",COUNTIF($Q$19:$R$68,Q49)&gt;1),Q49,""))</f>
        <v/>
      </c>
      <c r="EC49" s="102" t="str">
        <f t="shared" ref="EC49" si="1541">IF(R49="","",IF(AND($E50="P",COUNTIF($Q$19:$R$68,R49)&gt;1),R49,""))</f>
        <v/>
      </c>
      <c r="ED49" s="102" t="str">
        <f t="shared" si="14"/>
        <v/>
      </c>
      <c r="EE49" s="102" t="str">
        <f t="shared" si="15"/>
        <v/>
      </c>
      <c r="EF49" s="102" t="str">
        <f>IF(AND($F$8="Open Team Acrobatic",LEFT(F49,4)="Acro"),E50,"")</f>
        <v/>
      </c>
      <c r="EG49" s="102" t="str">
        <f t="shared" ref="EG49" si="1542">IFERROR(IF(HLOOKUP(EF49,$DQ$12:$DT$13,2,FALSE)&gt;2,"X",""),"")</f>
        <v/>
      </c>
      <c r="EI49" s="102" t="str">
        <f t="shared" ref="EI49" si="1543">IF(OR(AND(F49="Hybrid - Thrust + 2 connections",EI50="T"),AND(E50="H",EI50&lt;&gt;"",EI103="X")),"X","")</f>
        <v/>
      </c>
      <c r="EK49" s="102">
        <f t="shared" ref="EK49" si="1544">IFERROR(IF(AND($E50="H",J49&lt;&gt;"",J49&lt;&gt;"ChoHY"),IF(OR(LEFT(J49,1)="T",LEFT(J49,1)="S",LEFT(J49,1)="A",LEFT(J49,1)="F",LEFT(J49,1)="C"),LEFT(J49,1),"R"),EK$18),"")</f>
        <v>1</v>
      </c>
      <c r="EL49" s="102">
        <f t="shared" ref="EL49:EZ49" si="1545">IFERROR(IF(AND($E50="H",K49&lt;&gt;""),IF(OR(LEFT(K49,1)="T",LEFT(K49,1)="S",LEFT(K49,1)="A",LEFT(K49,1)="F",LEFT(K49,1)="C"),LEFT(K49,1),"R"),EL$18),"")</f>
        <v>2</v>
      </c>
      <c r="EM49" s="102">
        <f t="shared" si="1545"/>
        <v>3</v>
      </c>
      <c r="EN49" s="102">
        <f t="shared" si="1545"/>
        <v>4</v>
      </c>
      <c r="EO49" s="102">
        <f t="shared" si="1545"/>
        <v>5</v>
      </c>
      <c r="EP49" s="102">
        <f t="shared" si="1545"/>
        <v>6</v>
      </c>
      <c r="EQ49" s="102">
        <f t="shared" si="1545"/>
        <v>7</v>
      </c>
      <c r="ER49" s="102">
        <f t="shared" si="1545"/>
        <v>8</v>
      </c>
      <c r="ES49" s="102">
        <f t="shared" si="1545"/>
        <v>9</v>
      </c>
      <c r="ET49" s="102">
        <f t="shared" si="1545"/>
        <v>10</v>
      </c>
      <c r="EU49" s="102">
        <f t="shared" si="1545"/>
        <v>11</v>
      </c>
      <c r="EV49" s="102">
        <f t="shared" si="1545"/>
        <v>12</v>
      </c>
      <c r="EW49" s="102">
        <f t="shared" si="1545"/>
        <v>13</v>
      </c>
      <c r="EX49" s="102">
        <f t="shared" si="1545"/>
        <v>14</v>
      </c>
      <c r="EY49" s="102">
        <f t="shared" si="1545"/>
        <v>15</v>
      </c>
      <c r="EZ49" s="102">
        <f t="shared" si="1545"/>
        <v>16</v>
      </c>
      <c r="FA49" s="102">
        <f t="shared" ref="FA49" si="1546">IFERROR(IF(AND($E50="H",Z49&lt;&gt;""),IF(OR(LEFT(Z49,1)="T",LEFT(Z49,1)="S",LEFT(Z49,1)="A",LEFT(Z49,1)="F",LEFT(Z49,1)="C"),LEFT(Z49,1),"R"),FA$18),"")</f>
        <v>17</v>
      </c>
      <c r="FB49" s="102">
        <f t="shared" ref="FB49" si="1547">IFERROR(IF(AND($E50="H",AA49&lt;&gt;""),IF(OR(LEFT(AA49,1)="T",LEFT(AA49,1)="S",LEFT(AA49,1)="A",LEFT(AA49,1)="F",LEFT(AA49,1)="C"),LEFT(AA49,1),"R"),FB$18),"")</f>
        <v>18</v>
      </c>
      <c r="FC49" s="102">
        <f t="shared" ref="FC49" si="1548">IFERROR(IF(AND($E50="H",AB49&lt;&gt;""),IF(OR(LEFT(AB49,1)="T",LEFT(AB49,1)="S",LEFT(AB49,1)="A",LEFT(AB49,1)="F",LEFT(AB49,1)="C"),LEFT(AB49,1),"R"),FC$18),"")</f>
        <v>19</v>
      </c>
      <c r="FD49" s="102">
        <f t="shared" ref="FD49" si="1549">IFERROR(IF(AND($E50="H",AC49&lt;&gt;""),IF(OR(LEFT(AC49,1)="T",LEFT(AC49,1)="S",LEFT(AC49,1)="A",LEFT(AC49,1)="F",LEFT(AC49,1)="C"),LEFT(AC49,1),"R"),FD$18),"")</f>
        <v>20</v>
      </c>
      <c r="FE49" s="102">
        <f t="shared" ref="FE49" si="1550">IFERROR(IF(AND($E50="H",AD49&lt;&gt;""),IF(OR(LEFT(AD49,1)="T",LEFT(AD49,1)="S",LEFT(AD49,1)="A",LEFT(AD49,1)="F",LEFT(AD49,1)="C"),LEFT(AD49,1),"R"),FE$18),"")</f>
        <v>21</v>
      </c>
      <c r="FF49" s="102">
        <f t="shared" ref="FF49" si="1551">IFERROR(IF(AND($E50="H",AE49&lt;&gt;""),IF(OR(LEFT(AE49,1)="T",LEFT(AE49,1)="S",LEFT(AE49,1)="A",LEFT(AE49,1)="F",LEFT(AE49,1)="C"),LEFT(AE49,1),"R"),FF$18),"")</f>
        <v>22</v>
      </c>
      <c r="FG49" s="102">
        <f t="shared" ref="FG49" si="1552">IFERROR(IF(AND($E50="H",AF49&lt;&gt;""),IF(OR(LEFT(AF49,1)="T",LEFT(AF49,1)="S",LEFT(AF49,1)="A",LEFT(AF49,1)="F",LEFT(AF49,1)="C"),LEFT(AF49,1),"R"),FG$18),"")</f>
        <v>23</v>
      </c>
      <c r="FH49" s="102">
        <f t="shared" ref="FH49" si="1553">IFERROR(IF(AND($E50="H",AG49&lt;&gt;""),IF(OR(LEFT(AG49,1)="T",LEFT(AG49,1)="S",LEFT(AG49,1)="A",LEFT(AG49,1)="F",LEFT(AG49,1)="C"),LEFT(AG49,1),"R"),FH$18),"")</f>
        <v>24</v>
      </c>
      <c r="FI49" s="102">
        <f t="shared" ref="FI49" si="1554">IFERROR(IF(AND($E50="H",AH49&lt;&gt;""),IF(OR(LEFT(AH49,1)="T",LEFT(AH49,1)="S",LEFT(AH49,1)="A",LEFT(AH49,1)="F",LEFT(AH49,1)="C"),LEFT(AH49,1),"R"),FI$18),"")</f>
        <v>25</v>
      </c>
      <c r="FJ49" s="102">
        <f t="shared" ref="FJ49" si="1555">IFERROR(IF(AND($E50="H",AI49&lt;&gt;""),IF(OR(LEFT(AI49,1)="T",LEFT(AI49,1)="S",LEFT(AI49,1)="A",LEFT(AI49,1)="F",LEFT(AI49,1)="C"),LEFT(AI49,1),"R"),FJ$18),"")</f>
        <v>26</v>
      </c>
      <c r="FK49" s="102">
        <f t="shared" ref="FK49" si="1556">IFERROR(IF(AND($E50="H",AJ49&lt;&gt;""),IF(OR(LEFT(AJ49,1)="T",LEFT(AJ49,1)="S",LEFT(AJ49,1)="A",LEFT(AJ49,1)="F",LEFT(AJ49,1)="C"),LEFT(AJ49,1),"R"),FK$18),"")</f>
        <v>27</v>
      </c>
      <c r="FL49" s="102">
        <f t="shared" ref="FL49" si="1557">IFERROR(IF(AND($E50="H",AK49&lt;&gt;""),IF(OR(LEFT(AK49,1)="T",LEFT(AK49,1)="S",LEFT(AK49,1)="A",LEFT(AK49,1)="F",LEFT(AK49,1)="C"),LEFT(AK49,1),"R"),FL$18),"")</f>
        <v>28</v>
      </c>
      <c r="FM49" s="102">
        <f t="shared" ref="FM49" si="1558">IFERROR(IF(AND($E50="H",AL49&lt;&gt;""),IF(OR(LEFT(AL49,1)="T",LEFT(AL49,1)="S",LEFT(AL49,1)="A",LEFT(AL49,1)="F",LEFT(AL49,1)="C"),LEFT(AL49,1),"R"),FM$18),"")</f>
        <v>29</v>
      </c>
      <c r="FN49" s="102">
        <f t="shared" ref="FN49" si="1559">IFERROR(IF(AND($E50="H",AM49&lt;&gt;""),IF(OR(LEFT(AM49,1)="T",LEFT(AM49,1)="S",LEFT(AM49,1)="A",LEFT(AM49,1)="F",LEFT(AM49,1)="C"),LEFT(AM49,1),"R"),FN$18),"")</f>
        <v>30</v>
      </c>
      <c r="FO49" s="102"/>
      <c r="FP49" s="102"/>
      <c r="FQ49" s="102"/>
      <c r="FR49" s="282"/>
      <c r="FS49" s="282"/>
      <c r="FT49" s="282"/>
      <c r="FU49" s="282"/>
      <c r="FV49" s="282"/>
      <c r="FW49" s="282"/>
      <c r="FX49" s="282"/>
      <c r="FY49" s="282"/>
      <c r="FZ49" s="282"/>
      <c r="GA49" s="282"/>
      <c r="GB49" s="282"/>
      <c r="GC49" s="282"/>
      <c r="GD49" s="282"/>
      <c r="GE49" s="282"/>
      <c r="GF49" s="282"/>
      <c r="GG49" s="282"/>
      <c r="GH49" s="282"/>
      <c r="GI49" s="282"/>
      <c r="GJ49" s="282"/>
      <c r="GK49" s="282"/>
      <c r="GL49" s="282"/>
      <c r="GM49" s="282"/>
      <c r="GN49" s="282"/>
      <c r="GO49" s="282"/>
      <c r="GP49" s="282"/>
      <c r="GQ49" s="282"/>
      <c r="GR49" s="282"/>
      <c r="GS49" s="282"/>
      <c r="GT49" s="282"/>
      <c r="GU49" s="282"/>
      <c r="GV49" s="102"/>
      <c r="GW49" s="102">
        <f t="shared" ref="GW49" si="1560">COUNTIF($EK49:$FN49,GW$18)</f>
        <v>0</v>
      </c>
      <c r="GX49" s="102">
        <f t="shared" si="825"/>
        <v>0</v>
      </c>
      <c r="GY49" s="102">
        <f t="shared" si="825"/>
        <v>0</v>
      </c>
      <c r="GZ49" s="102">
        <f t="shared" si="825"/>
        <v>0</v>
      </c>
      <c r="HA49" s="102">
        <f t="shared" si="825"/>
        <v>0</v>
      </c>
      <c r="HB49" s="102">
        <f t="shared" si="825"/>
        <v>0</v>
      </c>
      <c r="HC49" s="102"/>
      <c r="HD49" s="102" t="str">
        <f t="shared" ref="HD49" si="1561">IF(AND($F49="Hybrid - Thrust + 2 connections",HD50=0,LEFT($J49,1)="C",LEFT($K49,1)="C",LEFT($L49,1)="C"),"X","")</f>
        <v/>
      </c>
      <c r="HE49" s="102"/>
      <c r="HF49" s="105"/>
      <c r="HG49" s="114"/>
      <c r="HH49" s="114"/>
      <c r="HI49" s="105" t="str">
        <f t="shared" ref="HI49" si="1562">IF(E50=3,IF(_xlfn.NUMBERVALUE(LEFT(J49,1))&gt;0,_xlfn.NUMBERVALUE(LEFT(J49,1)),""),"")</f>
        <v/>
      </c>
      <c r="HK49" s="105" t="str">
        <f t="shared" ref="HK49" si="1563">IF(OR(E50="B",E50="P"),E50,"")</f>
        <v/>
      </c>
      <c r="HL49" s="105" t="str">
        <f>IF(AND(J49&lt;&gt;"",HK49&lt;&gt;""),IF(HK49="B",MATCH(J49,AcroDD!$U$3:$AE$3,0),MATCH(J49,AcroDD!$U$30:$AC$30,0)),"")</f>
        <v/>
      </c>
      <c r="HM49" s="105" t="str">
        <f t="shared" ref="HM49" si="1564">IF(AND(K49&lt;&gt;"",HK49&lt;&gt;""),K49,"")</f>
        <v/>
      </c>
      <c r="HN49" s="105" t="str">
        <f ca="1">IF(AND(OR(HK49="B",HK49="P"),HL49&lt;&gt;"",HM49&lt;&gt;""),IF(IFERROR(IF(HK49="B",MATCH(HM49,OFFSET(AcroDD!$T$4,0,HL49,20),0),MATCH(HM49,OFFSET(AcroDD!$T$31,0,HL49,20),0)),"")&lt;&gt;"","OK","X"),"")</f>
        <v/>
      </c>
    </row>
    <row r="50" spans="1:222" x14ac:dyDescent="0.25">
      <c r="A50" s="39"/>
      <c r="B50" s="40"/>
      <c r="C50" s="40"/>
      <c r="D50" s="40"/>
      <c r="E50" s="20" t="str">
        <f t="shared" ref="E50" si="1565">IF(F49="Acrobatic - Pair","PA",IF(F49="Acrobatic Airborn","A",IF(F49="Acrobatic Balance","B",IF(F49="Acrobatic Combined","C",IF(F49="Acrobatic Platform","P",IF(F49="Technical Required Element",3,IF(LEFT(F49,4)="Hybr","H","")))))))</f>
        <v/>
      </c>
      <c r="F50" s="20" t="str">
        <f>IF(AND(F49="Hybrid - Thrust + 2 connections",CR49="X"),"Hybrid - Thrust",IF(OR(E50="A",E50="B",E50="C",E50="P"),"Acrobatic",""))</f>
        <v/>
      </c>
      <c r="G50" s="42"/>
      <c r="H50" s="207" t="str">
        <f t="shared" ref="H50" si="1566">IF(E50="PA",IF(OR(LEFT(J49,1)="L",LEFT(J49,1)="S"),"A-Pair-Lift",IF(OR(LEFT(J49,1)="W",LEFT(J49,1)="T"),"A-Pair-Throw",IF(LEFT(J49,1)="J","A-Pair-Jump","A-Pair"))),IF(OR(E50="A",E50="B",E50="C",E50="P"),CONCATENATE("Acro-",E50),""))</f>
        <v/>
      </c>
      <c r="I50" s="201" t="e">
        <f t="shared" ref="I50" si="1567">IF(OR(F49="Hybrid - min 4 swimmers (no DD)",LEFT(F49,5)="Trans"),0,INDEX($BY$3:$BY$9,MATCH(E50,$BX$3:$BX$9,0)))</f>
        <v>#N/A</v>
      </c>
      <c r="J50" s="196">
        <f ca="1">IFERROR(IF($H49="No DD",IF(J49="ChoHY",1,0),IF(OR(ISBLANK(J49),J49="N/A"),0,INDEX(INDIRECT(BI50),MATCH(J49,INDIRECT(BI49),0)))),0)</f>
        <v>0</v>
      </c>
      <c r="K50" s="196">
        <f t="shared" ref="K50:Y50" ca="1" si="1568">IFERROR(IF($H49="No DD",0,IF(OR(ISBLANK(K49),K49="N/A"),0,INDEX(INDIRECT(BJ50),MATCH(K49,INDIRECT(BJ49),0)))),0)</f>
        <v>0</v>
      </c>
      <c r="L50" s="196">
        <f t="shared" ca="1" si="1568"/>
        <v>0</v>
      </c>
      <c r="M50" s="196">
        <f t="shared" ca="1" si="1568"/>
        <v>0</v>
      </c>
      <c r="N50" s="196">
        <f t="shared" ca="1" si="1568"/>
        <v>0</v>
      </c>
      <c r="O50" s="196">
        <f t="shared" ca="1" si="1568"/>
        <v>0</v>
      </c>
      <c r="P50" s="196">
        <f t="shared" ca="1" si="1568"/>
        <v>0</v>
      </c>
      <c r="Q50" s="196">
        <f t="shared" ca="1" si="1568"/>
        <v>0</v>
      </c>
      <c r="R50" s="196">
        <f t="shared" ca="1" si="1568"/>
        <v>0</v>
      </c>
      <c r="S50" s="196">
        <f t="shared" ca="1" si="1568"/>
        <v>0</v>
      </c>
      <c r="T50" s="196">
        <f t="shared" ca="1" si="1568"/>
        <v>0</v>
      </c>
      <c r="U50" s="196">
        <f t="shared" ca="1" si="1568"/>
        <v>0</v>
      </c>
      <c r="V50" s="196">
        <f t="shared" ca="1" si="1568"/>
        <v>0</v>
      </c>
      <c r="W50" s="196">
        <f t="shared" ca="1" si="1568"/>
        <v>0</v>
      </c>
      <c r="X50" s="196">
        <f t="shared" ca="1" si="1568"/>
        <v>0</v>
      </c>
      <c r="Y50" s="196">
        <f t="shared" ca="1" si="1568"/>
        <v>0</v>
      </c>
      <c r="Z50" s="196">
        <f t="shared" ref="Z50" ca="1" si="1569">IFERROR(IF($H49="No DD",0,IF(OR(ISBLANK(Z49),Z49="N/A"),0,INDEX(INDIRECT(BY50),MATCH(Z49,INDIRECT(BY49),0)))),0)</f>
        <v>0</v>
      </c>
      <c r="AA50" s="196">
        <f t="shared" ref="AA50" ca="1" si="1570">IFERROR(IF($H49="No DD",0,IF(OR(ISBLANK(AA49),AA49="N/A"),0,INDEX(INDIRECT(BZ50),MATCH(AA49,INDIRECT(BZ49),0)))),0)</f>
        <v>0</v>
      </c>
      <c r="AB50" s="196">
        <f t="shared" ref="AB50" ca="1" si="1571">IFERROR(IF($H49="No DD",0,IF(OR(ISBLANK(AB49),AB49="N/A"),0,INDEX(INDIRECT(CA50),MATCH(AB49,INDIRECT(CA49),0)))),0)</f>
        <v>0</v>
      </c>
      <c r="AC50" s="196">
        <f t="shared" ref="AC50" ca="1" si="1572">IFERROR(IF($H49="No DD",0,IF(OR(ISBLANK(AC49),AC49="N/A"),0,INDEX(INDIRECT(CB50),MATCH(AC49,INDIRECT(CB49),0)))),0)</f>
        <v>0</v>
      </c>
      <c r="AD50" s="196">
        <f t="shared" ref="AD50" ca="1" si="1573">IFERROR(IF($H49="No DD",0,IF(OR(ISBLANK(AD49),AD49="N/A"),0,INDEX(INDIRECT(CC50),MATCH(AD49,INDIRECT(CC49),0)))),0)</f>
        <v>0</v>
      </c>
      <c r="AE50" s="196">
        <f t="shared" ref="AE50" ca="1" si="1574">IFERROR(IF($H49="No DD",0,IF(OR(ISBLANK(AE49),AE49="N/A"),0,INDEX(INDIRECT(CD50),MATCH(AE49,INDIRECT(CD49),0)))),0)</f>
        <v>0</v>
      </c>
      <c r="AF50" s="196">
        <f t="shared" ref="AF50" ca="1" si="1575">IFERROR(IF($H49="No DD",0,IF(OR(ISBLANK(AF49),AF49="N/A"),0,INDEX(INDIRECT(CE50),MATCH(AF49,INDIRECT(CE49),0)))),0)</f>
        <v>0</v>
      </c>
      <c r="AG50" s="196">
        <f t="shared" ref="AG50" ca="1" si="1576">IFERROR(IF($H49="No DD",0,IF(OR(ISBLANK(AG49),AG49="N/A"),0,INDEX(INDIRECT(CF50),MATCH(AG49,INDIRECT(CF49),0)))),0)</f>
        <v>0</v>
      </c>
      <c r="AH50" s="196">
        <f t="shared" ref="AH50" ca="1" si="1577">IFERROR(IF($H49="No DD",0,IF(OR(ISBLANK(AH49),AH49="N/A"),0,INDEX(INDIRECT(CG50),MATCH(AH49,INDIRECT(CG49),0)))),0)</f>
        <v>0</v>
      </c>
      <c r="AI50" s="196">
        <f t="shared" ref="AI50" ca="1" si="1578">IFERROR(IF($H49="No DD",0,IF(OR(ISBLANK(AI49),AI49="N/A"),0,INDEX(INDIRECT(CH50),MATCH(AI49,INDIRECT(CH49),0)))),0)</f>
        <v>0</v>
      </c>
      <c r="AJ50" s="196">
        <f t="shared" ref="AJ50" ca="1" si="1579">IFERROR(IF($H49="No DD",0,IF(OR(ISBLANK(AJ49),AJ49="N/A"),0,INDEX(INDIRECT(CI50),MATCH(AJ49,INDIRECT(CI49),0)))),0)</f>
        <v>0</v>
      </c>
      <c r="AK50" s="196">
        <f t="shared" ref="AK50" ca="1" si="1580">IFERROR(IF($H49="No DD",0,IF(OR(ISBLANK(AK49),AK49="N/A"),0,INDEX(INDIRECT(CJ50),MATCH(AK49,INDIRECT(CJ49),0)))),0)</f>
        <v>0</v>
      </c>
      <c r="AL50" s="196">
        <f t="shared" ref="AL50" ca="1" si="1581">IFERROR(IF($H49="No DD",0,IF(OR(ISBLANK(AL49),AL49="N/A"),0,INDEX(INDIRECT(CK50),MATCH(AL49,INDIRECT(CK49),0)))),0)</f>
        <v>0</v>
      </c>
      <c r="AM50" s="196">
        <f t="shared" ref="AM50" ca="1" si="1582">IFERROR(IF($H49="No DD",0,IF(OR(ISBLANK(AM49),AM49="N/A"),0,INDEX(INDIRECT(CL50),MATCH(AM49,INDIRECT(CL49),0)))),0)</f>
        <v>0</v>
      </c>
      <c r="AN50" s="197" t="str">
        <f>IFERROR(IF(E50="H",INDEX(HybridBonus_Value,MATCH(AN49,HybridBonus_Code,0)),""),"")</f>
        <v/>
      </c>
      <c r="AO50" s="195" t="str">
        <f t="shared" ref="AO50" si="1583">IFERROR(SUM(I50:AN50),"")</f>
        <v/>
      </c>
      <c r="AP50" s="75"/>
      <c r="AQ50" s="75"/>
      <c r="AR50" s="115"/>
      <c r="AS50" s="115"/>
      <c r="AT50" s="115"/>
      <c r="AU50" s="115"/>
      <c r="AV50" s="115"/>
      <c r="BA50" s="104"/>
      <c r="BB50" s="115"/>
      <c r="BC50" s="115"/>
      <c r="BD50" s="115"/>
      <c r="BE50" s="115"/>
      <c r="BF50" s="115"/>
      <c r="BG50" s="104"/>
      <c r="BH50" s="115"/>
      <c r="BI50" s="105" t="str">
        <f t="shared" ref="BI50" si="1584">IF($E50="H",IF($F49="Hybrid - Thrust + 2 connections","Hybrid_Mix_Req_Value","HybridDD_Value"),IF($E50=3,"TreDD_Value",IF($E50="PA","AcroPair_Value",IF(LEFT($F49,4)="Acro",CONCATENATE(BI$16,$E50,"_Value"),""))))</f>
        <v/>
      </c>
      <c r="BJ50" s="105" t="str">
        <f t="shared" ref="BJ50" si="1585">IF($E50="H",IF($F49="Hybrid - Thrust + 2 connections","Hybrid_Mix_Req_Value","HybridDD_Value"),IF($E50=3,"TreDD_Value",IF($E50="PA","AcroPair_Value",IF(LEFT($F49,4)="Acro",CONCATENATE(BJ$16,$E50,"_Value"),""))))</f>
        <v/>
      </c>
      <c r="BK50" s="105" t="str">
        <f t="shared" ref="BK50" si="1586">IF($E50="H",IF($F49="Hybrid - Thrust + 2 connections","Hybrid_Mix_Req_Value","HybridDD_Value"),IF($E50=3,"TreDD_Value",IF($E50="PA","AcroPair_Value",IF(LEFT($F49,4)="Acro",CONCATENATE(BK$16,$E50,"_Value"),""))))</f>
        <v/>
      </c>
      <c r="BL50" s="105" t="str">
        <f t="shared" ref="BL50" si="1587">IF($E50="H",IF($F49="Hybrid - Thrust + 2 connections","Hybrid_Mix_Req_Value","HybridDD_Value"),IF($E50=3,"TreDD_Value",IF($E50="PA","AcroPair_Value",IF(LEFT($F49,4)="Acro",CONCATENATE(BL$16,$E50,"_Value"),""))))</f>
        <v/>
      </c>
      <c r="BM50" s="105" t="str">
        <f t="shared" ref="BM50" si="1588">IF($E50="H",IF($F49="Hybrid - Thrust + 2 connections","Hybrid_Mix_Req_Value","HybridDD_Value"),IF($E50=3,"TreDD_Value",IF($E50="PA","AcroPair_Value",IF(LEFT($F49,4)="Acro",CONCATENATE(BM$16,$E50,"_Value"),""))))</f>
        <v/>
      </c>
      <c r="BN50" s="105" t="str">
        <f t="shared" ref="BN50" si="1589">IF($E50="H",IF($F49="Hybrid - Thrust + 2 connections","Hybrid_Mix_Req_Value","HybridDD_Value"),IF($E50=3,"TreDD_Value",IF($E50="PA","AcroPair_Value",IF(LEFT($F49,4)="Acro",CONCATENATE(BN$16,$E50,"_Value"),""))))</f>
        <v/>
      </c>
      <c r="BO50" s="105" t="str">
        <f t="shared" ref="BO50" si="1590">IF($E50="H",IF($F49="Hybrid - Thrust + 2 connections","Hybrid_Mix_Req_Value","HybridDD_Value"),IF($E50=3,"TreDD_Value",IF($E50="PA","AcroPair_Value",IF(LEFT($F49,4)="Acro",CONCATENATE(BO$16,$E50,"_Value"),""))))</f>
        <v/>
      </c>
      <c r="BP50" s="105" t="str">
        <f t="shared" ref="BP50" si="1591">IF($E50="H",IF($F49="Hybrid - Thrust + 2 connections","Hybrid_Mix_Req_Value","HybridDD_Value"),IF($E50=3,"TreDD_Value",IF($E50="PA","AcroPair_Value",IF(LEFT($F49,4)="Acro",CONCATENATE(BP$16,$E50,"_Value"),""))))</f>
        <v/>
      </c>
      <c r="BQ50" s="105" t="str">
        <f t="shared" ref="BQ50" si="1592">IF($E50="H",IF($F49="Hybrid - Thrust + 2 connections","Hybrid_Mix_Req_Value","HybridDD_Value"),IF($E50=3,"TreDD_Value",IF($E50="PA","AcroPair_Value",IF(LEFT($F49,4)="Acro",CONCATENATE(BQ$16,$E50,"_Value"),""))))</f>
        <v/>
      </c>
      <c r="BR50" s="104" t="str">
        <f t="shared" ref="BR50" si="1593">IF($E50="H",IF($F49="Hybrid - Thrust + 2 connections","Data!$BI$1:$BI$5","HybridDD_Value"),"Data!$BI$1:$BI$5")</f>
        <v>Data!$BI$1:$BI$5</v>
      </c>
      <c r="BS50" s="104" t="str">
        <f t="shared" ref="BS50" si="1594">IF($E50="H",IF($F49="Hybrid - Thrust + 2 connections","Data!$BI$1:$BI$5","HybridDD_Value"),"Data!$BI$1:$BI$5")</f>
        <v>Data!$BI$1:$BI$5</v>
      </c>
      <c r="BT50" s="104" t="str">
        <f t="shared" ref="BT50" si="1595">IF($E50="H",IF($F49="Hybrid - Thrust + 2 connections","Data!$BI$1:$BI$5","HybridDD_Value"),"Data!$BI$1:$BI$5")</f>
        <v>Data!$BI$1:$BI$5</v>
      </c>
      <c r="BU50" s="104" t="str">
        <f t="shared" ref="BU50" si="1596">IF($E50="H",IF($F49="Hybrid - Thrust + 2 connections","Data!$BI$1:$BI$5","HybridDD_Value"),"Data!$BI$1:$BI$5")</f>
        <v>Data!$BI$1:$BI$5</v>
      </c>
      <c r="BV50" s="104" t="str">
        <f t="shared" ref="BV50" si="1597">IF($E50="H",IF($F49="Hybrid - Thrust + 2 connections","Data!$BI$1:$BI$5","HybridDD_Value"),"Data!$BI$1:$BI$5")</f>
        <v>Data!$BI$1:$BI$5</v>
      </c>
      <c r="BW50" s="104" t="str">
        <f t="shared" ref="BW50" si="1598">IF($E50="H",IF($F49="Hybrid - Thrust + 2 connections","Data!$BI$1:$BI$5","HybridDD_Value"),"Data!$BI$1:$BI$5")</f>
        <v>Data!$BI$1:$BI$5</v>
      </c>
      <c r="BX50" s="104" t="str">
        <f t="shared" ref="BX50" si="1599">IF($E50="H",IF($F49="Hybrid - Thrust + 2 connections","Data!$BI$1:$BI$5","HybridDD_Value"),"Data!$BI$1:$BI$5")</f>
        <v>Data!$BI$1:$BI$5</v>
      </c>
      <c r="BY50" s="104" t="str">
        <f t="shared" ref="BY50" si="1600">IF($E50="H",IF($F49="Hybrid - Thrust + 2 connections","Data!$BI$1:$BI$5","HybridDD_Value"),"Data!$BI$1:$BI$5")</f>
        <v>Data!$BI$1:$BI$5</v>
      </c>
      <c r="BZ50" s="104" t="str">
        <f t="shared" ref="BZ50" si="1601">IF($E50="H",IF($F49="Hybrid - Thrust + 2 connections","Data!$BI$1:$BI$5","HybridDD_Value"),"Data!$BI$1:$BI$5")</f>
        <v>Data!$BI$1:$BI$5</v>
      </c>
      <c r="CA50" s="104" t="str">
        <f t="shared" ref="CA50" si="1602">IF($E50="H",IF($F49="Hybrid - Thrust + 2 connections","Data!$BI$1:$BI$5","HybridDD_Value"),"Data!$BI$1:$BI$5")</f>
        <v>Data!$BI$1:$BI$5</v>
      </c>
      <c r="CB50" s="104" t="str">
        <f t="shared" ref="CB50" si="1603">IF($E50="H",IF($F49="Hybrid - Thrust + 2 connections","Data!$BI$1:$BI$5","HybridDD_Value"),"Data!$BI$1:$BI$5")</f>
        <v>Data!$BI$1:$BI$5</v>
      </c>
      <c r="CC50" s="104" t="str">
        <f t="shared" ref="CC50" si="1604">IF($E50="H",IF($F49="Hybrid - Thrust + 2 connections","Data!$BI$1:$BI$5","HybridDD_Value"),"Data!$BI$1:$BI$5")</f>
        <v>Data!$BI$1:$BI$5</v>
      </c>
      <c r="CD50" s="104" t="str">
        <f t="shared" ref="CD50" si="1605">IF($E50="H",IF($F49="Hybrid - Thrust + 2 connections","Data!$BI$1:$BI$5","HybridDD_Value"),"Data!$BI$1:$BI$5")</f>
        <v>Data!$BI$1:$BI$5</v>
      </c>
      <c r="CE50" s="104" t="str">
        <f t="shared" ref="CE50" si="1606">IF($E50="H",IF($F49="Hybrid - Thrust + 2 connections","Data!$BI$1:$BI$5","HybridDD_Value"),"Data!$BI$1:$BI$5")</f>
        <v>Data!$BI$1:$BI$5</v>
      </c>
      <c r="CF50" s="104" t="str">
        <f t="shared" ref="CF50" si="1607">IF($E50="H",IF($F49="Hybrid - Thrust + 2 connections","Data!$BI$1:$BI$5","HybridDD_Value"),"Data!$BI$1:$BI$5")</f>
        <v>Data!$BI$1:$BI$5</v>
      </c>
      <c r="CG50" s="104" t="str">
        <f t="shared" ref="CG50" si="1608">IF($E50="H",IF($F49="Hybrid - Thrust + 2 connections","Data!$BI$1:$BI$5","HybridDD_Value"),"Data!$BI$1:$BI$5")</f>
        <v>Data!$BI$1:$BI$5</v>
      </c>
      <c r="CH50" s="104" t="str">
        <f t="shared" ref="CH50" si="1609">IF($E50="H",IF($F49="Hybrid - Thrust + 2 connections","Data!$BI$1:$BI$5","HybridDD_Value"),"Data!$BI$1:$BI$5")</f>
        <v>Data!$BI$1:$BI$5</v>
      </c>
      <c r="CI50" s="104" t="str">
        <f t="shared" ref="CI50" si="1610">IF($E50="H",IF($F49="Hybrid - Thrust + 2 connections","Data!$BI$1:$BI$5","HybridDD_Value"),"Data!$BI$1:$BI$5")</f>
        <v>Data!$BI$1:$BI$5</v>
      </c>
      <c r="CJ50" s="104" t="str">
        <f t="shared" ref="CJ50" si="1611">IF($E50="H",IF($F49="Hybrid - Thrust + 2 connections","Data!$BI$1:$BI$5","HybridDD_Value"),"Data!$BI$1:$BI$5")</f>
        <v>Data!$BI$1:$BI$5</v>
      </c>
      <c r="CK50" s="104" t="str">
        <f t="shared" ref="CK50" si="1612">IF($E50="H",IF($F49="Hybrid - Thrust + 2 connections","Data!$BI$1:$BI$5","HybridDD_Value"),"Data!$BI$1:$BI$5")</f>
        <v>Data!$BI$1:$BI$5</v>
      </c>
      <c r="CL50" s="104" t="str">
        <f t="shared" ref="CL50" si="1613">IF($E50="H",IF($F49="Hybrid - Thrust + 2 connections","Data!$BI$1:$BI$5","HybridDD_Value"),"Data!$BI$1:$BI$5")</f>
        <v>Data!$BI$1:$BI$5</v>
      </c>
      <c r="CM50" s="115"/>
      <c r="CN50" s="115"/>
      <c r="CO50" s="116" t="str">
        <f>IFERROR(IF(AND($BV$6="T",$BV$8="T",LEFT(F49,4)="Acro",AO50&gt;3),"X",IF($N$7="X",IF(AND(E50="C",AO50&gt;$CN$6),"X",IF(AND(E50="A",AO50&gt;$CN$4),"X",IF(AND(E50="B",AO50&gt;$CN$5),"X",IF(AND(E50="P",AO50&gt;$CN$7),"X","")))),"")),"")</f>
        <v/>
      </c>
      <c r="CP50" s="108"/>
      <c r="CQ50" s="105"/>
      <c r="CS50" s="105"/>
      <c r="CT50" s="105"/>
      <c r="CU50" s="105"/>
      <c r="CV50" s="105"/>
      <c r="CW50" s="105"/>
      <c r="CX50" s="105"/>
      <c r="CY50" s="105"/>
      <c r="CZ50" s="105"/>
      <c r="DD50" s="102" t="str">
        <f t="shared" si="10"/>
        <v/>
      </c>
      <c r="DE50" s="102" t="str">
        <f t="shared" si="11"/>
        <v/>
      </c>
      <c r="DF50" s="102" t="str">
        <f t="shared" si="12"/>
        <v/>
      </c>
      <c r="DG50" s="102" t="str">
        <f t="shared" si="13"/>
        <v/>
      </c>
      <c r="DO50" s="102">
        <v>32</v>
      </c>
      <c r="ED50" s="102" t="str">
        <f t="shared" si="14"/>
        <v/>
      </c>
      <c r="EE50" s="102" t="str">
        <f t="shared" si="15"/>
        <v/>
      </c>
      <c r="EI50" s="102" t="str" cm="1">
        <f t="array" ref="EI50">IFERROR(INDEX(EK50:FN50,MATCH(TRUE,INDEX((EK50:FN50&lt;&gt;""),),0)),"")</f>
        <v/>
      </c>
      <c r="EK50" s="102" t="str">
        <f t="shared" si="879"/>
        <v/>
      </c>
      <c r="EL50" s="102" t="str">
        <f t="shared" ref="EL50:EZ50" si="1614">IF(G49="Hybrid - Thrust + 2 connections",IF(COUNTIF($EK49:$FD49,EL49)&gt;1,EL49,""),IF(COUNTIF($EK49:$FD49,EL49)&gt;5,EL49,""))</f>
        <v/>
      </c>
      <c r="EM50" s="102" t="str">
        <f t="shared" si="1614"/>
        <v/>
      </c>
      <c r="EN50" s="102" t="str">
        <f t="shared" si="1614"/>
        <v/>
      </c>
      <c r="EO50" s="102" t="str">
        <f t="shared" si="1614"/>
        <v/>
      </c>
      <c r="EP50" s="102" t="str">
        <f t="shared" si="1614"/>
        <v/>
      </c>
      <c r="EQ50" s="102" t="str">
        <f t="shared" si="1614"/>
        <v/>
      </c>
      <c r="ER50" s="102" t="str">
        <f t="shared" si="1614"/>
        <v/>
      </c>
      <c r="ES50" s="102" t="str">
        <f t="shared" si="1614"/>
        <v/>
      </c>
      <c r="ET50" s="102" t="str">
        <f t="shared" si="1614"/>
        <v/>
      </c>
      <c r="EU50" s="102" t="str">
        <f t="shared" si="1614"/>
        <v/>
      </c>
      <c r="EV50" s="102" t="str">
        <f t="shared" si="1614"/>
        <v/>
      </c>
      <c r="EW50" s="102" t="str">
        <f t="shared" si="1614"/>
        <v/>
      </c>
      <c r="EX50" s="102" t="str">
        <f t="shared" si="1614"/>
        <v/>
      </c>
      <c r="EY50" s="102" t="str">
        <f t="shared" si="1614"/>
        <v/>
      </c>
      <c r="EZ50" s="102" t="str">
        <f t="shared" si="1614"/>
        <v/>
      </c>
      <c r="FA50" s="102" t="str">
        <f t="shared" ref="FA50" si="1615">IF(V49="Hybrid - Thrust + 2 connections",IF(COUNTIF($EK49:$FD49,FA49)&gt;1,FA49,""),IF(COUNTIF($EK49:$FD49,FA49)&gt;5,FA49,""))</f>
        <v/>
      </c>
      <c r="FB50" s="102" t="str">
        <f t="shared" ref="FB50" si="1616">IF(W49="Hybrid - Thrust + 2 connections",IF(COUNTIF($EK49:$FD49,FB49)&gt;1,FB49,""),IF(COUNTIF($EK49:$FD49,FB49)&gt;5,FB49,""))</f>
        <v/>
      </c>
      <c r="FC50" s="102" t="str">
        <f t="shared" ref="FC50" si="1617">IF(X49="Hybrid - Thrust + 2 connections",IF(COUNTIF($EK49:$FD49,FC49)&gt;1,FC49,""),IF(COUNTIF($EK49:$FD49,FC49)&gt;5,FC49,""))</f>
        <v/>
      </c>
      <c r="FD50" s="102" t="str">
        <f t="shared" ref="FD50" si="1618">IF(Y49="Hybrid - Thrust + 2 connections",IF(COUNTIF($EK49:$FD49,FD49)&gt;1,FD49,""),IF(COUNTIF($EK49:$FD49,FD49)&gt;5,FD49,""))</f>
        <v/>
      </c>
      <c r="FE50" s="102" t="str">
        <f t="shared" ref="FE50" si="1619">IF(Z49="Hybrid - Thrust + 2 connections",IF(COUNTIF($EK49:$FD49,FE49)&gt;1,FE49,""),IF(COUNTIF($EK49:$FD49,FE49)&gt;5,FE49,""))</f>
        <v/>
      </c>
      <c r="FF50" s="102" t="str">
        <f t="shared" ref="FF50" si="1620">IF(AA49="Hybrid - Thrust + 2 connections",IF(COUNTIF($EK49:$FD49,FF49)&gt;1,FF49,""),IF(COUNTIF($EK49:$FD49,FF49)&gt;5,FF49,""))</f>
        <v/>
      </c>
      <c r="FG50" s="102" t="str">
        <f t="shared" ref="FG50" si="1621">IF(AB49="Hybrid - Thrust + 2 connections",IF(COUNTIF($EK49:$FD49,FG49)&gt;1,FG49,""),IF(COUNTIF($EK49:$FD49,FG49)&gt;5,FG49,""))</f>
        <v/>
      </c>
      <c r="FH50" s="102" t="str">
        <f t="shared" ref="FH50" si="1622">IF(AC49="Hybrid - Thrust + 2 connections",IF(COUNTIF($EK49:$FD49,FH49)&gt;1,FH49,""),IF(COUNTIF($EK49:$FD49,FH49)&gt;5,FH49,""))</f>
        <v/>
      </c>
      <c r="FI50" s="102" t="str">
        <f t="shared" ref="FI50" si="1623">IF(AD49="Hybrid - Thrust + 2 connections",IF(COUNTIF($EK49:$FD49,FI49)&gt;1,FI49,""),IF(COUNTIF($EK49:$FD49,FI49)&gt;5,FI49,""))</f>
        <v/>
      </c>
      <c r="FJ50" s="102" t="str">
        <f t="shared" ref="FJ50" si="1624">IF(AE49="Hybrid - Thrust + 2 connections",IF(COUNTIF($EK49:$FD49,FJ49)&gt;1,FJ49,""),IF(COUNTIF($EK49:$FD49,FJ49)&gt;5,FJ49,""))</f>
        <v/>
      </c>
      <c r="FK50" s="102" t="str">
        <f t="shared" ref="FK50" si="1625">IF(AF49="Hybrid - Thrust + 2 connections",IF(COUNTIF($EK49:$FD49,FK49)&gt;1,FK49,""),IF(COUNTIF($EK49:$FD49,FK49)&gt;5,FK49,""))</f>
        <v/>
      </c>
      <c r="FL50" s="102" t="str">
        <f t="shared" ref="FL50" si="1626">IF(AG49="Hybrid - Thrust + 2 connections",IF(COUNTIF($EK49:$FD49,FL49)&gt;1,FL49,""),IF(COUNTIF($EK49:$FD49,FL49)&gt;5,FL49,""))</f>
        <v/>
      </c>
      <c r="FM50" s="102" t="str">
        <f t="shared" ref="FM50" si="1627">IF(AH49="Hybrid - Thrust + 2 connections",IF(COUNTIF($EK49:$FD49,FM49)&gt;1,FM49,""),IF(COUNTIF($EK49:$FD49,FM49)&gt;5,FM49,""))</f>
        <v/>
      </c>
      <c r="FN50" s="102" t="str">
        <f t="shared" ref="FN50" si="1628">IF(AI49="Hybrid - Thrust + 2 connections",IF(COUNTIF($EK49:$FD49,FN49)&gt;1,FN49,""),IF(COUNTIF($EK49:$FD49,FN49)&gt;5,FN49,""))</f>
        <v/>
      </c>
      <c r="FO50" s="102">
        <f t="shared" ref="FO50" si="1629">FO48+5</f>
        <v>75</v>
      </c>
      <c r="FP50" s="102" t="str">
        <f t="shared" ref="FP50" ca="1" si="1630">OFFSET($FP$75,FO50,0)</f>
        <v/>
      </c>
      <c r="FQ50" s="102" t="str">
        <f t="shared" ref="FQ50" ca="1" si="1631">OFFSET($FQ$75,FO50,0)</f>
        <v/>
      </c>
      <c r="FR50" s="282"/>
      <c r="FS50" s="282"/>
      <c r="FT50" s="282"/>
      <c r="FU50" s="282"/>
      <c r="FV50" s="282"/>
      <c r="FW50" s="282"/>
      <c r="FX50" s="282"/>
      <c r="FY50" s="282"/>
      <c r="FZ50" s="282"/>
      <c r="GA50" s="282"/>
      <c r="GB50" s="282"/>
      <c r="GC50" s="282"/>
      <c r="GD50" s="282"/>
      <c r="GE50" s="282"/>
      <c r="GF50" s="282"/>
      <c r="GG50" s="282"/>
      <c r="GH50" s="282"/>
      <c r="GI50" s="282"/>
      <c r="GJ50" s="282"/>
      <c r="GK50" s="282"/>
      <c r="GL50" s="282"/>
      <c r="GM50" s="282"/>
      <c r="GN50" s="282"/>
      <c r="GO50" s="282"/>
      <c r="GP50" s="282"/>
      <c r="GQ50" s="282"/>
      <c r="GR50" s="282"/>
      <c r="GS50" s="282"/>
      <c r="GT50" s="282"/>
      <c r="GU50" s="282"/>
      <c r="GV50" s="102"/>
      <c r="GW50" s="102"/>
      <c r="GX50" s="102"/>
      <c r="GY50" s="102"/>
      <c r="GZ50" s="102"/>
      <c r="HA50" s="102"/>
      <c r="HB50" s="102"/>
      <c r="HC50" s="102"/>
      <c r="HD50" s="102" t="str">
        <f>IF($F49="Hybrid - Thrust + 2 connections",COUNTBLANK(J49:L49),"")</f>
        <v/>
      </c>
      <c r="HE50" s="102"/>
      <c r="HF50" s="105"/>
      <c r="HG50" s="105"/>
      <c r="HH50" s="105"/>
      <c r="HI50" s="105"/>
    </row>
    <row r="51" spans="1:222" x14ac:dyDescent="0.25">
      <c r="A51" s="39" t="str">
        <f>IF(AND(E49="",A49&lt;&gt;""),IF(CP49=$CP$18,"",IF(C49&lt;&gt;"",IF(D49=59,MINUTE(CP49)+1,MINUTE(CP49)),"")),"")</f>
        <v/>
      </c>
      <c r="B51" s="40" t="str">
        <f>IF(AND(E49="",B49&lt;&gt;""),IF(CP49=$CP$18,"",IF(C49&lt;&gt;"",IF(D49=59,0,SECOND(CP49)+1),"")),"")</f>
        <v/>
      </c>
      <c r="C51" s="50"/>
      <c r="D51" s="50"/>
      <c r="E51" s="9"/>
      <c r="F51" s="51"/>
      <c r="G51" s="42" t="str">
        <f>IF(F51&lt;&gt;"",IF(OR(F51="Transition",F51="Transition - Surface Connection"),0,MAX($G$19:G50)+1),"")</f>
        <v/>
      </c>
      <c r="H51" s="56" t="str">
        <f t="shared" ref="H51" si="1632">IFERROR(IF(E52="3","",IF(OR(F51="Hybrid - min 4 swimmers (no DD)",LEFT(F51,5)="Trans"),"No DD",CONCATENATE("BM = ",I52))),"")</f>
        <v/>
      </c>
      <c r="I51" s="57"/>
      <c r="J51" s="124"/>
      <c r="K51" s="129"/>
      <c r="L51" s="129"/>
      <c r="M51" s="129"/>
      <c r="N51" s="129"/>
      <c r="O51" s="129"/>
      <c r="P51" s="129"/>
      <c r="Q51" s="129"/>
      <c r="R51" s="129"/>
      <c r="S51" s="129"/>
      <c r="T51" s="129"/>
      <c r="U51" s="129"/>
      <c r="V51" s="129"/>
      <c r="W51" s="129"/>
      <c r="X51" s="129"/>
      <c r="Y51" s="129"/>
      <c r="Z51" s="129"/>
      <c r="AA51" s="129"/>
      <c r="AB51" s="129"/>
      <c r="AC51" s="129"/>
      <c r="AD51" s="129"/>
      <c r="AE51" s="129"/>
      <c r="AF51" s="129"/>
      <c r="AG51" s="129"/>
      <c r="AH51" s="129"/>
      <c r="AI51" s="129"/>
      <c r="AJ51" s="129"/>
      <c r="AK51" s="129"/>
      <c r="AL51" s="129"/>
      <c r="AM51" s="129"/>
      <c r="AN51" s="179"/>
      <c r="AO51" s="43"/>
      <c r="AP51" s="74"/>
      <c r="AQ51" s="74"/>
      <c r="AR51" s="104"/>
      <c r="AS51" s="104"/>
      <c r="AT51" s="104"/>
      <c r="AU51" s="104"/>
      <c r="AV51" s="104"/>
      <c r="AW51" s="105" t="str">
        <f t="shared" ref="AW51" si="1633">E52</f>
        <v/>
      </c>
      <c r="AX51" s="108" t="str">
        <f t="shared" ref="AX51" si="1634">IF(AY51=0,"",TIME(0,A51,B51))</f>
        <v/>
      </c>
      <c r="AY51" s="108">
        <f t="shared" ref="AY51" si="1635">TIME(0,C51,D51)</f>
        <v>0</v>
      </c>
      <c r="AZ51" s="108" t="str">
        <f t="shared" ref="AZ51" si="1636">IFERROR(AY51-AX51,"")</f>
        <v/>
      </c>
      <c r="BA51" s="276" t="str">
        <f t="shared" ref="BA51" si="1637">IF($AX$17=0,"",IF(AND($C$10&lt;&gt;"",AW51="H",AZ51&gt;$AX$17),"X",""))</f>
        <v/>
      </c>
      <c r="BB51" s="104"/>
      <c r="BC51" s="104"/>
      <c r="BD51" s="104"/>
      <c r="BE51" s="104"/>
      <c r="BF51" s="104"/>
      <c r="BG51" s="104" t="str">
        <f>IFERROR(IF(F51&lt;&gt;"",INDEX(Parts_Active,MATCH(F51,Parts_Active,0)),""),"No")</f>
        <v/>
      </c>
      <c r="BH51" s="104"/>
      <c r="BI51" s="104" t="str">
        <f t="shared" ref="BI51" si="1638">IF($E52="H",IF($F51="Hybrid - Thrust + 2 connections","Hybrid_Mix_Req",IF($F51="Hybrid - min 4 swimmers (no DD)","Hybrid_ChoHY","HybridDD_Code")),IF($E52=3,"TreDD_Code",IF($E52="PA","AcroPair_Code",IF(LEFT($F51,4)="Acro",CONCATENATE(BI$16,$E52,"_Code"),"Data!$BI$1:$BI$5"))))</f>
        <v>Data!$BI$1:$BI$5</v>
      </c>
      <c r="BJ51" s="104" t="str">
        <f t="shared" ref="BJ51" si="1639">IF($E52="H",IF($F51="Hybrid - Thrust + 2 connections","Hybrid_Mix_Req",IF($F51="Hybrid - min 4 swimmers (no DD)","Data!$BI$1:$BI$5","HybridDD_Code")),IF($E52=3,"TreDD_Code",IF($E52="PA","AcroPair_Code",IF(LEFT($F51,4)="Acro",CONCATENATE(BJ$16,$E52,"_Code"),"Data!$BI$1:$BI$5"))))</f>
        <v>Data!$BI$1:$BI$5</v>
      </c>
      <c r="BK51" s="104" t="str">
        <f t="shared" si="798"/>
        <v>Data!$BI$1:$BI$5</v>
      </c>
      <c r="BL51" s="104" t="str">
        <f t="shared" si="798"/>
        <v>Data!$BI$1:$BI$5</v>
      </c>
      <c r="BM51" s="104" t="str">
        <f t="shared" si="798"/>
        <v>Data!$BI$1:$BI$5</v>
      </c>
      <c r="BN51" s="104" t="str">
        <f t="shared" si="798"/>
        <v>Data!$BI$1:$BI$5</v>
      </c>
      <c r="BO51" s="104" t="str">
        <f t="shared" si="798"/>
        <v>Data!$BI$1:$BI$5</v>
      </c>
      <c r="BP51" s="104" t="str">
        <f t="shared" si="798"/>
        <v>Data!$BI$1:$BI$5</v>
      </c>
      <c r="BQ51" s="104" t="str">
        <f t="shared" si="798"/>
        <v>Data!$BI$1:$BI$5</v>
      </c>
      <c r="BR51" s="104" t="str">
        <f t="shared" ref="BR51" si="1640">IF($E52="H",IF($F51="Hybrid - Thrust + 2 connections","Data!$BI$1:$BI$5","HybridDD_Code"),"Data!$BI$1:$BI$5")</f>
        <v>Data!$BI$1:$BI$5</v>
      </c>
      <c r="BS51" s="104" t="str">
        <f t="shared" si="369"/>
        <v>Data!$BI$1:$BI$5</v>
      </c>
      <c r="BT51" s="104" t="str">
        <f t="shared" si="369"/>
        <v>Data!$BI$1:$BI$5</v>
      </c>
      <c r="BU51" s="104" t="str">
        <f t="shared" si="369"/>
        <v>Data!$BI$1:$BI$5</v>
      </c>
      <c r="BV51" s="104" t="str">
        <f t="shared" si="369"/>
        <v>Data!$BI$1:$BI$5</v>
      </c>
      <c r="BW51" s="104" t="str">
        <f t="shared" si="369"/>
        <v>Data!$BI$1:$BI$5</v>
      </c>
      <c r="BX51" s="104" t="str">
        <f t="shared" si="369"/>
        <v>Data!$BI$1:$BI$5</v>
      </c>
      <c r="BY51" s="104" t="str">
        <f t="shared" si="369"/>
        <v>Data!$BI$1:$BI$5</v>
      </c>
      <c r="BZ51" s="104" t="str">
        <f t="shared" si="369"/>
        <v>Data!$BI$1:$BI$5</v>
      </c>
      <c r="CA51" s="104" t="str">
        <f t="shared" si="369"/>
        <v>Data!$BI$1:$BI$5</v>
      </c>
      <c r="CB51" s="104" t="str">
        <f t="shared" si="369"/>
        <v>Data!$BI$1:$BI$5</v>
      </c>
      <c r="CC51" s="104" t="str">
        <f t="shared" si="369"/>
        <v>Data!$BI$1:$BI$5</v>
      </c>
      <c r="CD51" s="104" t="str">
        <f t="shared" si="369"/>
        <v>Data!$BI$1:$BI$5</v>
      </c>
      <c r="CE51" s="104" t="str">
        <f t="shared" si="369"/>
        <v>Data!$BI$1:$BI$5</v>
      </c>
      <c r="CF51" s="104" t="str">
        <f t="shared" si="369"/>
        <v>Data!$BI$1:$BI$5</v>
      </c>
      <c r="CG51" s="104" t="str">
        <f t="shared" si="369"/>
        <v>Data!$BI$1:$BI$5</v>
      </c>
      <c r="CH51" s="104" t="str">
        <f t="shared" si="369"/>
        <v>Data!$BI$1:$BI$5</v>
      </c>
      <c r="CI51" s="104" t="str">
        <f t="shared" si="800"/>
        <v>Data!$BI$1:$BI$5</v>
      </c>
      <c r="CJ51" s="104" t="str">
        <f t="shared" si="800"/>
        <v>Data!$BI$1:$BI$5</v>
      </c>
      <c r="CK51" s="104" t="str">
        <f t="shared" si="800"/>
        <v>Data!$BI$1:$BI$5</v>
      </c>
      <c r="CL51" s="104" t="str">
        <f t="shared" si="800"/>
        <v>Data!$BI$1:$BI$5</v>
      </c>
      <c r="CM51" s="104"/>
      <c r="CN51" s="104"/>
      <c r="CO51" s="107" t="str">
        <f>IFERROR(TIME(0,A51,B51),"")</f>
        <v/>
      </c>
      <c r="CP51" s="108">
        <f>IFERROR(TIME(0,C51,D51),"")</f>
        <v>0</v>
      </c>
      <c r="CQ51" s="108" t="str">
        <f t="shared" ref="CQ51" si="1641">IF(CP51&gt;$D$12,"X","")</f>
        <v/>
      </c>
      <c r="CR51" s="102" t="str">
        <f>IF(AND(F51="Hybrid - Thrust + 2 connections",OR(LEFT(J51,1)="T",LEFT(K51,1)="T",LEFT(L51,1)="T",LEFT(PB51,1)="T",LEFT(M51,1)="T",LEFT(N51,1)="T",LEFT(O51,1)="T",LEFT(P51,1)="T",LEFT(Q51,1)="T",LEFT(R51,1)="T",LEFT(S51,1)="T",LEFT(T51,1)="T",LEFT(U51,1)="T",LEFT(V51,1)="T",LEFT(W51,1)="T",LEFT(X51,1)="T",LEFT(AK51,1)="T",LEFT(AL51,1)="T",LEFT(AM51,1)="T")),IF(OR(LEN(J51)=2,LEN(K51)=2,LEN(L51)=2,LEN(M51)=2,LEN(N51)=2,LEN(O51)=2,LEN(P51)=2,LEN(Q51)=2,LEN(R51)=2,LEN(S51)=2,LEN(T51)=2,LEN(U51)=2,LEN(V51)=2,LEN(W51)=2,LEN(X51)=2,LEN(Y51)=2,LEN(Z51)=2,LEN(AK51)=2,LEN(AL51)=2,LEN(AM51)=2),"X",""),"")</f>
        <v/>
      </c>
      <c r="CS51" s="105" t="str">
        <f>IF(F51="Hybrid",SECOND(CP51),"")</f>
        <v/>
      </c>
      <c r="CT51" s="102" t="str">
        <f>IF(LEFT(F51,4)="Acro",IF(AND(N51&lt;&gt;"",M51=RIGHT(N51,2)),"X","OK"),"")</f>
        <v/>
      </c>
      <c r="CU51" s="104" t="str">
        <f t="shared" ref="CU51:DB51" si="1642">IFERROR(IF(AND(LEFT($F51,4)="Acro",INDEX(Requ_App,MATCH(BI51,Requ_Code,0))="No"),"X",""),"")</f>
        <v/>
      </c>
      <c r="CV51" s="104" t="str">
        <f t="shared" si="1642"/>
        <v/>
      </c>
      <c r="CW51" s="104" t="str">
        <f t="shared" si="1642"/>
        <v/>
      </c>
      <c r="CX51" s="104" t="str">
        <f t="shared" si="1642"/>
        <v/>
      </c>
      <c r="CY51" s="104" t="str">
        <f t="shared" si="1642"/>
        <v/>
      </c>
      <c r="CZ51" s="104" t="str">
        <f t="shared" si="1642"/>
        <v/>
      </c>
      <c r="DA51" s="104" t="str">
        <f t="shared" si="1642"/>
        <v/>
      </c>
      <c r="DB51" s="104" t="str">
        <f t="shared" si="1642"/>
        <v/>
      </c>
      <c r="DC51" s="104" t="str">
        <f>IFERROR(IF(AND(LEFT($F51,4)="Acro",INDEX(Requ_App,MATCH(BP51,Requ_Code,0))="No"),"X",""),"")</f>
        <v/>
      </c>
      <c r="DD51" s="102" t="str">
        <f t="shared" ref="DD51:DD68" si="1643">IF(OR($E52="A",$E52="B",$E52="C",$E52="P"),"Z","")</f>
        <v/>
      </c>
      <c r="DE51" s="102" t="str">
        <f t="shared" ref="DE51:DE68" si="1644">IF(OR($E52="B",$E52="P"),"Z","")</f>
        <v/>
      </c>
      <c r="DF51" s="102" t="str">
        <f t="shared" ref="DF51:DF68" si="1645">IF(OR($E52="A",$E52="C"),"Z","")</f>
        <v/>
      </c>
      <c r="DG51" s="102" t="str">
        <f t="shared" ref="DG51:DG68" si="1646">IF(OR($E52="A",$E52="B",$E52="C",$E52="P"),"Z","")</f>
        <v/>
      </c>
      <c r="DK51" s="102">
        <f t="shared" ref="DK51" si="1647">IF(AND(E52="A",OR(Q51="Grip",Q51="Conn",Q51="Catch")),"A1",IF(AND(E52="A",OR(Q51="Hula",Q51="RetSq",Q51="RetPa")),"A2",IF(AND(E52="B",OR(Q51="Twirl",Q51="RotF")),"B1",IF(AND(E52="B",OR(Q51="Moon",Q51="Mov",Q51="Hold")),"B2",IF(AND(E52="P",OR(Q51="Porp",Q51="Splch")),"P1",IF(AND(E52="P",OR(Q51="Diva",Q51="Stand")),"P2",IF(AND(E52="P",OR(Q51="Spider",Q51="Climb")),"P3",IF(AND(E52="P",OR(Q51="Fall",Q51="FTurn")),"P4",IF(AND(E52="C",OR(Q51="Jump",Q51="Jump&gt;",Q51="On1Foot",Q51="1F&gt;1F")),"C1",IF(AND(E52="C",OR(Q51="Run",Q51="BRun")),"C2",1))))))))))</f>
        <v>1</v>
      </c>
      <c r="DL51" s="102">
        <f t="shared" ref="DL51" si="1648">IF(AND(E52="A",OR(R51="Grip",R51="Conn",R51="Catch")),"A1",IF(AND(E52="A",OR(R51="Hula",R51="RetSq",R51="RetPa")),"A2",IF(AND(E52="B",OR(R51="Twirl",R51="RotF")),"B1",IF(AND(E52="B",OR(R51="Moon",R51="Mov",R51="Hold")),"B2",IF(AND(E52="P",OR(R51="Porp",R51="Spich")),"P1",IF(AND(E52="P",OR(R51="Diva",R51="Stand")),"P2",IF(AND(E52="P",OR(R51="Spider",R51="Climb")),"P3",IF(AND(E52="P",OR(R51="Fall",R51="FTurn")),"P4",IF(AND(E52="C",OR(R51="Jump",R51="Jump&gt;",R51="On1Foot",R51="1F&gt;1F")),"C1",IF(AND(E52="C",OR(R51="Run",R51="BRun")),"C2",2))))))))))</f>
        <v>2</v>
      </c>
      <c r="DM51" s="102" t="str">
        <f>IF(AND(LEFT(F51,4)="Acro",Q51&lt;&gt;"",OR(Q51=R51,DK51=DL51)),IF(R51="C-Roll","","X"),IF(OR(AND(E52="A",Q51="Catch",R51&lt;&gt;"Dbl"),AND(E52="A",R51="Catch",Q51&lt;&gt;"Dbl")),"X",""))</f>
        <v/>
      </c>
      <c r="DN51" s="102" t="str">
        <f>IF(E52="PA",J51,"")</f>
        <v/>
      </c>
      <c r="DO51" s="102">
        <v>33</v>
      </c>
      <c r="DQ51" s="102" t="str">
        <f>IF(AND($E52="A",COUNTIF($DZ$19:$EA$68,DZ51)&gt;1),DZ51,"")</f>
        <v/>
      </c>
      <c r="DR51" s="102" t="str">
        <f>IF(AND($E52="A",COUNTIF($DZ$19:$EA$68,EA51)&gt;1),EA51,"")</f>
        <v/>
      </c>
      <c r="DS51" s="102" t="str">
        <f ca="1">IF(AND($E52="B",COUNTIF($J$19:$J$68,J51)&gt;1),J51,"")</f>
        <v/>
      </c>
      <c r="DT51" s="102" t="str">
        <f ca="1">IF(AND($E52="B",COUNTIF($K$19:$K$68,K51)&gt;1),K51,"")</f>
        <v/>
      </c>
      <c r="DU51" s="102" t="str">
        <f ca="1">IF(AND($E52="C",COUNTIF($J$19:$J$68,J51)&gt;1),J51,"")</f>
        <v/>
      </c>
      <c r="DV51" s="102" t="str">
        <f ca="1">IF(AND($E52="P",COUNTIF($J$19:$J$68,J51)&gt;1),J51,"")</f>
        <v/>
      </c>
      <c r="DW51" s="102" t="str">
        <f ca="1">IF(AND($E52="P",COUNTIF($K$19:$K$68,K51)&gt;1),K51,"")</f>
        <v/>
      </c>
      <c r="DX51" s="102" t="str">
        <f>IF(AND($E52="P",COUNTIF($DZ$19:$EA$68,DZ51)&gt;1),DZ51,"")</f>
        <v/>
      </c>
      <c r="DY51" s="102" t="str">
        <f>IF(AND($E52="P",COUNTIF($DZ$19:$EA$68,EA51)&gt;1),EA51,"")</f>
        <v/>
      </c>
      <c r="DZ51" s="102" t="str">
        <f>IFERROR(IF(OR(E52="A",E52="P"),M51,""),"")</f>
        <v/>
      </c>
      <c r="EA51" s="102" t="str">
        <f>IFERROR(IF(OR(E52="A",E52="P"),RIGHT(N51,2),""),"")</f>
        <v/>
      </c>
      <c r="EB51" s="102" t="str">
        <f t="shared" ref="EB51" si="1649">IF(Q51="","",IF(AND($E52="P",COUNTIF($Q$19:$R$68,Q51)&gt;1),Q51,""))</f>
        <v/>
      </c>
      <c r="EC51" s="102" t="str">
        <f t="shared" ref="EC51" si="1650">IF(R51="","",IF(AND($E52="P",COUNTIF($Q$19:$R$68,R51)&gt;1),R51,""))</f>
        <v/>
      </c>
      <c r="ED51" s="102" t="str">
        <f t="shared" si="14"/>
        <v/>
      </c>
      <c r="EE51" s="102" t="str">
        <f t="shared" si="15"/>
        <v/>
      </c>
      <c r="EF51" s="102" t="str">
        <f>IF(AND($F$8="Open Team Acrobatic",LEFT(F51,4)="Acro"),E52,"")</f>
        <v/>
      </c>
      <c r="EG51" s="102" t="str">
        <f t="shared" ref="EG51" si="1651">IFERROR(IF(HLOOKUP(EF51,$DQ$12:$DT$13,2,FALSE)&gt;2,"X",""),"")</f>
        <v/>
      </c>
      <c r="EI51" s="102" t="str">
        <f t="shared" ref="EI51" si="1652">IF(OR(AND(F51="Hybrid - Thrust + 2 connections",EI52="T"),AND(E52="H",EI52&lt;&gt;"",EI105="X")),"X","")</f>
        <v/>
      </c>
      <c r="EK51" s="102">
        <f t="shared" ref="EK51" si="1653">IFERROR(IF(AND($E52="H",J51&lt;&gt;"",J51&lt;&gt;"ChoHY"),IF(OR(LEFT(J51,1)="T",LEFT(J51,1)="S",LEFT(J51,1)="A",LEFT(J51,1)="F",LEFT(J51,1)="C"),LEFT(J51,1),"R"),EK$18),"")</f>
        <v>1</v>
      </c>
      <c r="EL51" s="102">
        <f t="shared" ref="EL51:EZ51" si="1654">IFERROR(IF(AND($E52="H",K51&lt;&gt;""),IF(OR(LEFT(K51,1)="T",LEFT(K51,1)="S",LEFT(K51,1)="A",LEFT(K51,1)="F",LEFT(K51,1)="C"),LEFT(K51,1),"R"),EL$18),"")</f>
        <v>2</v>
      </c>
      <c r="EM51" s="102">
        <f t="shared" si="1654"/>
        <v>3</v>
      </c>
      <c r="EN51" s="102">
        <f t="shared" si="1654"/>
        <v>4</v>
      </c>
      <c r="EO51" s="102">
        <f t="shared" si="1654"/>
        <v>5</v>
      </c>
      <c r="EP51" s="102">
        <f t="shared" si="1654"/>
        <v>6</v>
      </c>
      <c r="EQ51" s="102">
        <f t="shared" si="1654"/>
        <v>7</v>
      </c>
      <c r="ER51" s="102">
        <f t="shared" si="1654"/>
        <v>8</v>
      </c>
      <c r="ES51" s="102">
        <f t="shared" si="1654"/>
        <v>9</v>
      </c>
      <c r="ET51" s="102">
        <f t="shared" si="1654"/>
        <v>10</v>
      </c>
      <c r="EU51" s="102">
        <f t="shared" si="1654"/>
        <v>11</v>
      </c>
      <c r="EV51" s="102">
        <f t="shared" si="1654"/>
        <v>12</v>
      </c>
      <c r="EW51" s="102">
        <f t="shared" si="1654"/>
        <v>13</v>
      </c>
      <c r="EX51" s="102">
        <f t="shared" si="1654"/>
        <v>14</v>
      </c>
      <c r="EY51" s="102">
        <f t="shared" si="1654"/>
        <v>15</v>
      </c>
      <c r="EZ51" s="102">
        <f t="shared" si="1654"/>
        <v>16</v>
      </c>
      <c r="FA51" s="102">
        <f t="shared" ref="FA51" si="1655">IFERROR(IF(AND($E52="H",Z51&lt;&gt;""),IF(OR(LEFT(Z51,1)="T",LEFT(Z51,1)="S",LEFT(Z51,1)="A",LEFT(Z51,1)="F",LEFT(Z51,1)="C"),LEFT(Z51,1),"R"),FA$18),"")</f>
        <v>17</v>
      </c>
      <c r="FB51" s="102">
        <f t="shared" ref="FB51" si="1656">IFERROR(IF(AND($E52="H",AA51&lt;&gt;""),IF(OR(LEFT(AA51,1)="T",LEFT(AA51,1)="S",LEFT(AA51,1)="A",LEFT(AA51,1)="F",LEFT(AA51,1)="C"),LEFT(AA51,1),"R"),FB$18),"")</f>
        <v>18</v>
      </c>
      <c r="FC51" s="102">
        <f t="shared" ref="FC51" si="1657">IFERROR(IF(AND($E52="H",AB51&lt;&gt;""),IF(OR(LEFT(AB51,1)="T",LEFT(AB51,1)="S",LEFT(AB51,1)="A",LEFT(AB51,1)="F",LEFT(AB51,1)="C"),LEFT(AB51,1),"R"),FC$18),"")</f>
        <v>19</v>
      </c>
      <c r="FD51" s="102">
        <f t="shared" ref="FD51" si="1658">IFERROR(IF(AND($E52="H",AC51&lt;&gt;""),IF(OR(LEFT(AC51,1)="T",LEFT(AC51,1)="S",LEFT(AC51,1)="A",LEFT(AC51,1)="F",LEFT(AC51,1)="C"),LEFT(AC51,1),"R"),FD$18),"")</f>
        <v>20</v>
      </c>
      <c r="FE51" s="102">
        <f t="shared" ref="FE51" si="1659">IFERROR(IF(AND($E52="H",AD51&lt;&gt;""),IF(OR(LEFT(AD51,1)="T",LEFT(AD51,1)="S",LEFT(AD51,1)="A",LEFT(AD51,1)="F",LEFT(AD51,1)="C"),LEFT(AD51,1),"R"),FE$18),"")</f>
        <v>21</v>
      </c>
      <c r="FF51" s="102">
        <f t="shared" ref="FF51" si="1660">IFERROR(IF(AND($E52="H",AE51&lt;&gt;""),IF(OR(LEFT(AE51,1)="T",LEFT(AE51,1)="S",LEFT(AE51,1)="A",LEFT(AE51,1)="F",LEFT(AE51,1)="C"),LEFT(AE51,1),"R"),FF$18),"")</f>
        <v>22</v>
      </c>
      <c r="FG51" s="102">
        <f t="shared" ref="FG51" si="1661">IFERROR(IF(AND($E52="H",AF51&lt;&gt;""),IF(OR(LEFT(AF51,1)="T",LEFT(AF51,1)="S",LEFT(AF51,1)="A",LEFT(AF51,1)="F",LEFT(AF51,1)="C"),LEFT(AF51,1),"R"),FG$18),"")</f>
        <v>23</v>
      </c>
      <c r="FH51" s="102">
        <f t="shared" ref="FH51" si="1662">IFERROR(IF(AND($E52="H",AG51&lt;&gt;""),IF(OR(LEFT(AG51,1)="T",LEFT(AG51,1)="S",LEFT(AG51,1)="A",LEFT(AG51,1)="F",LEFT(AG51,1)="C"),LEFT(AG51,1),"R"),FH$18),"")</f>
        <v>24</v>
      </c>
      <c r="FI51" s="102">
        <f t="shared" ref="FI51" si="1663">IFERROR(IF(AND($E52="H",AH51&lt;&gt;""),IF(OR(LEFT(AH51,1)="T",LEFT(AH51,1)="S",LEFT(AH51,1)="A",LEFT(AH51,1)="F",LEFT(AH51,1)="C"),LEFT(AH51,1),"R"),FI$18),"")</f>
        <v>25</v>
      </c>
      <c r="FJ51" s="102">
        <f t="shared" ref="FJ51" si="1664">IFERROR(IF(AND($E52="H",AI51&lt;&gt;""),IF(OR(LEFT(AI51,1)="T",LEFT(AI51,1)="S",LEFT(AI51,1)="A",LEFT(AI51,1)="F",LEFT(AI51,1)="C"),LEFT(AI51,1),"R"),FJ$18),"")</f>
        <v>26</v>
      </c>
      <c r="FK51" s="102">
        <f t="shared" ref="FK51" si="1665">IFERROR(IF(AND($E52="H",AJ51&lt;&gt;""),IF(OR(LEFT(AJ51,1)="T",LEFT(AJ51,1)="S",LEFT(AJ51,1)="A",LEFT(AJ51,1)="F",LEFT(AJ51,1)="C"),LEFT(AJ51,1),"R"),FK$18),"")</f>
        <v>27</v>
      </c>
      <c r="FL51" s="102">
        <f t="shared" ref="FL51" si="1666">IFERROR(IF(AND($E52="H",AK51&lt;&gt;""),IF(OR(LEFT(AK51,1)="T",LEFT(AK51,1)="S",LEFT(AK51,1)="A",LEFT(AK51,1)="F",LEFT(AK51,1)="C"),LEFT(AK51,1),"R"),FL$18),"")</f>
        <v>28</v>
      </c>
      <c r="FM51" s="102">
        <f t="shared" ref="FM51" si="1667">IFERROR(IF(AND($E52="H",AL51&lt;&gt;""),IF(OR(LEFT(AL51,1)="T",LEFT(AL51,1)="S",LEFT(AL51,1)="A",LEFT(AL51,1)="F",LEFT(AL51,1)="C"),LEFT(AL51,1),"R"),FM$18),"")</f>
        <v>29</v>
      </c>
      <c r="FN51" s="102">
        <f t="shared" ref="FN51" si="1668">IFERROR(IF(AND($E52="H",AM51&lt;&gt;""),IF(OR(LEFT(AM51,1)="T",LEFT(AM51,1)="S",LEFT(AM51,1)="A",LEFT(AM51,1)="F",LEFT(AM51,1)="C"),LEFT(AM51,1),"R"),FN$18),"")</f>
        <v>30</v>
      </c>
      <c r="FO51" s="102"/>
      <c r="FP51" s="102"/>
      <c r="FQ51" s="102"/>
      <c r="FR51" s="282"/>
      <c r="FS51" s="282"/>
      <c r="FT51" s="282"/>
      <c r="FU51" s="282"/>
      <c r="FV51" s="282"/>
      <c r="FW51" s="282"/>
      <c r="FX51" s="282"/>
      <c r="FY51" s="282"/>
      <c r="FZ51" s="282"/>
      <c r="GA51" s="282"/>
      <c r="GB51" s="282"/>
      <c r="GC51" s="282"/>
      <c r="GD51" s="282"/>
      <c r="GE51" s="282"/>
      <c r="GF51" s="282"/>
      <c r="GG51" s="282"/>
      <c r="GH51" s="282"/>
      <c r="GI51" s="282"/>
      <c r="GJ51" s="282"/>
      <c r="GK51" s="282"/>
      <c r="GL51" s="282"/>
      <c r="GM51" s="282"/>
      <c r="GN51" s="282"/>
      <c r="GO51" s="282"/>
      <c r="GP51" s="282"/>
      <c r="GQ51" s="282"/>
      <c r="GR51" s="282"/>
      <c r="GS51" s="282"/>
      <c r="GT51" s="282"/>
      <c r="GU51" s="282"/>
      <c r="GV51" s="102"/>
      <c r="GW51" s="102">
        <f t="shared" ref="GW51" si="1669">COUNTIF($EK51:$FN51,GW$18)</f>
        <v>0</v>
      </c>
      <c r="GX51" s="102">
        <f t="shared" si="825"/>
        <v>0</v>
      </c>
      <c r="GY51" s="102">
        <f t="shared" si="825"/>
        <v>0</v>
      </c>
      <c r="GZ51" s="102">
        <f t="shared" si="825"/>
        <v>0</v>
      </c>
      <c r="HA51" s="102">
        <f t="shared" si="825"/>
        <v>0</v>
      </c>
      <c r="HB51" s="102">
        <f t="shared" si="825"/>
        <v>0</v>
      </c>
      <c r="HC51" s="102"/>
      <c r="HD51" s="102" t="str">
        <f t="shared" ref="HD51" si="1670">IF(AND($F51="Hybrid - Thrust + 2 connections",HD52=0,LEFT($J51,1)="C",LEFT($K51,1)="C",LEFT($L51,1)="C"),"X","")</f>
        <v/>
      </c>
      <c r="HE51" s="102"/>
      <c r="HF51" s="105"/>
      <c r="HG51" s="114"/>
      <c r="HH51" s="114"/>
      <c r="HI51" s="105" t="str">
        <f t="shared" ref="HI51" si="1671">IF(E52=3,IF(_xlfn.NUMBERVALUE(LEFT(J51,1))&gt;0,_xlfn.NUMBERVALUE(LEFT(J51,1)),""),"")</f>
        <v/>
      </c>
      <c r="HK51" s="105" t="str">
        <f t="shared" ref="HK51" si="1672">IF(OR(E52="B",E52="P"),E52,"")</f>
        <v/>
      </c>
      <c r="HL51" s="105" t="str">
        <f>IF(AND(J51&lt;&gt;"",HK51&lt;&gt;""),IF(HK51="B",MATCH(J51,AcroDD!$U$3:$AE$3,0),MATCH(J51,AcroDD!$U$30:$AC$30,0)),"")</f>
        <v/>
      </c>
      <c r="HM51" s="105" t="str">
        <f t="shared" ref="HM51" si="1673">IF(AND(K51&lt;&gt;"",HK51&lt;&gt;""),K51,"")</f>
        <v/>
      </c>
      <c r="HN51" s="105" t="str">
        <f ca="1">IF(AND(OR(HK51="B",HK51="P"),HL51&lt;&gt;"",HM51&lt;&gt;""),IF(IFERROR(IF(HK51="B",MATCH(HM51,OFFSET(AcroDD!$T$4,0,HL51,20),0),MATCH(HM51,OFFSET(AcroDD!$T$31,0,HL51,20),0)),"")&lt;&gt;"","OK","X"),"")</f>
        <v/>
      </c>
    </row>
    <row r="52" spans="1:222" x14ac:dyDescent="0.25">
      <c r="A52" s="39"/>
      <c r="B52" s="40"/>
      <c r="C52" s="40"/>
      <c r="D52" s="40"/>
      <c r="E52" s="20" t="str">
        <f t="shared" ref="E52" si="1674">IF(F51="Acrobatic - Pair","PA",IF(F51="Acrobatic Airborn","A",IF(F51="Acrobatic Balance","B",IF(F51="Acrobatic Combined","C",IF(F51="Acrobatic Platform","P",IF(F51="Technical Required Element",3,IF(LEFT(F51,4)="Hybr","H","")))))))</f>
        <v/>
      </c>
      <c r="F52" s="20" t="str">
        <f>IF(AND(F51="Hybrid - Thrust + 2 connections",CR51="X"),"Hybrid - Thrust",IF(OR(E52="A",E52="B",E52="C",E52="P"),"Acrobatic",""))</f>
        <v/>
      </c>
      <c r="G52" s="42"/>
      <c r="H52" s="207" t="str">
        <f t="shared" ref="H52" si="1675">IF(E52="PA",IF(OR(LEFT(J51,1)="L",LEFT(J51,1)="S"),"A-Pair-Lift",IF(OR(LEFT(J51,1)="W",LEFT(J51,1)="T"),"A-Pair-Throw",IF(LEFT(J51,1)="J","A-Pair-Jump","A-Pair"))),IF(OR(E52="A",E52="B",E52="C",E52="P"),CONCATENATE("Acro-",E52),""))</f>
        <v/>
      </c>
      <c r="I52" s="201" t="e">
        <f t="shared" ref="I52" si="1676">IF(OR(F51="Hybrid - min 4 swimmers (no DD)",LEFT(F51,5)="Trans"),0,INDEX($BY$3:$BY$9,MATCH(E52,$BX$3:$BX$9,0)))</f>
        <v>#N/A</v>
      </c>
      <c r="J52" s="196">
        <f ca="1">IFERROR(IF($H51="No DD",IF(J51="ChoHY",1,0),IF(OR(ISBLANK(J51),J51="N/A"),0,INDEX(INDIRECT(BI52),MATCH(J51,INDIRECT(BI51),0)))),0)</f>
        <v>0</v>
      </c>
      <c r="K52" s="196">
        <f t="shared" ref="K52:Y52" ca="1" si="1677">IFERROR(IF($H51="No DD",0,IF(OR(ISBLANK(K51),K51="N/A"),0,INDEX(INDIRECT(BJ52),MATCH(K51,INDIRECT(BJ51),0)))),0)</f>
        <v>0</v>
      </c>
      <c r="L52" s="196">
        <f t="shared" ca="1" si="1677"/>
        <v>0</v>
      </c>
      <c r="M52" s="196">
        <f t="shared" ca="1" si="1677"/>
        <v>0</v>
      </c>
      <c r="N52" s="196">
        <f t="shared" ca="1" si="1677"/>
        <v>0</v>
      </c>
      <c r="O52" s="196">
        <f t="shared" ca="1" si="1677"/>
        <v>0</v>
      </c>
      <c r="P52" s="196">
        <f t="shared" ca="1" si="1677"/>
        <v>0</v>
      </c>
      <c r="Q52" s="196">
        <f t="shared" ca="1" si="1677"/>
        <v>0</v>
      </c>
      <c r="R52" s="196">
        <f t="shared" ca="1" si="1677"/>
        <v>0</v>
      </c>
      <c r="S52" s="196">
        <f t="shared" ca="1" si="1677"/>
        <v>0</v>
      </c>
      <c r="T52" s="196">
        <f t="shared" ca="1" si="1677"/>
        <v>0</v>
      </c>
      <c r="U52" s="196">
        <f t="shared" ca="1" si="1677"/>
        <v>0</v>
      </c>
      <c r="V52" s="196">
        <f t="shared" ca="1" si="1677"/>
        <v>0</v>
      </c>
      <c r="W52" s="196">
        <f t="shared" ca="1" si="1677"/>
        <v>0</v>
      </c>
      <c r="X52" s="196">
        <f t="shared" ca="1" si="1677"/>
        <v>0</v>
      </c>
      <c r="Y52" s="196">
        <f t="shared" ca="1" si="1677"/>
        <v>0</v>
      </c>
      <c r="Z52" s="196">
        <f t="shared" ref="Z52" ca="1" si="1678">IFERROR(IF($H51="No DD",0,IF(OR(ISBLANK(Z51),Z51="N/A"),0,INDEX(INDIRECT(BY52),MATCH(Z51,INDIRECT(BY51),0)))),0)</f>
        <v>0</v>
      </c>
      <c r="AA52" s="196">
        <f t="shared" ref="AA52" ca="1" si="1679">IFERROR(IF($H51="No DD",0,IF(OR(ISBLANK(AA51),AA51="N/A"),0,INDEX(INDIRECT(BZ52),MATCH(AA51,INDIRECT(BZ51),0)))),0)</f>
        <v>0</v>
      </c>
      <c r="AB52" s="196">
        <f t="shared" ref="AB52" ca="1" si="1680">IFERROR(IF($H51="No DD",0,IF(OR(ISBLANK(AB51),AB51="N/A"),0,INDEX(INDIRECT(CA52),MATCH(AB51,INDIRECT(CA51),0)))),0)</f>
        <v>0</v>
      </c>
      <c r="AC52" s="196">
        <f t="shared" ref="AC52" ca="1" si="1681">IFERROR(IF($H51="No DD",0,IF(OR(ISBLANK(AC51),AC51="N/A"),0,INDEX(INDIRECT(CB52),MATCH(AC51,INDIRECT(CB51),0)))),0)</f>
        <v>0</v>
      </c>
      <c r="AD52" s="196">
        <f t="shared" ref="AD52" ca="1" si="1682">IFERROR(IF($H51="No DD",0,IF(OR(ISBLANK(AD51),AD51="N/A"),0,INDEX(INDIRECT(CC52),MATCH(AD51,INDIRECT(CC51),0)))),0)</f>
        <v>0</v>
      </c>
      <c r="AE52" s="196">
        <f t="shared" ref="AE52" ca="1" si="1683">IFERROR(IF($H51="No DD",0,IF(OR(ISBLANK(AE51),AE51="N/A"),0,INDEX(INDIRECT(CD52),MATCH(AE51,INDIRECT(CD51),0)))),0)</f>
        <v>0</v>
      </c>
      <c r="AF52" s="196">
        <f t="shared" ref="AF52" ca="1" si="1684">IFERROR(IF($H51="No DD",0,IF(OR(ISBLANK(AF51),AF51="N/A"),0,INDEX(INDIRECT(CE52),MATCH(AF51,INDIRECT(CE51),0)))),0)</f>
        <v>0</v>
      </c>
      <c r="AG52" s="196">
        <f t="shared" ref="AG52" ca="1" si="1685">IFERROR(IF($H51="No DD",0,IF(OR(ISBLANK(AG51),AG51="N/A"),0,INDEX(INDIRECT(CF52),MATCH(AG51,INDIRECT(CF51),0)))),0)</f>
        <v>0</v>
      </c>
      <c r="AH52" s="196">
        <f t="shared" ref="AH52" ca="1" si="1686">IFERROR(IF($H51="No DD",0,IF(OR(ISBLANK(AH51),AH51="N/A"),0,INDEX(INDIRECT(CG52),MATCH(AH51,INDIRECT(CG51),0)))),0)</f>
        <v>0</v>
      </c>
      <c r="AI52" s="196">
        <f t="shared" ref="AI52" ca="1" si="1687">IFERROR(IF($H51="No DD",0,IF(OR(ISBLANK(AI51),AI51="N/A"),0,INDEX(INDIRECT(CH52),MATCH(AI51,INDIRECT(CH51),0)))),0)</f>
        <v>0</v>
      </c>
      <c r="AJ52" s="196">
        <f t="shared" ref="AJ52" ca="1" si="1688">IFERROR(IF($H51="No DD",0,IF(OR(ISBLANK(AJ51),AJ51="N/A"),0,INDEX(INDIRECT(CI52),MATCH(AJ51,INDIRECT(CI51),0)))),0)</f>
        <v>0</v>
      </c>
      <c r="AK52" s="196">
        <f t="shared" ref="AK52" ca="1" si="1689">IFERROR(IF($H51="No DD",0,IF(OR(ISBLANK(AK51),AK51="N/A"),0,INDEX(INDIRECT(CJ52),MATCH(AK51,INDIRECT(CJ51),0)))),0)</f>
        <v>0</v>
      </c>
      <c r="AL52" s="196">
        <f t="shared" ref="AL52" ca="1" si="1690">IFERROR(IF($H51="No DD",0,IF(OR(ISBLANK(AL51),AL51="N/A"),0,INDEX(INDIRECT(CK52),MATCH(AL51,INDIRECT(CK51),0)))),0)</f>
        <v>0</v>
      </c>
      <c r="AM52" s="196">
        <f t="shared" ref="AM52" ca="1" si="1691">IFERROR(IF($H51="No DD",0,IF(OR(ISBLANK(AM51),AM51="N/A"),0,INDEX(INDIRECT(CL52),MATCH(AM51,INDIRECT(CL51),0)))),0)</f>
        <v>0</v>
      </c>
      <c r="AN52" s="197" t="str">
        <f>IFERROR(IF(E52="H",INDEX(HybridBonus_Value,MATCH(AN51,HybridBonus_Code,0)),""),"")</f>
        <v/>
      </c>
      <c r="AO52" s="195" t="str">
        <f t="shared" ref="AO52" si="1692">IFERROR(SUM(I52:AN52),"")</f>
        <v/>
      </c>
      <c r="AP52" s="75"/>
      <c r="AQ52" s="75"/>
      <c r="AR52" s="115"/>
      <c r="AS52" s="115"/>
      <c r="AT52" s="115"/>
      <c r="AU52" s="115"/>
      <c r="AV52" s="115"/>
      <c r="BA52" s="104"/>
      <c r="BB52" s="115"/>
      <c r="BC52" s="115"/>
      <c r="BD52" s="115"/>
      <c r="BE52" s="115"/>
      <c r="BF52" s="115"/>
      <c r="BG52" s="104"/>
      <c r="BH52" s="115"/>
      <c r="BI52" s="105" t="str">
        <f t="shared" ref="BI52" si="1693">IF($E52="H",IF($F51="Hybrid - Thrust + 2 connections","Hybrid_Mix_Req_Value","HybridDD_Value"),IF($E52=3,"TreDD_Value",IF($E52="PA","AcroPair_Value",IF(LEFT($F51,4)="Acro",CONCATENATE(BI$16,$E52,"_Value"),""))))</f>
        <v/>
      </c>
      <c r="BJ52" s="105" t="str">
        <f t="shared" ref="BJ52" si="1694">IF($E52="H",IF($F51="Hybrid - Thrust + 2 connections","Hybrid_Mix_Req_Value","HybridDD_Value"),IF($E52=3,"TreDD_Value",IF($E52="PA","AcroPair_Value",IF(LEFT($F51,4)="Acro",CONCATENATE(BJ$16,$E52,"_Value"),""))))</f>
        <v/>
      </c>
      <c r="BK52" s="105" t="str">
        <f t="shared" ref="BK52" si="1695">IF($E52="H",IF($F51="Hybrid - Thrust + 2 connections","Hybrid_Mix_Req_Value","HybridDD_Value"),IF($E52=3,"TreDD_Value",IF($E52="PA","AcroPair_Value",IF(LEFT($F51,4)="Acro",CONCATENATE(BK$16,$E52,"_Value"),""))))</f>
        <v/>
      </c>
      <c r="BL52" s="105" t="str">
        <f t="shared" ref="BL52" si="1696">IF($E52="H",IF($F51="Hybrid - Thrust + 2 connections","Hybrid_Mix_Req_Value","HybridDD_Value"),IF($E52=3,"TreDD_Value",IF($E52="PA","AcroPair_Value",IF(LEFT($F51,4)="Acro",CONCATENATE(BL$16,$E52,"_Value"),""))))</f>
        <v/>
      </c>
      <c r="BM52" s="105" t="str">
        <f t="shared" ref="BM52" si="1697">IF($E52="H",IF($F51="Hybrid - Thrust + 2 connections","Hybrid_Mix_Req_Value","HybridDD_Value"),IF($E52=3,"TreDD_Value",IF($E52="PA","AcroPair_Value",IF(LEFT($F51,4)="Acro",CONCATENATE(BM$16,$E52,"_Value"),""))))</f>
        <v/>
      </c>
      <c r="BN52" s="105" t="str">
        <f t="shared" ref="BN52" si="1698">IF($E52="H",IF($F51="Hybrid - Thrust + 2 connections","Hybrid_Mix_Req_Value","HybridDD_Value"),IF($E52=3,"TreDD_Value",IF($E52="PA","AcroPair_Value",IF(LEFT($F51,4)="Acro",CONCATENATE(BN$16,$E52,"_Value"),""))))</f>
        <v/>
      </c>
      <c r="BO52" s="105" t="str">
        <f t="shared" ref="BO52" si="1699">IF($E52="H",IF($F51="Hybrid - Thrust + 2 connections","Hybrid_Mix_Req_Value","HybridDD_Value"),IF($E52=3,"TreDD_Value",IF($E52="PA","AcroPair_Value",IF(LEFT($F51,4)="Acro",CONCATENATE(BO$16,$E52,"_Value"),""))))</f>
        <v/>
      </c>
      <c r="BP52" s="105" t="str">
        <f t="shared" ref="BP52" si="1700">IF($E52="H",IF($F51="Hybrid - Thrust + 2 connections","Hybrid_Mix_Req_Value","HybridDD_Value"),IF($E52=3,"TreDD_Value",IF($E52="PA","AcroPair_Value",IF(LEFT($F51,4)="Acro",CONCATENATE(BP$16,$E52,"_Value"),""))))</f>
        <v/>
      </c>
      <c r="BQ52" s="105" t="str">
        <f t="shared" ref="BQ52" si="1701">IF($E52="H",IF($F51="Hybrid - Thrust + 2 connections","Hybrid_Mix_Req_Value","HybridDD_Value"),IF($E52=3,"TreDD_Value",IF($E52="PA","AcroPair_Value",IF(LEFT($F51,4)="Acro",CONCATENATE(BQ$16,$E52,"_Value"),""))))</f>
        <v/>
      </c>
      <c r="BR52" s="104" t="str">
        <f t="shared" ref="BR52" si="1702">IF($E52="H",IF($F51="Hybrid - Thrust + 2 connections","Data!$BI$1:$BI$5","HybridDD_Value"),"Data!$BI$1:$BI$5")</f>
        <v>Data!$BI$1:$BI$5</v>
      </c>
      <c r="BS52" s="104" t="str">
        <f t="shared" ref="BS52" si="1703">IF($E52="H",IF($F51="Hybrid - Thrust + 2 connections","Data!$BI$1:$BI$5","HybridDD_Value"),"Data!$BI$1:$BI$5")</f>
        <v>Data!$BI$1:$BI$5</v>
      </c>
      <c r="BT52" s="104" t="str">
        <f t="shared" ref="BT52" si="1704">IF($E52="H",IF($F51="Hybrid - Thrust + 2 connections","Data!$BI$1:$BI$5","HybridDD_Value"),"Data!$BI$1:$BI$5")</f>
        <v>Data!$BI$1:$BI$5</v>
      </c>
      <c r="BU52" s="104" t="str">
        <f t="shared" ref="BU52" si="1705">IF($E52="H",IF($F51="Hybrid - Thrust + 2 connections","Data!$BI$1:$BI$5","HybridDD_Value"),"Data!$BI$1:$BI$5")</f>
        <v>Data!$BI$1:$BI$5</v>
      </c>
      <c r="BV52" s="104" t="str">
        <f t="shared" ref="BV52" si="1706">IF($E52="H",IF($F51="Hybrid - Thrust + 2 connections","Data!$BI$1:$BI$5","HybridDD_Value"),"Data!$BI$1:$BI$5")</f>
        <v>Data!$BI$1:$BI$5</v>
      </c>
      <c r="BW52" s="104" t="str">
        <f t="shared" ref="BW52" si="1707">IF($E52="H",IF($F51="Hybrid - Thrust + 2 connections","Data!$BI$1:$BI$5","HybridDD_Value"),"Data!$BI$1:$BI$5")</f>
        <v>Data!$BI$1:$BI$5</v>
      </c>
      <c r="BX52" s="104" t="str">
        <f t="shared" ref="BX52" si="1708">IF($E52="H",IF($F51="Hybrid - Thrust + 2 connections","Data!$BI$1:$BI$5","HybridDD_Value"),"Data!$BI$1:$BI$5")</f>
        <v>Data!$BI$1:$BI$5</v>
      </c>
      <c r="BY52" s="104" t="str">
        <f t="shared" ref="BY52" si="1709">IF($E52="H",IF($F51="Hybrid - Thrust + 2 connections","Data!$BI$1:$BI$5","HybridDD_Value"),"Data!$BI$1:$BI$5")</f>
        <v>Data!$BI$1:$BI$5</v>
      </c>
      <c r="BZ52" s="104" t="str">
        <f t="shared" ref="BZ52" si="1710">IF($E52="H",IF($F51="Hybrid - Thrust + 2 connections","Data!$BI$1:$BI$5","HybridDD_Value"),"Data!$BI$1:$BI$5")</f>
        <v>Data!$BI$1:$BI$5</v>
      </c>
      <c r="CA52" s="104" t="str">
        <f t="shared" ref="CA52" si="1711">IF($E52="H",IF($F51="Hybrid - Thrust + 2 connections","Data!$BI$1:$BI$5","HybridDD_Value"),"Data!$BI$1:$BI$5")</f>
        <v>Data!$BI$1:$BI$5</v>
      </c>
      <c r="CB52" s="104" t="str">
        <f t="shared" ref="CB52" si="1712">IF($E52="H",IF($F51="Hybrid - Thrust + 2 connections","Data!$BI$1:$BI$5","HybridDD_Value"),"Data!$BI$1:$BI$5")</f>
        <v>Data!$BI$1:$BI$5</v>
      </c>
      <c r="CC52" s="104" t="str">
        <f t="shared" ref="CC52" si="1713">IF($E52="H",IF($F51="Hybrid - Thrust + 2 connections","Data!$BI$1:$BI$5","HybridDD_Value"),"Data!$BI$1:$BI$5")</f>
        <v>Data!$BI$1:$BI$5</v>
      </c>
      <c r="CD52" s="104" t="str">
        <f t="shared" ref="CD52" si="1714">IF($E52="H",IF($F51="Hybrid - Thrust + 2 connections","Data!$BI$1:$BI$5","HybridDD_Value"),"Data!$BI$1:$BI$5")</f>
        <v>Data!$BI$1:$BI$5</v>
      </c>
      <c r="CE52" s="104" t="str">
        <f t="shared" ref="CE52" si="1715">IF($E52="H",IF($F51="Hybrid - Thrust + 2 connections","Data!$BI$1:$BI$5","HybridDD_Value"),"Data!$BI$1:$BI$5")</f>
        <v>Data!$BI$1:$BI$5</v>
      </c>
      <c r="CF52" s="104" t="str">
        <f t="shared" ref="CF52" si="1716">IF($E52="H",IF($F51="Hybrid - Thrust + 2 connections","Data!$BI$1:$BI$5","HybridDD_Value"),"Data!$BI$1:$BI$5")</f>
        <v>Data!$BI$1:$BI$5</v>
      </c>
      <c r="CG52" s="104" t="str">
        <f t="shared" ref="CG52" si="1717">IF($E52="H",IF($F51="Hybrid - Thrust + 2 connections","Data!$BI$1:$BI$5","HybridDD_Value"),"Data!$BI$1:$BI$5")</f>
        <v>Data!$BI$1:$BI$5</v>
      </c>
      <c r="CH52" s="104" t="str">
        <f t="shared" ref="CH52" si="1718">IF($E52="H",IF($F51="Hybrid - Thrust + 2 connections","Data!$BI$1:$BI$5","HybridDD_Value"),"Data!$BI$1:$BI$5")</f>
        <v>Data!$BI$1:$BI$5</v>
      </c>
      <c r="CI52" s="104" t="str">
        <f t="shared" ref="CI52" si="1719">IF($E52="H",IF($F51="Hybrid - Thrust + 2 connections","Data!$BI$1:$BI$5","HybridDD_Value"),"Data!$BI$1:$BI$5")</f>
        <v>Data!$BI$1:$BI$5</v>
      </c>
      <c r="CJ52" s="104" t="str">
        <f t="shared" ref="CJ52" si="1720">IF($E52="H",IF($F51="Hybrid - Thrust + 2 connections","Data!$BI$1:$BI$5","HybridDD_Value"),"Data!$BI$1:$BI$5")</f>
        <v>Data!$BI$1:$BI$5</v>
      </c>
      <c r="CK52" s="104" t="str">
        <f t="shared" ref="CK52" si="1721">IF($E52="H",IF($F51="Hybrid - Thrust + 2 connections","Data!$BI$1:$BI$5","HybridDD_Value"),"Data!$BI$1:$BI$5")</f>
        <v>Data!$BI$1:$BI$5</v>
      </c>
      <c r="CL52" s="104" t="str">
        <f t="shared" ref="CL52" si="1722">IF($E52="H",IF($F51="Hybrid - Thrust + 2 connections","Data!$BI$1:$BI$5","HybridDD_Value"),"Data!$BI$1:$BI$5")</f>
        <v>Data!$BI$1:$BI$5</v>
      </c>
      <c r="CM52" s="115"/>
      <c r="CN52" s="115"/>
      <c r="CO52" s="116" t="str">
        <f>IFERROR(IF(AND($BV$6="T",$BV$8="T",LEFT(F51,4)="Acro",AO52&gt;3),"X",IF($N$7="X",IF(AND(E52="C",AO52&gt;$CN$6),"X",IF(AND(E52="A",AO52&gt;$CN$4),"X",IF(AND(E52="B",AO52&gt;$CN$5),"X",IF(AND(E52="P",AO52&gt;$CN$7),"X","")))),"")),"")</f>
        <v/>
      </c>
      <c r="CP52" s="108"/>
      <c r="CQ52" s="105"/>
      <c r="CS52" s="105"/>
      <c r="CT52" s="105"/>
      <c r="CU52" s="105"/>
      <c r="CV52" s="105"/>
      <c r="CW52" s="105"/>
      <c r="CX52" s="105"/>
      <c r="CY52" s="105"/>
      <c r="CZ52" s="105"/>
      <c r="DD52" s="102" t="str">
        <f t="shared" si="1643"/>
        <v/>
      </c>
      <c r="DE52" s="102" t="str">
        <f t="shared" si="1644"/>
        <v/>
      </c>
      <c r="DF52" s="102" t="str">
        <f t="shared" si="1645"/>
        <v/>
      </c>
      <c r="DG52" s="102" t="str">
        <f t="shared" si="1646"/>
        <v/>
      </c>
      <c r="DO52" s="102">
        <v>34</v>
      </c>
      <c r="ED52" s="102" t="str">
        <f t="shared" si="14"/>
        <v/>
      </c>
      <c r="EE52" s="102" t="str">
        <f t="shared" si="15"/>
        <v/>
      </c>
      <c r="EI52" s="102" t="str" cm="1">
        <f t="array" ref="EI52">IFERROR(INDEX(EK52:FN52,MATCH(TRUE,INDEX((EK52:FN52&lt;&gt;""),),0)),"")</f>
        <v/>
      </c>
      <c r="EK52" s="102" t="str">
        <f t="shared" si="879"/>
        <v/>
      </c>
      <c r="EL52" s="102" t="str">
        <f t="shared" ref="EL52:EZ52" si="1723">IF(G51="Hybrid - Thrust + 2 connections",IF(COUNTIF($EK51:$FD51,EL51)&gt;1,EL51,""),IF(COUNTIF($EK51:$FD51,EL51)&gt;5,EL51,""))</f>
        <v/>
      </c>
      <c r="EM52" s="102" t="str">
        <f t="shared" si="1723"/>
        <v/>
      </c>
      <c r="EN52" s="102" t="str">
        <f t="shared" si="1723"/>
        <v/>
      </c>
      <c r="EO52" s="102" t="str">
        <f t="shared" si="1723"/>
        <v/>
      </c>
      <c r="EP52" s="102" t="str">
        <f t="shared" si="1723"/>
        <v/>
      </c>
      <c r="EQ52" s="102" t="str">
        <f t="shared" si="1723"/>
        <v/>
      </c>
      <c r="ER52" s="102" t="str">
        <f t="shared" si="1723"/>
        <v/>
      </c>
      <c r="ES52" s="102" t="str">
        <f t="shared" si="1723"/>
        <v/>
      </c>
      <c r="ET52" s="102" t="str">
        <f t="shared" si="1723"/>
        <v/>
      </c>
      <c r="EU52" s="102" t="str">
        <f t="shared" si="1723"/>
        <v/>
      </c>
      <c r="EV52" s="102" t="str">
        <f t="shared" si="1723"/>
        <v/>
      </c>
      <c r="EW52" s="102" t="str">
        <f t="shared" si="1723"/>
        <v/>
      </c>
      <c r="EX52" s="102" t="str">
        <f t="shared" si="1723"/>
        <v/>
      </c>
      <c r="EY52" s="102" t="str">
        <f t="shared" si="1723"/>
        <v/>
      </c>
      <c r="EZ52" s="102" t="str">
        <f t="shared" si="1723"/>
        <v/>
      </c>
      <c r="FA52" s="102" t="str">
        <f t="shared" ref="FA52" si="1724">IF(V51="Hybrid - Thrust + 2 connections",IF(COUNTIF($EK51:$FD51,FA51)&gt;1,FA51,""),IF(COUNTIF($EK51:$FD51,FA51)&gt;5,FA51,""))</f>
        <v/>
      </c>
      <c r="FB52" s="102" t="str">
        <f t="shared" ref="FB52" si="1725">IF(W51="Hybrid - Thrust + 2 connections",IF(COUNTIF($EK51:$FD51,FB51)&gt;1,FB51,""),IF(COUNTIF($EK51:$FD51,FB51)&gt;5,FB51,""))</f>
        <v/>
      </c>
      <c r="FC52" s="102" t="str">
        <f t="shared" ref="FC52" si="1726">IF(X51="Hybrid - Thrust + 2 connections",IF(COUNTIF($EK51:$FD51,FC51)&gt;1,FC51,""),IF(COUNTIF($EK51:$FD51,FC51)&gt;5,FC51,""))</f>
        <v/>
      </c>
      <c r="FD52" s="102" t="str">
        <f t="shared" ref="FD52" si="1727">IF(Y51="Hybrid - Thrust + 2 connections",IF(COUNTIF($EK51:$FD51,FD51)&gt;1,FD51,""),IF(COUNTIF($EK51:$FD51,FD51)&gt;5,FD51,""))</f>
        <v/>
      </c>
      <c r="FE52" s="102" t="str">
        <f t="shared" ref="FE52" si="1728">IF(Z51="Hybrid - Thrust + 2 connections",IF(COUNTIF($EK51:$FD51,FE51)&gt;1,FE51,""),IF(COUNTIF($EK51:$FD51,FE51)&gt;5,FE51,""))</f>
        <v/>
      </c>
      <c r="FF52" s="102" t="str">
        <f t="shared" ref="FF52" si="1729">IF(AA51="Hybrid - Thrust + 2 connections",IF(COUNTIF($EK51:$FD51,FF51)&gt;1,FF51,""),IF(COUNTIF($EK51:$FD51,FF51)&gt;5,FF51,""))</f>
        <v/>
      </c>
      <c r="FG52" s="102" t="str">
        <f t="shared" ref="FG52" si="1730">IF(AB51="Hybrid - Thrust + 2 connections",IF(COUNTIF($EK51:$FD51,FG51)&gt;1,FG51,""),IF(COUNTIF($EK51:$FD51,FG51)&gt;5,FG51,""))</f>
        <v/>
      </c>
      <c r="FH52" s="102" t="str">
        <f t="shared" ref="FH52" si="1731">IF(AC51="Hybrid - Thrust + 2 connections",IF(COUNTIF($EK51:$FD51,FH51)&gt;1,FH51,""),IF(COUNTIF($EK51:$FD51,FH51)&gt;5,FH51,""))</f>
        <v/>
      </c>
      <c r="FI52" s="102" t="str">
        <f t="shared" ref="FI52" si="1732">IF(AD51="Hybrid - Thrust + 2 connections",IF(COUNTIF($EK51:$FD51,FI51)&gt;1,FI51,""),IF(COUNTIF($EK51:$FD51,FI51)&gt;5,FI51,""))</f>
        <v/>
      </c>
      <c r="FJ52" s="102" t="str">
        <f t="shared" ref="FJ52" si="1733">IF(AE51="Hybrid - Thrust + 2 connections",IF(COUNTIF($EK51:$FD51,FJ51)&gt;1,FJ51,""),IF(COUNTIF($EK51:$FD51,FJ51)&gt;5,FJ51,""))</f>
        <v/>
      </c>
      <c r="FK52" s="102" t="str">
        <f t="shared" ref="FK52" si="1734">IF(AF51="Hybrid - Thrust + 2 connections",IF(COUNTIF($EK51:$FD51,FK51)&gt;1,FK51,""),IF(COUNTIF($EK51:$FD51,FK51)&gt;5,FK51,""))</f>
        <v/>
      </c>
      <c r="FL52" s="102" t="str">
        <f t="shared" ref="FL52" si="1735">IF(AG51="Hybrid - Thrust + 2 connections",IF(COUNTIF($EK51:$FD51,FL51)&gt;1,FL51,""),IF(COUNTIF($EK51:$FD51,FL51)&gt;5,FL51,""))</f>
        <v/>
      </c>
      <c r="FM52" s="102" t="str">
        <f t="shared" ref="FM52" si="1736">IF(AH51="Hybrid - Thrust + 2 connections",IF(COUNTIF($EK51:$FD51,FM51)&gt;1,FM51,""),IF(COUNTIF($EK51:$FD51,FM51)&gt;5,FM51,""))</f>
        <v/>
      </c>
      <c r="FN52" s="102" t="str">
        <f t="shared" ref="FN52" si="1737">IF(AI51="Hybrid - Thrust + 2 connections",IF(COUNTIF($EK51:$FD51,FN51)&gt;1,FN51,""),IF(COUNTIF($EK51:$FD51,FN51)&gt;5,FN51,""))</f>
        <v/>
      </c>
      <c r="FO52" s="102">
        <f t="shared" ref="FO52" si="1738">FO50+5</f>
        <v>80</v>
      </c>
      <c r="FP52" s="102" t="str">
        <f t="shared" ref="FP52" ca="1" si="1739">OFFSET($FP$75,FO52,0)</f>
        <v/>
      </c>
      <c r="FQ52" s="102" t="str">
        <f t="shared" ref="FQ52" ca="1" si="1740">OFFSET($FQ$75,FO52,0)</f>
        <v/>
      </c>
      <c r="FR52" s="282"/>
      <c r="FS52" s="282"/>
      <c r="FT52" s="282"/>
      <c r="FU52" s="282"/>
      <c r="FV52" s="282"/>
      <c r="FW52" s="282"/>
      <c r="FX52" s="282"/>
      <c r="FY52" s="282"/>
      <c r="FZ52" s="282"/>
      <c r="GA52" s="282"/>
      <c r="GB52" s="282"/>
      <c r="GC52" s="282"/>
      <c r="GD52" s="282"/>
      <c r="GE52" s="282"/>
      <c r="GF52" s="282"/>
      <c r="GG52" s="282"/>
      <c r="GH52" s="282"/>
      <c r="GI52" s="282"/>
      <c r="GJ52" s="282"/>
      <c r="GK52" s="282"/>
      <c r="GL52" s="282"/>
      <c r="GM52" s="282"/>
      <c r="GN52" s="282"/>
      <c r="GO52" s="282"/>
      <c r="GP52" s="282"/>
      <c r="GQ52" s="282"/>
      <c r="GR52" s="282"/>
      <c r="GS52" s="282"/>
      <c r="GT52" s="282"/>
      <c r="GU52" s="282"/>
      <c r="GV52" s="102"/>
      <c r="GW52" s="102"/>
      <c r="GX52" s="102"/>
      <c r="GY52" s="102"/>
      <c r="GZ52" s="102"/>
      <c r="HA52" s="102"/>
      <c r="HB52" s="102"/>
      <c r="HC52" s="102"/>
      <c r="HD52" s="102" t="str">
        <f>IF($F51="Hybrid - Thrust + 2 connections",COUNTBLANK(J51:L51),"")</f>
        <v/>
      </c>
      <c r="HE52" s="102"/>
      <c r="HF52" s="105"/>
      <c r="HG52" s="105"/>
      <c r="HH52" s="105"/>
      <c r="HI52" s="105"/>
    </row>
    <row r="53" spans="1:222" x14ac:dyDescent="0.25">
      <c r="A53" s="39" t="str">
        <f>IF(AND(E51="",A51&lt;&gt;""),IF(CP51=$CP$18,"",IF(C51&lt;&gt;"",IF(D51=59,MINUTE(CP51)+1,MINUTE(CP51)),"")),"")</f>
        <v/>
      </c>
      <c r="B53" s="40" t="str">
        <f>IF(AND(E51="",B51&lt;&gt;""),IF(CP51=$CP$18,"",IF(C51&lt;&gt;"",IF(D51=59,0,SECOND(CP51)+1),"")),"")</f>
        <v/>
      </c>
      <c r="C53" s="50"/>
      <c r="D53" s="50"/>
      <c r="E53" s="9"/>
      <c r="F53" s="51"/>
      <c r="G53" s="42" t="str">
        <f>IF(F53&lt;&gt;"",IF(OR(F53="Transition",F53="Transition - Surface Connection"),0,MAX($G$19:G52)+1),"")</f>
        <v/>
      </c>
      <c r="H53" s="56" t="str">
        <f t="shared" ref="H53" si="1741">IFERROR(IF(E54="3","",IF(OR(F53="Hybrid - min 4 swimmers (no DD)",LEFT(F53,5)="Trans"),"No DD",CONCATENATE("BM = ",I54))),"")</f>
        <v/>
      </c>
      <c r="I53" s="57"/>
      <c r="J53" s="124"/>
      <c r="K53" s="129"/>
      <c r="L53" s="129"/>
      <c r="M53" s="129"/>
      <c r="N53" s="129"/>
      <c r="O53" s="129"/>
      <c r="P53" s="129"/>
      <c r="Q53" s="129"/>
      <c r="R53" s="129"/>
      <c r="S53" s="129"/>
      <c r="T53" s="129"/>
      <c r="U53" s="129"/>
      <c r="V53" s="129"/>
      <c r="W53" s="129"/>
      <c r="X53" s="129"/>
      <c r="Y53" s="129"/>
      <c r="Z53" s="129"/>
      <c r="AA53" s="129"/>
      <c r="AB53" s="129"/>
      <c r="AC53" s="129"/>
      <c r="AD53" s="129"/>
      <c r="AE53" s="129"/>
      <c r="AF53" s="129"/>
      <c r="AG53" s="129"/>
      <c r="AH53" s="129"/>
      <c r="AI53" s="129"/>
      <c r="AJ53" s="129"/>
      <c r="AK53" s="129"/>
      <c r="AL53" s="129"/>
      <c r="AM53" s="129"/>
      <c r="AN53" s="179"/>
      <c r="AO53" s="43"/>
      <c r="AP53" s="74"/>
      <c r="AQ53" s="74"/>
      <c r="AR53" s="104"/>
      <c r="AS53" s="104"/>
      <c r="AT53" s="104"/>
      <c r="AU53" s="104"/>
      <c r="AV53" s="104"/>
      <c r="AW53" s="105" t="str">
        <f t="shared" ref="AW53" si="1742">E54</f>
        <v/>
      </c>
      <c r="AX53" s="108" t="str">
        <f t="shared" ref="AX53" si="1743">IF(AY53=0,"",TIME(0,A53,B53))</f>
        <v/>
      </c>
      <c r="AY53" s="108">
        <f t="shared" ref="AY53" si="1744">TIME(0,C53,D53)</f>
        <v>0</v>
      </c>
      <c r="AZ53" s="108" t="str">
        <f t="shared" ref="AZ53" si="1745">IFERROR(AY53-AX53,"")</f>
        <v/>
      </c>
      <c r="BA53" s="276" t="str">
        <f t="shared" ref="BA53" si="1746">IF($AX$17=0,"",IF(AND($C$10&lt;&gt;"",AW53="H",AZ53&gt;$AX$17),"X",""))</f>
        <v/>
      </c>
      <c r="BB53" s="104"/>
      <c r="BC53" s="104"/>
      <c r="BD53" s="104"/>
      <c r="BE53" s="104"/>
      <c r="BF53" s="104"/>
      <c r="BG53" s="104" t="str">
        <f>IFERROR(IF(F53&lt;&gt;"",INDEX(Parts_Active,MATCH(F53,Parts_Active,0)),""),"No")</f>
        <v/>
      </c>
      <c r="BH53" s="104"/>
      <c r="BI53" s="104" t="str">
        <f t="shared" ref="BI53" si="1747">IF($E54="H",IF($F53="Hybrid - Thrust + 2 connections","Hybrid_Mix_Req",IF($F53="Hybrid - min 4 swimmers (no DD)","Hybrid_ChoHY","HybridDD_Code")),IF($E54=3,"TreDD_Code",IF($E54="PA","AcroPair_Code",IF(LEFT($F53,4)="Acro",CONCATENATE(BI$16,$E54,"_Code"),"Data!$BI$1:$BI$5"))))</f>
        <v>Data!$BI$1:$BI$5</v>
      </c>
      <c r="BJ53" s="104" t="str">
        <f t="shared" ref="BJ53" si="1748">IF($E54="H",IF($F53="Hybrid - Thrust + 2 connections","Hybrid_Mix_Req",IF($F53="Hybrid - min 4 swimmers (no DD)","Data!$BI$1:$BI$5","HybridDD_Code")),IF($E54=3,"TreDD_Code",IF($E54="PA","AcroPair_Code",IF(LEFT($F53,4)="Acro",CONCATENATE(BJ$16,$E54,"_Code"),"Data!$BI$1:$BI$5"))))</f>
        <v>Data!$BI$1:$BI$5</v>
      </c>
      <c r="BK53" s="104" t="str">
        <f t="shared" si="798"/>
        <v>Data!$BI$1:$BI$5</v>
      </c>
      <c r="BL53" s="104" t="str">
        <f t="shared" si="798"/>
        <v>Data!$BI$1:$BI$5</v>
      </c>
      <c r="BM53" s="104" t="str">
        <f t="shared" si="798"/>
        <v>Data!$BI$1:$BI$5</v>
      </c>
      <c r="BN53" s="104" t="str">
        <f t="shared" si="798"/>
        <v>Data!$BI$1:$BI$5</v>
      </c>
      <c r="BO53" s="104" t="str">
        <f t="shared" si="798"/>
        <v>Data!$BI$1:$BI$5</v>
      </c>
      <c r="BP53" s="104" t="str">
        <f t="shared" si="798"/>
        <v>Data!$BI$1:$BI$5</v>
      </c>
      <c r="BQ53" s="104" t="str">
        <f t="shared" si="798"/>
        <v>Data!$BI$1:$BI$5</v>
      </c>
      <c r="BR53" s="104" t="str">
        <f t="shared" ref="BR53" si="1749">IF($E54="H",IF($F53="Hybrid - Thrust + 2 connections","Data!$BI$1:$BI$5","HybridDD_Code"),"Data!$BI$1:$BI$5")</f>
        <v>Data!$BI$1:$BI$5</v>
      </c>
      <c r="BS53" s="104" t="str">
        <f t="shared" si="369"/>
        <v>Data!$BI$1:$BI$5</v>
      </c>
      <c r="BT53" s="104" t="str">
        <f t="shared" si="369"/>
        <v>Data!$BI$1:$BI$5</v>
      </c>
      <c r="BU53" s="104" t="str">
        <f t="shared" si="369"/>
        <v>Data!$BI$1:$BI$5</v>
      </c>
      <c r="BV53" s="104" t="str">
        <f t="shared" si="369"/>
        <v>Data!$BI$1:$BI$5</v>
      </c>
      <c r="BW53" s="104" t="str">
        <f t="shared" si="369"/>
        <v>Data!$BI$1:$BI$5</v>
      </c>
      <c r="BX53" s="104" t="str">
        <f t="shared" si="369"/>
        <v>Data!$BI$1:$BI$5</v>
      </c>
      <c r="BY53" s="104" t="str">
        <f t="shared" si="369"/>
        <v>Data!$BI$1:$BI$5</v>
      </c>
      <c r="BZ53" s="104" t="str">
        <f t="shared" si="369"/>
        <v>Data!$BI$1:$BI$5</v>
      </c>
      <c r="CA53" s="104" t="str">
        <f t="shared" si="369"/>
        <v>Data!$BI$1:$BI$5</v>
      </c>
      <c r="CB53" s="104" t="str">
        <f t="shared" si="369"/>
        <v>Data!$BI$1:$BI$5</v>
      </c>
      <c r="CC53" s="104" t="str">
        <f t="shared" si="369"/>
        <v>Data!$BI$1:$BI$5</v>
      </c>
      <c r="CD53" s="104" t="str">
        <f t="shared" si="369"/>
        <v>Data!$BI$1:$BI$5</v>
      </c>
      <c r="CE53" s="104" t="str">
        <f t="shared" si="369"/>
        <v>Data!$BI$1:$BI$5</v>
      </c>
      <c r="CF53" s="104" t="str">
        <f t="shared" si="369"/>
        <v>Data!$BI$1:$BI$5</v>
      </c>
      <c r="CG53" s="104" t="str">
        <f t="shared" si="369"/>
        <v>Data!$BI$1:$BI$5</v>
      </c>
      <c r="CH53" s="104" t="str">
        <f t="shared" si="369"/>
        <v>Data!$BI$1:$BI$5</v>
      </c>
      <c r="CI53" s="104" t="str">
        <f t="shared" si="800"/>
        <v>Data!$BI$1:$BI$5</v>
      </c>
      <c r="CJ53" s="104" t="str">
        <f t="shared" si="800"/>
        <v>Data!$BI$1:$BI$5</v>
      </c>
      <c r="CK53" s="104" t="str">
        <f t="shared" si="800"/>
        <v>Data!$BI$1:$BI$5</v>
      </c>
      <c r="CL53" s="104" t="str">
        <f t="shared" si="800"/>
        <v>Data!$BI$1:$BI$5</v>
      </c>
      <c r="CM53" s="104"/>
      <c r="CN53" s="104"/>
      <c r="CO53" s="107" t="str">
        <f>IFERROR(TIME(0,A53,B53),"")</f>
        <v/>
      </c>
      <c r="CP53" s="108">
        <f>IFERROR(TIME(0,C53,D53),"")</f>
        <v>0</v>
      </c>
      <c r="CQ53" s="108" t="str">
        <f t="shared" ref="CQ53" si="1750">IF(CP53&gt;$D$12,"X","")</f>
        <v/>
      </c>
      <c r="CR53" s="102" t="str">
        <f>IF(AND(F53="Hybrid - Thrust + 2 connections",OR(LEFT(J53,1)="T",LEFT(K53,1)="T",LEFT(L53,1)="T",LEFT(PB53,1)="T",LEFT(M53,1)="T",LEFT(N53,1)="T",LEFT(O53,1)="T",LEFT(P53,1)="T",LEFT(Q53,1)="T",LEFT(R53,1)="T",LEFT(S53,1)="T",LEFT(T53,1)="T",LEFT(U53,1)="T",LEFT(V53,1)="T",LEFT(W53,1)="T",LEFT(X53,1)="T",LEFT(AK53,1)="T",LEFT(AL53,1)="T",LEFT(AM53,1)="T")),IF(OR(LEN(J53)=2,LEN(K53)=2,LEN(L53)=2,LEN(M53)=2,LEN(N53)=2,LEN(O53)=2,LEN(P53)=2,LEN(Q53)=2,LEN(R53)=2,LEN(S53)=2,LEN(T53)=2,LEN(U53)=2,LEN(V53)=2,LEN(W53)=2,LEN(X53)=2,LEN(Y53)=2,LEN(Z53)=2,LEN(AK53)=2,LEN(AL53)=2,LEN(AM53)=2),"X",""),"")</f>
        <v/>
      </c>
      <c r="CS53" s="105" t="str">
        <f>IF(F53="Hybrid",SECOND(CP53),"")</f>
        <v/>
      </c>
      <c r="CT53" s="102" t="str">
        <f>IF(LEFT(F53,4)="Acro",IF(AND(N53&lt;&gt;"",M53=RIGHT(N53,2)),"X","OK"),"")</f>
        <v/>
      </c>
      <c r="CU53" s="104" t="str">
        <f t="shared" ref="CU53:DB53" si="1751">IFERROR(IF(AND(LEFT($F53,4)="Acro",INDEX(Requ_App,MATCH(BI53,Requ_Code,0))="No"),"X",""),"")</f>
        <v/>
      </c>
      <c r="CV53" s="104" t="str">
        <f t="shared" si="1751"/>
        <v/>
      </c>
      <c r="CW53" s="104" t="str">
        <f t="shared" si="1751"/>
        <v/>
      </c>
      <c r="CX53" s="104" t="str">
        <f t="shared" si="1751"/>
        <v/>
      </c>
      <c r="CY53" s="104" t="str">
        <f t="shared" si="1751"/>
        <v/>
      </c>
      <c r="CZ53" s="104" t="str">
        <f t="shared" si="1751"/>
        <v/>
      </c>
      <c r="DA53" s="104" t="str">
        <f t="shared" si="1751"/>
        <v/>
      </c>
      <c r="DB53" s="104" t="str">
        <f t="shared" si="1751"/>
        <v/>
      </c>
      <c r="DC53" s="104" t="str">
        <f>IFERROR(IF(AND(LEFT($F53,4)="Acro",INDEX(Requ_App,MATCH(BP53,Requ_Code,0))="No"),"X",""),"")</f>
        <v/>
      </c>
      <c r="DD53" s="102" t="str">
        <f t="shared" si="1643"/>
        <v/>
      </c>
      <c r="DE53" s="102" t="str">
        <f t="shared" si="1644"/>
        <v/>
      </c>
      <c r="DF53" s="102" t="str">
        <f t="shared" si="1645"/>
        <v/>
      </c>
      <c r="DG53" s="102" t="str">
        <f t="shared" si="1646"/>
        <v/>
      </c>
      <c r="DK53" s="102">
        <f t="shared" ref="DK53" si="1752">IF(AND(E54="A",OR(Q53="Grip",Q53="Conn",Q53="Catch")),"A1",IF(AND(E54="A",OR(Q53="Hula",Q53="RetSq",Q53="RetPa")),"A2",IF(AND(E54="B",OR(Q53="Twirl",Q53="RotF")),"B1",IF(AND(E54="B",OR(Q53="Moon",Q53="Mov",Q53="Hold")),"B2",IF(AND(E54="P",OR(Q53="Porp",Q53="Splch")),"P1",IF(AND(E54="P",OR(Q53="Diva",Q53="Stand")),"P2",IF(AND(E54="P",OR(Q53="Spider",Q53="Climb")),"P3",IF(AND(E54="P",OR(Q53="Fall",Q53="FTurn")),"P4",IF(AND(E54="C",OR(Q53="Jump",Q53="Jump&gt;",Q53="On1Foot",Q53="1F&gt;1F")),"C1",IF(AND(E54="C",OR(Q53="Run",Q53="BRun")),"C2",1))))))))))</f>
        <v>1</v>
      </c>
      <c r="DL53" s="102">
        <f t="shared" ref="DL53" si="1753">IF(AND(E54="A",OR(R53="Grip",R53="Conn",R53="Catch")),"A1",IF(AND(E54="A",OR(R53="Hula",R53="RetSq",R53="RetPa")),"A2",IF(AND(E54="B",OR(R53="Twirl",R53="RotF")),"B1",IF(AND(E54="B",OR(R53="Moon",R53="Mov",R53="Hold")),"B2",IF(AND(E54="P",OR(R53="Porp",R53="Spich")),"P1",IF(AND(E54="P",OR(R53="Diva",R53="Stand")),"P2",IF(AND(E54="P",OR(R53="Spider",R53="Climb")),"P3",IF(AND(E54="P",OR(R53="Fall",R53="FTurn")),"P4",IF(AND(E54="C",OR(R53="Jump",R53="Jump&gt;",R53="On1Foot",R53="1F&gt;1F")),"C1",IF(AND(E54="C",OR(R53="Run",R53="BRun")),"C2",2))))))))))</f>
        <v>2</v>
      </c>
      <c r="DM53" s="102" t="str">
        <f>IF(AND(LEFT(F53,4)="Acro",Q53&lt;&gt;"",OR(Q53=R53,DK53=DL53)),IF(R53="C-Roll","","X"),IF(OR(AND(E54="A",Q53="Catch",R53&lt;&gt;"Dbl"),AND(E54="A",R53="Catch",Q53&lt;&gt;"Dbl")),"X",""))</f>
        <v/>
      </c>
      <c r="DN53" s="102" t="str">
        <f>IF(E54="PA",J53,"")</f>
        <v/>
      </c>
      <c r="DO53" s="102">
        <v>35</v>
      </c>
      <c r="DQ53" s="102" t="str">
        <f>IF(AND($E54="A",COUNTIF($DZ$19:$EA$68,DZ53)&gt;1),DZ53,"")</f>
        <v/>
      </c>
      <c r="DR53" s="102" t="str">
        <f>IF(AND($E54="A",COUNTIF($DZ$19:$EA$68,EA53)&gt;1),EA53,"")</f>
        <v/>
      </c>
      <c r="DS53" s="102" t="str">
        <f ca="1">IF(AND($E54="B",COUNTIF($J$19:$J$68,J53)&gt;1),J53,"")</f>
        <v/>
      </c>
      <c r="DT53" s="102" t="str">
        <f ca="1">IF(AND($E54="B",COUNTIF($K$19:$K$68,K53)&gt;1),K53,"")</f>
        <v/>
      </c>
      <c r="DU53" s="102" t="str">
        <f ca="1">IF(AND($E54="C",COUNTIF($J$19:$J$68,J53)&gt;1),J53,"")</f>
        <v/>
      </c>
      <c r="DV53" s="102" t="str">
        <f ca="1">IF(AND($E54="P",COUNTIF($J$19:$J$68,J53)&gt;1),J53,"")</f>
        <v/>
      </c>
      <c r="DW53" s="102" t="str">
        <f ca="1">IF(AND($E54="P",COUNTIF($K$19:$K$68,K53)&gt;1),K53,"")</f>
        <v/>
      </c>
      <c r="DX53" s="102" t="str">
        <f>IF(AND($E54="P",COUNTIF($DZ$19:$EA$68,DZ53)&gt;1),DZ53,"")</f>
        <v/>
      </c>
      <c r="DY53" s="102" t="str">
        <f>IF(AND($E54="P",COUNTIF($DZ$19:$EA$68,EA53)&gt;1),EA53,"")</f>
        <v/>
      </c>
      <c r="DZ53" s="102" t="str">
        <f>IFERROR(IF(OR(E54="A",E54="P"),M53,""),"")</f>
        <v/>
      </c>
      <c r="EA53" s="102" t="str">
        <f>IFERROR(IF(OR(E54="A",E54="P"),RIGHT(N53,2),""),"")</f>
        <v/>
      </c>
      <c r="EB53" s="102" t="str">
        <f t="shared" ref="EB53" si="1754">IF(Q53="","",IF(AND($E54="P",COUNTIF($Q$19:$R$68,Q53)&gt;1),Q53,""))</f>
        <v/>
      </c>
      <c r="EC53" s="102" t="str">
        <f t="shared" ref="EC53" si="1755">IF(R53="","",IF(AND($E54="P",COUNTIF($Q$19:$R$68,R53)&gt;1),R53,""))</f>
        <v/>
      </c>
      <c r="ED53" s="102" t="str">
        <f t="shared" si="14"/>
        <v/>
      </c>
      <c r="EE53" s="102" t="str">
        <f t="shared" si="15"/>
        <v/>
      </c>
      <c r="EF53" s="102" t="str">
        <f>IF(AND($F$8="Open Team Acrobatic",LEFT(F53,4)="Acro"),E54,"")</f>
        <v/>
      </c>
      <c r="EG53" s="102" t="str">
        <f t="shared" ref="EG53" si="1756">IFERROR(IF(HLOOKUP(EF53,$DQ$12:$DT$13,2,FALSE)&gt;2,"X",""),"")</f>
        <v/>
      </c>
      <c r="EI53" s="102" t="str">
        <f t="shared" ref="EI53" si="1757">IF(OR(AND(F53="Hybrid - Thrust + 2 connections",EI54="T"),AND(E54="H",EI54&lt;&gt;"",EI107="X")),"X","")</f>
        <v/>
      </c>
      <c r="EK53" s="102">
        <f t="shared" ref="EK53" si="1758">IFERROR(IF(AND($E54="H",J53&lt;&gt;"",J53&lt;&gt;"ChoHY"),IF(OR(LEFT(J53,1)="T",LEFT(J53,1)="S",LEFT(J53,1)="A",LEFT(J53,1)="F",LEFT(J53,1)="C"),LEFT(J53,1),"R"),EK$18),"")</f>
        <v>1</v>
      </c>
      <c r="EL53" s="102">
        <f t="shared" ref="EL53:EZ53" si="1759">IFERROR(IF(AND($E54="H",K53&lt;&gt;""),IF(OR(LEFT(K53,1)="T",LEFT(K53,1)="S",LEFT(K53,1)="A",LEFT(K53,1)="F",LEFT(K53,1)="C"),LEFT(K53,1),"R"),EL$18),"")</f>
        <v>2</v>
      </c>
      <c r="EM53" s="102">
        <f t="shared" si="1759"/>
        <v>3</v>
      </c>
      <c r="EN53" s="102">
        <f t="shared" si="1759"/>
        <v>4</v>
      </c>
      <c r="EO53" s="102">
        <f t="shared" si="1759"/>
        <v>5</v>
      </c>
      <c r="EP53" s="102">
        <f t="shared" si="1759"/>
        <v>6</v>
      </c>
      <c r="EQ53" s="102">
        <f t="shared" si="1759"/>
        <v>7</v>
      </c>
      <c r="ER53" s="102">
        <f t="shared" si="1759"/>
        <v>8</v>
      </c>
      <c r="ES53" s="102">
        <f t="shared" si="1759"/>
        <v>9</v>
      </c>
      <c r="ET53" s="102">
        <f t="shared" si="1759"/>
        <v>10</v>
      </c>
      <c r="EU53" s="102">
        <f t="shared" si="1759"/>
        <v>11</v>
      </c>
      <c r="EV53" s="102">
        <f t="shared" si="1759"/>
        <v>12</v>
      </c>
      <c r="EW53" s="102">
        <f t="shared" si="1759"/>
        <v>13</v>
      </c>
      <c r="EX53" s="102">
        <f t="shared" si="1759"/>
        <v>14</v>
      </c>
      <c r="EY53" s="102">
        <f t="shared" si="1759"/>
        <v>15</v>
      </c>
      <c r="EZ53" s="102">
        <f t="shared" si="1759"/>
        <v>16</v>
      </c>
      <c r="FA53" s="102">
        <f t="shared" ref="FA53" si="1760">IFERROR(IF(AND($E54="H",Z53&lt;&gt;""),IF(OR(LEFT(Z53,1)="T",LEFT(Z53,1)="S",LEFT(Z53,1)="A",LEFT(Z53,1)="F",LEFT(Z53,1)="C"),LEFT(Z53,1),"R"),FA$18),"")</f>
        <v>17</v>
      </c>
      <c r="FB53" s="102">
        <f t="shared" ref="FB53" si="1761">IFERROR(IF(AND($E54="H",AA53&lt;&gt;""),IF(OR(LEFT(AA53,1)="T",LEFT(AA53,1)="S",LEFT(AA53,1)="A",LEFT(AA53,1)="F",LEFT(AA53,1)="C"),LEFT(AA53,1),"R"),FB$18),"")</f>
        <v>18</v>
      </c>
      <c r="FC53" s="102">
        <f t="shared" ref="FC53" si="1762">IFERROR(IF(AND($E54="H",AB53&lt;&gt;""),IF(OR(LEFT(AB53,1)="T",LEFT(AB53,1)="S",LEFT(AB53,1)="A",LEFT(AB53,1)="F",LEFT(AB53,1)="C"),LEFT(AB53,1),"R"),FC$18),"")</f>
        <v>19</v>
      </c>
      <c r="FD53" s="102">
        <f t="shared" ref="FD53" si="1763">IFERROR(IF(AND($E54="H",AC53&lt;&gt;""),IF(OR(LEFT(AC53,1)="T",LEFT(AC53,1)="S",LEFT(AC53,1)="A",LEFT(AC53,1)="F",LEFT(AC53,1)="C"),LEFT(AC53,1),"R"),FD$18),"")</f>
        <v>20</v>
      </c>
      <c r="FE53" s="102">
        <f t="shared" ref="FE53" si="1764">IFERROR(IF(AND($E54="H",AD53&lt;&gt;""),IF(OR(LEFT(AD53,1)="T",LEFT(AD53,1)="S",LEFT(AD53,1)="A",LEFT(AD53,1)="F",LEFT(AD53,1)="C"),LEFT(AD53,1),"R"),FE$18),"")</f>
        <v>21</v>
      </c>
      <c r="FF53" s="102">
        <f t="shared" ref="FF53" si="1765">IFERROR(IF(AND($E54="H",AE53&lt;&gt;""),IF(OR(LEFT(AE53,1)="T",LEFT(AE53,1)="S",LEFT(AE53,1)="A",LEFT(AE53,1)="F",LEFT(AE53,1)="C"),LEFT(AE53,1),"R"),FF$18),"")</f>
        <v>22</v>
      </c>
      <c r="FG53" s="102">
        <f t="shared" ref="FG53" si="1766">IFERROR(IF(AND($E54="H",AF53&lt;&gt;""),IF(OR(LEFT(AF53,1)="T",LEFT(AF53,1)="S",LEFT(AF53,1)="A",LEFT(AF53,1)="F",LEFT(AF53,1)="C"),LEFT(AF53,1),"R"),FG$18),"")</f>
        <v>23</v>
      </c>
      <c r="FH53" s="102">
        <f t="shared" ref="FH53" si="1767">IFERROR(IF(AND($E54="H",AG53&lt;&gt;""),IF(OR(LEFT(AG53,1)="T",LEFT(AG53,1)="S",LEFT(AG53,1)="A",LEFT(AG53,1)="F",LEFT(AG53,1)="C"),LEFT(AG53,1),"R"),FH$18),"")</f>
        <v>24</v>
      </c>
      <c r="FI53" s="102">
        <f t="shared" ref="FI53" si="1768">IFERROR(IF(AND($E54="H",AH53&lt;&gt;""),IF(OR(LEFT(AH53,1)="T",LEFT(AH53,1)="S",LEFT(AH53,1)="A",LEFT(AH53,1)="F",LEFT(AH53,1)="C"),LEFT(AH53,1),"R"),FI$18),"")</f>
        <v>25</v>
      </c>
      <c r="FJ53" s="102">
        <f t="shared" ref="FJ53" si="1769">IFERROR(IF(AND($E54="H",AI53&lt;&gt;""),IF(OR(LEFT(AI53,1)="T",LEFT(AI53,1)="S",LEFT(AI53,1)="A",LEFT(AI53,1)="F",LEFT(AI53,1)="C"),LEFT(AI53,1),"R"),FJ$18),"")</f>
        <v>26</v>
      </c>
      <c r="FK53" s="102">
        <f t="shared" ref="FK53" si="1770">IFERROR(IF(AND($E54="H",AJ53&lt;&gt;""),IF(OR(LEFT(AJ53,1)="T",LEFT(AJ53,1)="S",LEFT(AJ53,1)="A",LEFT(AJ53,1)="F",LEFT(AJ53,1)="C"),LEFT(AJ53,1),"R"),FK$18),"")</f>
        <v>27</v>
      </c>
      <c r="FL53" s="102">
        <f t="shared" ref="FL53" si="1771">IFERROR(IF(AND($E54="H",AK53&lt;&gt;""),IF(OR(LEFT(AK53,1)="T",LEFT(AK53,1)="S",LEFT(AK53,1)="A",LEFT(AK53,1)="F",LEFT(AK53,1)="C"),LEFT(AK53,1),"R"),FL$18),"")</f>
        <v>28</v>
      </c>
      <c r="FM53" s="102">
        <f t="shared" ref="FM53" si="1772">IFERROR(IF(AND($E54="H",AL53&lt;&gt;""),IF(OR(LEFT(AL53,1)="T",LEFT(AL53,1)="S",LEFT(AL53,1)="A",LEFT(AL53,1)="F",LEFT(AL53,1)="C"),LEFT(AL53,1),"R"),FM$18),"")</f>
        <v>29</v>
      </c>
      <c r="FN53" s="102">
        <f t="shared" ref="FN53" si="1773">IFERROR(IF(AND($E54="H",AM53&lt;&gt;""),IF(OR(LEFT(AM53,1)="T",LEFT(AM53,1)="S",LEFT(AM53,1)="A",LEFT(AM53,1)="F",LEFT(AM53,1)="C"),LEFT(AM53,1),"R"),FN$18),"")</f>
        <v>30</v>
      </c>
      <c r="FO53" s="102"/>
      <c r="FP53" s="102"/>
      <c r="FQ53" s="102"/>
      <c r="FR53" s="282"/>
      <c r="FS53" s="282"/>
      <c r="FT53" s="282"/>
      <c r="FU53" s="282"/>
      <c r="FV53" s="282"/>
      <c r="FW53" s="282"/>
      <c r="FX53" s="282"/>
      <c r="FY53" s="282"/>
      <c r="FZ53" s="282"/>
      <c r="GA53" s="282"/>
      <c r="GB53" s="282"/>
      <c r="GC53" s="282"/>
      <c r="GD53" s="282"/>
      <c r="GE53" s="282"/>
      <c r="GF53" s="282"/>
      <c r="GG53" s="282"/>
      <c r="GH53" s="282"/>
      <c r="GI53" s="282"/>
      <c r="GJ53" s="282"/>
      <c r="GK53" s="282"/>
      <c r="GL53" s="282"/>
      <c r="GM53" s="282"/>
      <c r="GN53" s="282"/>
      <c r="GO53" s="282"/>
      <c r="GP53" s="282"/>
      <c r="GQ53" s="282"/>
      <c r="GR53" s="282"/>
      <c r="GS53" s="282"/>
      <c r="GT53" s="282"/>
      <c r="GU53" s="282"/>
      <c r="GV53" s="102"/>
      <c r="GW53" s="102">
        <f t="shared" ref="GW53" si="1774">COUNTIF($EK53:$FN53,GW$18)</f>
        <v>0</v>
      </c>
      <c r="GX53" s="102">
        <f t="shared" si="825"/>
        <v>0</v>
      </c>
      <c r="GY53" s="102">
        <f t="shared" si="825"/>
        <v>0</v>
      </c>
      <c r="GZ53" s="102">
        <f t="shared" si="825"/>
        <v>0</v>
      </c>
      <c r="HA53" s="102">
        <f t="shared" si="825"/>
        <v>0</v>
      </c>
      <c r="HB53" s="102">
        <f t="shared" si="825"/>
        <v>0</v>
      </c>
      <c r="HC53" s="102"/>
      <c r="HD53" s="102" t="str">
        <f t="shared" ref="HD53" si="1775">IF(AND($F53="Hybrid - Thrust + 2 connections",HD54=0,LEFT($J53,1)="C",LEFT($K53,1)="C",LEFT($L53,1)="C"),"X","")</f>
        <v/>
      </c>
      <c r="HE53" s="102"/>
      <c r="HF53" s="105"/>
      <c r="HG53" s="114"/>
      <c r="HH53" s="114"/>
      <c r="HI53" s="105" t="str">
        <f t="shared" ref="HI53" si="1776">IF(E54=3,IF(_xlfn.NUMBERVALUE(LEFT(J53,1))&gt;0,_xlfn.NUMBERVALUE(LEFT(J53,1)),""),"")</f>
        <v/>
      </c>
      <c r="HK53" s="105" t="str">
        <f t="shared" ref="HK53" si="1777">IF(OR(E54="B",E54="P"),E54,"")</f>
        <v/>
      </c>
      <c r="HL53" s="105" t="str">
        <f>IF(AND(J53&lt;&gt;"",HK53&lt;&gt;""),IF(HK53="B",MATCH(J53,AcroDD!$U$3:$AE$3,0),MATCH(J53,AcroDD!$U$30:$AC$30,0)),"")</f>
        <v/>
      </c>
      <c r="HM53" s="105" t="str">
        <f t="shared" ref="HM53" si="1778">IF(AND(K53&lt;&gt;"",HK53&lt;&gt;""),K53,"")</f>
        <v/>
      </c>
      <c r="HN53" s="105" t="str">
        <f ca="1">IF(AND(OR(HK53="B",HK53="P"),HL53&lt;&gt;"",HM53&lt;&gt;""),IF(IFERROR(IF(HK53="B",MATCH(HM53,OFFSET(AcroDD!$T$4,0,HL53,20),0),MATCH(HM53,OFFSET(AcroDD!$T$31,0,HL53,20),0)),"")&lt;&gt;"","OK","X"),"")</f>
        <v/>
      </c>
    </row>
    <row r="54" spans="1:222" x14ac:dyDescent="0.25">
      <c r="A54" s="39"/>
      <c r="B54" s="40"/>
      <c r="C54" s="40"/>
      <c r="D54" s="40"/>
      <c r="E54" s="20" t="str">
        <f t="shared" ref="E54" si="1779">IF(F53="Acrobatic - Pair","PA",IF(F53="Acrobatic Airborn","A",IF(F53="Acrobatic Balance","B",IF(F53="Acrobatic Combined","C",IF(F53="Acrobatic Platform","P",IF(F53="Technical Required Element",3,IF(LEFT(F53,4)="Hybr","H","")))))))</f>
        <v/>
      </c>
      <c r="F54" s="20" t="str">
        <f>IF(AND(F53="Hybrid - Thrust + 2 connections",CR53="X"),"Hybrid - Thrust",IF(OR(E54="A",E54="B",E54="C",E54="P"),"Acrobatic",""))</f>
        <v/>
      </c>
      <c r="G54" s="42"/>
      <c r="H54" s="207" t="str">
        <f t="shared" ref="H54" si="1780">IF(E54="PA",IF(OR(LEFT(J53,1)="L",LEFT(J53,1)="S"),"A-Pair-Lift",IF(OR(LEFT(J53,1)="W",LEFT(J53,1)="T"),"A-Pair-Throw",IF(LEFT(J53,1)="J","A-Pair-Jump","A-Pair"))),IF(OR(E54="A",E54="B",E54="C",E54="P"),CONCATENATE("Acro-",E54),""))</f>
        <v/>
      </c>
      <c r="I54" s="201" t="e">
        <f t="shared" ref="I54" si="1781">IF(OR(F53="Hybrid - min 4 swimmers (no DD)",LEFT(F53,5)="Trans"),0,INDEX($BY$3:$BY$9,MATCH(E54,$BX$3:$BX$9,0)))</f>
        <v>#N/A</v>
      </c>
      <c r="J54" s="196">
        <f ca="1">IFERROR(IF($H53="No DD",IF(J53="ChoHY",1,0),IF(OR(ISBLANK(J53),J53="N/A"),0,INDEX(INDIRECT(BI54),MATCH(J53,INDIRECT(BI53),0)))),0)</f>
        <v>0</v>
      </c>
      <c r="K54" s="196">
        <f t="shared" ref="K54:Y54" ca="1" si="1782">IFERROR(IF($H53="No DD",0,IF(OR(ISBLANK(K53),K53="N/A"),0,INDEX(INDIRECT(BJ54),MATCH(K53,INDIRECT(BJ53),0)))),0)</f>
        <v>0</v>
      </c>
      <c r="L54" s="196">
        <f t="shared" ca="1" si="1782"/>
        <v>0</v>
      </c>
      <c r="M54" s="196">
        <f t="shared" ca="1" si="1782"/>
        <v>0</v>
      </c>
      <c r="N54" s="196">
        <f t="shared" ca="1" si="1782"/>
        <v>0</v>
      </c>
      <c r="O54" s="196">
        <f t="shared" ca="1" si="1782"/>
        <v>0</v>
      </c>
      <c r="P54" s="196">
        <f t="shared" ca="1" si="1782"/>
        <v>0</v>
      </c>
      <c r="Q54" s="196">
        <f t="shared" ca="1" si="1782"/>
        <v>0</v>
      </c>
      <c r="R54" s="196">
        <f t="shared" ca="1" si="1782"/>
        <v>0</v>
      </c>
      <c r="S54" s="196">
        <f t="shared" ca="1" si="1782"/>
        <v>0</v>
      </c>
      <c r="T54" s="196">
        <f t="shared" ca="1" si="1782"/>
        <v>0</v>
      </c>
      <c r="U54" s="196">
        <f t="shared" ca="1" si="1782"/>
        <v>0</v>
      </c>
      <c r="V54" s="196">
        <f t="shared" ca="1" si="1782"/>
        <v>0</v>
      </c>
      <c r="W54" s="196">
        <f t="shared" ca="1" si="1782"/>
        <v>0</v>
      </c>
      <c r="X54" s="196">
        <f t="shared" ca="1" si="1782"/>
        <v>0</v>
      </c>
      <c r="Y54" s="196">
        <f t="shared" ca="1" si="1782"/>
        <v>0</v>
      </c>
      <c r="Z54" s="196">
        <f t="shared" ref="Z54" ca="1" si="1783">IFERROR(IF($H53="No DD",0,IF(OR(ISBLANK(Z53),Z53="N/A"),0,INDEX(INDIRECT(BY54),MATCH(Z53,INDIRECT(BY53),0)))),0)</f>
        <v>0</v>
      </c>
      <c r="AA54" s="196">
        <f t="shared" ref="AA54" ca="1" si="1784">IFERROR(IF($H53="No DD",0,IF(OR(ISBLANK(AA53),AA53="N/A"),0,INDEX(INDIRECT(BZ54),MATCH(AA53,INDIRECT(BZ53),0)))),0)</f>
        <v>0</v>
      </c>
      <c r="AB54" s="196">
        <f t="shared" ref="AB54" ca="1" si="1785">IFERROR(IF($H53="No DD",0,IF(OR(ISBLANK(AB53),AB53="N/A"),0,INDEX(INDIRECT(CA54),MATCH(AB53,INDIRECT(CA53),0)))),0)</f>
        <v>0</v>
      </c>
      <c r="AC54" s="196">
        <f t="shared" ref="AC54" ca="1" si="1786">IFERROR(IF($H53="No DD",0,IF(OR(ISBLANK(AC53),AC53="N/A"),0,INDEX(INDIRECT(CB54),MATCH(AC53,INDIRECT(CB53),0)))),0)</f>
        <v>0</v>
      </c>
      <c r="AD54" s="196">
        <f t="shared" ref="AD54" ca="1" si="1787">IFERROR(IF($H53="No DD",0,IF(OR(ISBLANK(AD53),AD53="N/A"),0,INDEX(INDIRECT(CC54),MATCH(AD53,INDIRECT(CC53),0)))),0)</f>
        <v>0</v>
      </c>
      <c r="AE54" s="196">
        <f t="shared" ref="AE54" ca="1" si="1788">IFERROR(IF($H53="No DD",0,IF(OR(ISBLANK(AE53),AE53="N/A"),0,INDEX(INDIRECT(CD54),MATCH(AE53,INDIRECT(CD53),0)))),0)</f>
        <v>0</v>
      </c>
      <c r="AF54" s="196">
        <f t="shared" ref="AF54" ca="1" si="1789">IFERROR(IF($H53="No DD",0,IF(OR(ISBLANK(AF53),AF53="N/A"),0,INDEX(INDIRECT(CE54),MATCH(AF53,INDIRECT(CE53),0)))),0)</f>
        <v>0</v>
      </c>
      <c r="AG54" s="196">
        <f t="shared" ref="AG54" ca="1" si="1790">IFERROR(IF($H53="No DD",0,IF(OR(ISBLANK(AG53),AG53="N/A"),0,INDEX(INDIRECT(CF54),MATCH(AG53,INDIRECT(CF53),0)))),0)</f>
        <v>0</v>
      </c>
      <c r="AH54" s="196">
        <f t="shared" ref="AH54" ca="1" si="1791">IFERROR(IF($H53="No DD",0,IF(OR(ISBLANK(AH53),AH53="N/A"),0,INDEX(INDIRECT(CG54),MATCH(AH53,INDIRECT(CG53),0)))),0)</f>
        <v>0</v>
      </c>
      <c r="AI54" s="196">
        <f t="shared" ref="AI54" ca="1" si="1792">IFERROR(IF($H53="No DD",0,IF(OR(ISBLANK(AI53),AI53="N/A"),0,INDEX(INDIRECT(CH54),MATCH(AI53,INDIRECT(CH53),0)))),0)</f>
        <v>0</v>
      </c>
      <c r="AJ54" s="196">
        <f t="shared" ref="AJ54" ca="1" si="1793">IFERROR(IF($H53="No DD",0,IF(OR(ISBLANK(AJ53),AJ53="N/A"),0,INDEX(INDIRECT(CI54),MATCH(AJ53,INDIRECT(CI53),0)))),0)</f>
        <v>0</v>
      </c>
      <c r="AK54" s="196">
        <f t="shared" ref="AK54" ca="1" si="1794">IFERROR(IF($H53="No DD",0,IF(OR(ISBLANK(AK53),AK53="N/A"),0,INDEX(INDIRECT(CJ54),MATCH(AK53,INDIRECT(CJ53),0)))),0)</f>
        <v>0</v>
      </c>
      <c r="AL54" s="196">
        <f t="shared" ref="AL54" ca="1" si="1795">IFERROR(IF($H53="No DD",0,IF(OR(ISBLANK(AL53),AL53="N/A"),0,INDEX(INDIRECT(CK54),MATCH(AL53,INDIRECT(CK53),0)))),0)</f>
        <v>0</v>
      </c>
      <c r="AM54" s="196">
        <f t="shared" ref="AM54" ca="1" si="1796">IFERROR(IF($H53="No DD",0,IF(OR(ISBLANK(AM53),AM53="N/A"),0,INDEX(INDIRECT(CL54),MATCH(AM53,INDIRECT(CL53),0)))),0)</f>
        <v>0</v>
      </c>
      <c r="AN54" s="197" t="str">
        <f>IFERROR(IF(E54="H",INDEX(HybridBonus_Value,MATCH(AN53,HybridBonus_Code,0)),""),"")</f>
        <v/>
      </c>
      <c r="AO54" s="195" t="str">
        <f t="shared" ref="AO54" si="1797">IFERROR(SUM(I54:AN54),"")</f>
        <v/>
      </c>
      <c r="AP54" s="75"/>
      <c r="AQ54" s="75"/>
      <c r="AR54" s="115"/>
      <c r="AS54" s="115"/>
      <c r="AT54" s="115"/>
      <c r="AU54" s="115"/>
      <c r="AV54" s="115"/>
      <c r="BA54" s="104"/>
      <c r="BB54" s="115"/>
      <c r="BC54" s="115"/>
      <c r="BD54" s="115"/>
      <c r="BE54" s="115"/>
      <c r="BF54" s="115"/>
      <c r="BG54" s="104"/>
      <c r="BH54" s="115"/>
      <c r="BI54" s="105" t="str">
        <f t="shared" ref="BI54" si="1798">IF($E54="H",IF($F53="Hybrid - Thrust + 2 connections","Hybrid_Mix_Req_Value","HybridDD_Value"),IF($E54=3,"TreDD_Value",IF($E54="PA","AcroPair_Value",IF(LEFT($F53,4)="Acro",CONCATENATE(BI$16,$E54,"_Value"),""))))</f>
        <v/>
      </c>
      <c r="BJ54" s="105" t="str">
        <f t="shared" ref="BJ54" si="1799">IF($E54="H",IF($F53="Hybrid - Thrust + 2 connections","Hybrid_Mix_Req_Value","HybridDD_Value"),IF($E54=3,"TreDD_Value",IF($E54="PA","AcroPair_Value",IF(LEFT($F53,4)="Acro",CONCATENATE(BJ$16,$E54,"_Value"),""))))</f>
        <v/>
      </c>
      <c r="BK54" s="105" t="str">
        <f t="shared" ref="BK54" si="1800">IF($E54="H",IF($F53="Hybrid - Thrust + 2 connections","Hybrid_Mix_Req_Value","HybridDD_Value"),IF($E54=3,"TreDD_Value",IF($E54="PA","AcroPair_Value",IF(LEFT($F53,4)="Acro",CONCATENATE(BK$16,$E54,"_Value"),""))))</f>
        <v/>
      </c>
      <c r="BL54" s="105" t="str">
        <f t="shared" ref="BL54" si="1801">IF($E54="H",IF($F53="Hybrid - Thrust + 2 connections","Hybrid_Mix_Req_Value","HybridDD_Value"),IF($E54=3,"TreDD_Value",IF($E54="PA","AcroPair_Value",IF(LEFT($F53,4)="Acro",CONCATENATE(BL$16,$E54,"_Value"),""))))</f>
        <v/>
      </c>
      <c r="BM54" s="105" t="str">
        <f t="shared" ref="BM54" si="1802">IF($E54="H",IF($F53="Hybrid - Thrust + 2 connections","Hybrid_Mix_Req_Value","HybridDD_Value"),IF($E54=3,"TreDD_Value",IF($E54="PA","AcroPair_Value",IF(LEFT($F53,4)="Acro",CONCATENATE(BM$16,$E54,"_Value"),""))))</f>
        <v/>
      </c>
      <c r="BN54" s="105" t="str">
        <f t="shared" ref="BN54" si="1803">IF($E54="H",IF($F53="Hybrid - Thrust + 2 connections","Hybrid_Mix_Req_Value","HybridDD_Value"),IF($E54=3,"TreDD_Value",IF($E54="PA","AcroPair_Value",IF(LEFT($F53,4)="Acro",CONCATENATE(BN$16,$E54,"_Value"),""))))</f>
        <v/>
      </c>
      <c r="BO54" s="105" t="str">
        <f t="shared" ref="BO54" si="1804">IF($E54="H",IF($F53="Hybrid - Thrust + 2 connections","Hybrid_Mix_Req_Value","HybridDD_Value"),IF($E54=3,"TreDD_Value",IF($E54="PA","AcroPair_Value",IF(LEFT($F53,4)="Acro",CONCATENATE(BO$16,$E54,"_Value"),""))))</f>
        <v/>
      </c>
      <c r="BP54" s="105" t="str">
        <f t="shared" ref="BP54" si="1805">IF($E54="H",IF($F53="Hybrid - Thrust + 2 connections","Hybrid_Mix_Req_Value","HybridDD_Value"),IF($E54=3,"TreDD_Value",IF($E54="PA","AcroPair_Value",IF(LEFT($F53,4)="Acro",CONCATENATE(BP$16,$E54,"_Value"),""))))</f>
        <v/>
      </c>
      <c r="BQ54" s="105" t="str">
        <f t="shared" ref="BQ54" si="1806">IF($E54="H",IF($F53="Hybrid - Thrust + 2 connections","Hybrid_Mix_Req_Value","HybridDD_Value"),IF($E54=3,"TreDD_Value",IF($E54="PA","AcroPair_Value",IF(LEFT($F53,4)="Acro",CONCATENATE(BQ$16,$E54,"_Value"),""))))</f>
        <v/>
      </c>
      <c r="BR54" s="104" t="str">
        <f t="shared" ref="BR54" si="1807">IF($E54="H",IF($F53="Hybrid - Thrust + 2 connections","Data!$BI$1:$BI$5","HybridDD_Value"),"Data!$BI$1:$BI$5")</f>
        <v>Data!$BI$1:$BI$5</v>
      </c>
      <c r="BS54" s="104" t="str">
        <f t="shared" ref="BS54" si="1808">IF($E54="H",IF($F53="Hybrid - Thrust + 2 connections","Data!$BI$1:$BI$5","HybridDD_Value"),"Data!$BI$1:$BI$5")</f>
        <v>Data!$BI$1:$BI$5</v>
      </c>
      <c r="BT54" s="104" t="str">
        <f t="shared" ref="BT54" si="1809">IF($E54="H",IF($F53="Hybrid - Thrust + 2 connections","Data!$BI$1:$BI$5","HybridDD_Value"),"Data!$BI$1:$BI$5")</f>
        <v>Data!$BI$1:$BI$5</v>
      </c>
      <c r="BU54" s="104" t="str">
        <f t="shared" ref="BU54" si="1810">IF($E54="H",IF($F53="Hybrid - Thrust + 2 connections","Data!$BI$1:$BI$5","HybridDD_Value"),"Data!$BI$1:$BI$5")</f>
        <v>Data!$BI$1:$BI$5</v>
      </c>
      <c r="BV54" s="104" t="str">
        <f t="shared" ref="BV54" si="1811">IF($E54="H",IF($F53="Hybrid - Thrust + 2 connections","Data!$BI$1:$BI$5","HybridDD_Value"),"Data!$BI$1:$BI$5")</f>
        <v>Data!$BI$1:$BI$5</v>
      </c>
      <c r="BW54" s="104" t="str">
        <f t="shared" ref="BW54" si="1812">IF($E54="H",IF($F53="Hybrid - Thrust + 2 connections","Data!$BI$1:$BI$5","HybridDD_Value"),"Data!$BI$1:$BI$5")</f>
        <v>Data!$BI$1:$BI$5</v>
      </c>
      <c r="BX54" s="104" t="str">
        <f t="shared" ref="BX54" si="1813">IF($E54="H",IF($F53="Hybrid - Thrust + 2 connections","Data!$BI$1:$BI$5","HybridDD_Value"),"Data!$BI$1:$BI$5")</f>
        <v>Data!$BI$1:$BI$5</v>
      </c>
      <c r="BY54" s="104" t="str">
        <f t="shared" ref="BY54" si="1814">IF($E54="H",IF($F53="Hybrid - Thrust + 2 connections","Data!$BI$1:$BI$5","HybridDD_Value"),"Data!$BI$1:$BI$5")</f>
        <v>Data!$BI$1:$BI$5</v>
      </c>
      <c r="BZ54" s="104" t="str">
        <f t="shared" ref="BZ54" si="1815">IF($E54="H",IF($F53="Hybrid - Thrust + 2 connections","Data!$BI$1:$BI$5","HybridDD_Value"),"Data!$BI$1:$BI$5")</f>
        <v>Data!$BI$1:$BI$5</v>
      </c>
      <c r="CA54" s="104" t="str">
        <f t="shared" ref="CA54" si="1816">IF($E54="H",IF($F53="Hybrid - Thrust + 2 connections","Data!$BI$1:$BI$5","HybridDD_Value"),"Data!$BI$1:$BI$5")</f>
        <v>Data!$BI$1:$BI$5</v>
      </c>
      <c r="CB54" s="104" t="str">
        <f t="shared" ref="CB54" si="1817">IF($E54="H",IF($F53="Hybrid - Thrust + 2 connections","Data!$BI$1:$BI$5","HybridDD_Value"),"Data!$BI$1:$BI$5")</f>
        <v>Data!$BI$1:$BI$5</v>
      </c>
      <c r="CC54" s="104" t="str">
        <f t="shared" ref="CC54" si="1818">IF($E54="H",IF($F53="Hybrid - Thrust + 2 connections","Data!$BI$1:$BI$5","HybridDD_Value"),"Data!$BI$1:$BI$5")</f>
        <v>Data!$BI$1:$BI$5</v>
      </c>
      <c r="CD54" s="104" t="str">
        <f t="shared" ref="CD54" si="1819">IF($E54="H",IF($F53="Hybrid - Thrust + 2 connections","Data!$BI$1:$BI$5","HybridDD_Value"),"Data!$BI$1:$BI$5")</f>
        <v>Data!$BI$1:$BI$5</v>
      </c>
      <c r="CE54" s="104" t="str">
        <f t="shared" ref="CE54" si="1820">IF($E54="H",IF($F53="Hybrid - Thrust + 2 connections","Data!$BI$1:$BI$5","HybridDD_Value"),"Data!$BI$1:$BI$5")</f>
        <v>Data!$BI$1:$BI$5</v>
      </c>
      <c r="CF54" s="104" t="str">
        <f t="shared" ref="CF54" si="1821">IF($E54="H",IF($F53="Hybrid - Thrust + 2 connections","Data!$BI$1:$BI$5","HybridDD_Value"),"Data!$BI$1:$BI$5")</f>
        <v>Data!$BI$1:$BI$5</v>
      </c>
      <c r="CG54" s="104" t="str">
        <f t="shared" ref="CG54" si="1822">IF($E54="H",IF($F53="Hybrid - Thrust + 2 connections","Data!$BI$1:$BI$5","HybridDD_Value"),"Data!$BI$1:$BI$5")</f>
        <v>Data!$BI$1:$BI$5</v>
      </c>
      <c r="CH54" s="104" t="str">
        <f t="shared" ref="CH54" si="1823">IF($E54="H",IF($F53="Hybrid - Thrust + 2 connections","Data!$BI$1:$BI$5","HybridDD_Value"),"Data!$BI$1:$BI$5")</f>
        <v>Data!$BI$1:$BI$5</v>
      </c>
      <c r="CI54" s="104" t="str">
        <f t="shared" ref="CI54" si="1824">IF($E54="H",IF($F53="Hybrid - Thrust + 2 connections","Data!$BI$1:$BI$5","HybridDD_Value"),"Data!$BI$1:$BI$5")</f>
        <v>Data!$BI$1:$BI$5</v>
      </c>
      <c r="CJ54" s="104" t="str">
        <f t="shared" ref="CJ54" si="1825">IF($E54="H",IF($F53="Hybrid - Thrust + 2 connections","Data!$BI$1:$BI$5","HybridDD_Value"),"Data!$BI$1:$BI$5")</f>
        <v>Data!$BI$1:$BI$5</v>
      </c>
      <c r="CK54" s="104" t="str">
        <f t="shared" ref="CK54" si="1826">IF($E54="H",IF($F53="Hybrid - Thrust + 2 connections","Data!$BI$1:$BI$5","HybridDD_Value"),"Data!$BI$1:$BI$5")</f>
        <v>Data!$BI$1:$BI$5</v>
      </c>
      <c r="CL54" s="104" t="str">
        <f t="shared" ref="CL54" si="1827">IF($E54="H",IF($F53="Hybrid - Thrust + 2 connections","Data!$BI$1:$BI$5","HybridDD_Value"),"Data!$BI$1:$BI$5")</f>
        <v>Data!$BI$1:$BI$5</v>
      </c>
      <c r="CM54" s="115"/>
      <c r="CN54" s="115"/>
      <c r="CO54" s="116" t="str">
        <f>IFERROR(IF(AND($BV$6="T",$BV$8="T",LEFT(F53,4)="Acro",AO54&gt;3),"X",IF($N$7="X",IF(AND(E54="C",AO54&gt;$CN$6),"X",IF(AND(E54="A",AO54&gt;$CN$4),"X",IF(AND(E54="B",AO54&gt;$CN$5),"X",IF(AND(E54="P",AO54&gt;$CN$7),"X","")))),"")),"")</f>
        <v/>
      </c>
      <c r="CP54" s="108"/>
      <c r="CQ54" s="105"/>
      <c r="CS54" s="105" t="str">
        <f>IF(F54="Hybrid",SECOND(CP54),"")</f>
        <v/>
      </c>
      <c r="CT54" s="105"/>
      <c r="CU54" s="105"/>
      <c r="CV54" s="105"/>
      <c r="CW54" s="105"/>
      <c r="CX54" s="105"/>
      <c r="CY54" s="105"/>
      <c r="CZ54" s="105"/>
      <c r="DD54" s="102" t="str">
        <f t="shared" si="1643"/>
        <v/>
      </c>
      <c r="DE54" s="102" t="str">
        <f t="shared" si="1644"/>
        <v/>
      </c>
      <c r="DF54" s="102" t="str">
        <f t="shared" si="1645"/>
        <v/>
      </c>
      <c r="DG54" s="102" t="str">
        <f t="shared" si="1646"/>
        <v/>
      </c>
      <c r="DO54" s="102">
        <v>36</v>
      </c>
      <c r="ED54" s="102" t="str">
        <f t="shared" si="14"/>
        <v/>
      </c>
      <c r="EE54" s="102" t="str">
        <f t="shared" si="15"/>
        <v/>
      </c>
      <c r="EI54" s="102" t="str" cm="1">
        <f t="array" ref="EI54">IFERROR(INDEX(EK54:FN54,MATCH(TRUE,INDEX((EK54:FN54&lt;&gt;""),),0)),"")</f>
        <v/>
      </c>
      <c r="EK54" s="102" t="str">
        <f t="shared" si="879"/>
        <v/>
      </c>
      <c r="EL54" s="102" t="str">
        <f t="shared" ref="EL54:EZ54" si="1828">IF(G53="Hybrid - Thrust + 2 connections",IF(COUNTIF($EK53:$FD53,EL53)&gt;1,EL53,""),IF(COUNTIF($EK53:$FD53,EL53)&gt;5,EL53,""))</f>
        <v/>
      </c>
      <c r="EM54" s="102" t="str">
        <f t="shared" si="1828"/>
        <v/>
      </c>
      <c r="EN54" s="102" t="str">
        <f t="shared" si="1828"/>
        <v/>
      </c>
      <c r="EO54" s="102" t="str">
        <f t="shared" si="1828"/>
        <v/>
      </c>
      <c r="EP54" s="102" t="str">
        <f t="shared" si="1828"/>
        <v/>
      </c>
      <c r="EQ54" s="102" t="str">
        <f t="shared" si="1828"/>
        <v/>
      </c>
      <c r="ER54" s="102" t="str">
        <f t="shared" si="1828"/>
        <v/>
      </c>
      <c r="ES54" s="102" t="str">
        <f t="shared" si="1828"/>
        <v/>
      </c>
      <c r="ET54" s="102" t="str">
        <f t="shared" si="1828"/>
        <v/>
      </c>
      <c r="EU54" s="102" t="str">
        <f t="shared" si="1828"/>
        <v/>
      </c>
      <c r="EV54" s="102" t="str">
        <f t="shared" si="1828"/>
        <v/>
      </c>
      <c r="EW54" s="102" t="str">
        <f t="shared" si="1828"/>
        <v/>
      </c>
      <c r="EX54" s="102" t="str">
        <f t="shared" si="1828"/>
        <v/>
      </c>
      <c r="EY54" s="102" t="str">
        <f t="shared" si="1828"/>
        <v/>
      </c>
      <c r="EZ54" s="102" t="str">
        <f t="shared" si="1828"/>
        <v/>
      </c>
      <c r="FA54" s="102" t="str">
        <f t="shared" ref="FA54" si="1829">IF(V53="Hybrid - Thrust + 2 connections",IF(COUNTIF($EK53:$FD53,FA53)&gt;1,FA53,""),IF(COUNTIF($EK53:$FD53,FA53)&gt;5,FA53,""))</f>
        <v/>
      </c>
      <c r="FB54" s="102" t="str">
        <f t="shared" ref="FB54" si="1830">IF(W53="Hybrid - Thrust + 2 connections",IF(COUNTIF($EK53:$FD53,FB53)&gt;1,FB53,""),IF(COUNTIF($EK53:$FD53,FB53)&gt;5,FB53,""))</f>
        <v/>
      </c>
      <c r="FC54" s="102" t="str">
        <f t="shared" ref="FC54" si="1831">IF(X53="Hybrid - Thrust + 2 connections",IF(COUNTIF($EK53:$FD53,FC53)&gt;1,FC53,""),IF(COUNTIF($EK53:$FD53,FC53)&gt;5,FC53,""))</f>
        <v/>
      </c>
      <c r="FD54" s="102" t="str">
        <f t="shared" ref="FD54" si="1832">IF(Y53="Hybrid - Thrust + 2 connections",IF(COUNTIF($EK53:$FD53,FD53)&gt;1,FD53,""),IF(COUNTIF($EK53:$FD53,FD53)&gt;5,FD53,""))</f>
        <v/>
      </c>
      <c r="FE54" s="102" t="str">
        <f t="shared" ref="FE54" si="1833">IF(Z53="Hybrid - Thrust + 2 connections",IF(COUNTIF($EK53:$FD53,FE53)&gt;1,FE53,""),IF(COUNTIF($EK53:$FD53,FE53)&gt;5,FE53,""))</f>
        <v/>
      </c>
      <c r="FF54" s="102" t="str">
        <f t="shared" ref="FF54" si="1834">IF(AA53="Hybrid - Thrust + 2 connections",IF(COUNTIF($EK53:$FD53,FF53)&gt;1,FF53,""),IF(COUNTIF($EK53:$FD53,FF53)&gt;5,FF53,""))</f>
        <v/>
      </c>
      <c r="FG54" s="102" t="str">
        <f t="shared" ref="FG54" si="1835">IF(AB53="Hybrid - Thrust + 2 connections",IF(COUNTIF($EK53:$FD53,FG53)&gt;1,FG53,""),IF(COUNTIF($EK53:$FD53,FG53)&gt;5,FG53,""))</f>
        <v/>
      </c>
      <c r="FH54" s="102" t="str">
        <f t="shared" ref="FH54" si="1836">IF(AC53="Hybrid - Thrust + 2 connections",IF(COUNTIF($EK53:$FD53,FH53)&gt;1,FH53,""),IF(COUNTIF($EK53:$FD53,FH53)&gt;5,FH53,""))</f>
        <v/>
      </c>
      <c r="FI54" s="102" t="str">
        <f t="shared" ref="FI54" si="1837">IF(AD53="Hybrid - Thrust + 2 connections",IF(COUNTIF($EK53:$FD53,FI53)&gt;1,FI53,""),IF(COUNTIF($EK53:$FD53,FI53)&gt;5,FI53,""))</f>
        <v/>
      </c>
      <c r="FJ54" s="102" t="str">
        <f t="shared" ref="FJ54" si="1838">IF(AE53="Hybrid - Thrust + 2 connections",IF(COUNTIF($EK53:$FD53,FJ53)&gt;1,FJ53,""),IF(COUNTIF($EK53:$FD53,FJ53)&gt;5,FJ53,""))</f>
        <v/>
      </c>
      <c r="FK54" s="102" t="str">
        <f t="shared" ref="FK54" si="1839">IF(AF53="Hybrid - Thrust + 2 connections",IF(COUNTIF($EK53:$FD53,FK53)&gt;1,FK53,""),IF(COUNTIF($EK53:$FD53,FK53)&gt;5,FK53,""))</f>
        <v/>
      </c>
      <c r="FL54" s="102" t="str">
        <f t="shared" ref="FL54" si="1840">IF(AG53="Hybrid - Thrust + 2 connections",IF(COUNTIF($EK53:$FD53,FL53)&gt;1,FL53,""),IF(COUNTIF($EK53:$FD53,FL53)&gt;5,FL53,""))</f>
        <v/>
      </c>
      <c r="FM54" s="102" t="str">
        <f t="shared" ref="FM54" si="1841">IF(AH53="Hybrid - Thrust + 2 connections",IF(COUNTIF($EK53:$FD53,FM53)&gt;1,FM53,""),IF(COUNTIF($EK53:$FD53,FM53)&gt;5,FM53,""))</f>
        <v/>
      </c>
      <c r="FN54" s="102" t="str">
        <f t="shared" ref="FN54" si="1842">IF(AI53="Hybrid - Thrust + 2 connections",IF(COUNTIF($EK53:$FD53,FN53)&gt;1,FN53,""),IF(COUNTIF($EK53:$FD53,FN53)&gt;5,FN53,""))</f>
        <v/>
      </c>
      <c r="FO54" s="102">
        <f t="shared" ref="FO54" si="1843">FO52+5</f>
        <v>85</v>
      </c>
      <c r="FP54" s="102" t="str">
        <f t="shared" ref="FP54" ca="1" si="1844">OFFSET($FP$75,FO54,0)</f>
        <v/>
      </c>
      <c r="FQ54" s="102" t="str">
        <f t="shared" ref="FQ54" ca="1" si="1845">OFFSET($FQ$75,FO54,0)</f>
        <v/>
      </c>
      <c r="FR54" s="282"/>
      <c r="FS54" s="282"/>
      <c r="FT54" s="282"/>
      <c r="FU54" s="282"/>
      <c r="FV54" s="282"/>
      <c r="FW54" s="282"/>
      <c r="FX54" s="282"/>
      <c r="FY54" s="282"/>
      <c r="FZ54" s="282"/>
      <c r="GA54" s="282"/>
      <c r="GB54" s="282"/>
      <c r="GC54" s="282"/>
      <c r="GD54" s="282"/>
      <c r="GE54" s="282"/>
      <c r="GF54" s="282"/>
      <c r="GG54" s="282"/>
      <c r="GH54" s="282"/>
      <c r="GI54" s="282"/>
      <c r="GJ54" s="282"/>
      <c r="GK54" s="282"/>
      <c r="GL54" s="282"/>
      <c r="GM54" s="282"/>
      <c r="GN54" s="282"/>
      <c r="GO54" s="282"/>
      <c r="GP54" s="282"/>
      <c r="GQ54" s="282"/>
      <c r="GR54" s="282"/>
      <c r="GS54" s="282"/>
      <c r="GT54" s="282"/>
      <c r="GU54" s="282"/>
      <c r="GV54" s="102"/>
      <c r="GW54" s="102"/>
      <c r="GX54" s="102"/>
      <c r="GY54" s="102"/>
      <c r="GZ54" s="102"/>
      <c r="HA54" s="102"/>
      <c r="HB54" s="102"/>
      <c r="HC54" s="102"/>
      <c r="HD54" s="102" t="str">
        <f>IF($F53="Hybrid - Thrust + 2 connections",COUNTBLANK(J53:L53),"")</f>
        <v/>
      </c>
      <c r="HE54" s="102"/>
      <c r="HF54" s="105"/>
      <c r="HG54" s="105"/>
      <c r="HH54" s="105"/>
      <c r="HI54" s="105"/>
    </row>
    <row r="55" spans="1:222" x14ac:dyDescent="0.25">
      <c r="A55" s="39" t="str">
        <f>IF(AND(E53="",A53&lt;&gt;""),IF(CP53=$CP$18,"",IF(C53&lt;&gt;"",IF(D53=59,MINUTE(CP53)+1,MINUTE(CP53)),"")),"")</f>
        <v/>
      </c>
      <c r="B55" s="40" t="str">
        <f>IF(AND(E53="",B53&lt;&gt;""),IF(CP53=$CP$18,"",IF(C53&lt;&gt;"",IF(D53=59,0,SECOND(CP53)+1),"")),"")</f>
        <v/>
      </c>
      <c r="C55" s="50"/>
      <c r="D55" s="50"/>
      <c r="E55" s="9"/>
      <c r="F55" s="51"/>
      <c r="G55" s="42" t="str">
        <f>IF(F55&lt;&gt;"",IF(OR(F55="Transition",F55="Transition - Surface Connection"),0,MAX($G$19:G54)+1),"")</f>
        <v/>
      </c>
      <c r="H55" s="56" t="str">
        <f t="shared" ref="H55" si="1846">IFERROR(IF(E56="3","",IF(OR(F55="Hybrid - min 4 swimmers (no DD)",LEFT(F55,5)="Trans"),"No DD",CONCATENATE("BM = ",I56))),"")</f>
        <v/>
      </c>
      <c r="I55" s="57"/>
      <c r="J55" s="124"/>
      <c r="K55" s="129"/>
      <c r="L55" s="129"/>
      <c r="M55" s="129"/>
      <c r="N55" s="129"/>
      <c r="O55" s="129"/>
      <c r="P55" s="129"/>
      <c r="Q55" s="129"/>
      <c r="R55" s="129"/>
      <c r="S55" s="129"/>
      <c r="T55" s="129"/>
      <c r="U55" s="129"/>
      <c r="V55" s="129"/>
      <c r="W55" s="129"/>
      <c r="X55" s="129"/>
      <c r="Y55" s="129"/>
      <c r="Z55" s="129"/>
      <c r="AA55" s="129"/>
      <c r="AB55" s="129"/>
      <c r="AC55" s="129"/>
      <c r="AD55" s="129"/>
      <c r="AE55" s="129"/>
      <c r="AF55" s="129"/>
      <c r="AG55" s="129"/>
      <c r="AH55" s="129"/>
      <c r="AI55" s="129"/>
      <c r="AJ55" s="129"/>
      <c r="AK55" s="129"/>
      <c r="AL55" s="129"/>
      <c r="AM55" s="129"/>
      <c r="AN55" s="179"/>
      <c r="AO55" s="43"/>
      <c r="AP55" s="74"/>
      <c r="AQ55" s="74"/>
      <c r="AR55" s="104"/>
      <c r="AS55" s="104"/>
      <c r="AT55" s="104"/>
      <c r="AU55" s="104"/>
      <c r="AV55" s="104"/>
      <c r="AW55" s="105" t="str">
        <f t="shared" ref="AW55" si="1847">E56</f>
        <v/>
      </c>
      <c r="AX55" s="108" t="str">
        <f t="shared" ref="AX55" si="1848">IF(AY55=0,"",TIME(0,A55,B55))</f>
        <v/>
      </c>
      <c r="AY55" s="108">
        <f t="shared" ref="AY55" si="1849">TIME(0,C55,D55)</f>
        <v>0</v>
      </c>
      <c r="AZ55" s="108" t="str">
        <f t="shared" ref="AZ55" si="1850">IFERROR(AY55-AX55,"")</f>
        <v/>
      </c>
      <c r="BA55" s="276" t="str">
        <f t="shared" ref="BA55" si="1851">IF($AX$17=0,"",IF(AND($C$10&lt;&gt;"",AW55="H",AZ55&gt;$AX$17),"X",""))</f>
        <v/>
      </c>
      <c r="BB55" s="104"/>
      <c r="BC55" s="104"/>
      <c r="BD55" s="104"/>
      <c r="BE55" s="104"/>
      <c r="BF55" s="104"/>
      <c r="BG55" s="104" t="str">
        <f>IFERROR(IF(F55&lt;&gt;"",INDEX(Parts_Active,MATCH(F55,Parts_Active,0)),""),"No")</f>
        <v/>
      </c>
      <c r="BH55" s="104"/>
      <c r="BI55" s="104" t="str">
        <f t="shared" ref="BI55" si="1852">IF($E56="H",IF($F55="Hybrid - Thrust + 2 connections","Hybrid_Mix_Req",IF($F55="Hybrid - min 4 swimmers (no DD)","Hybrid_ChoHY","HybridDD_Code")),IF($E56=3,"TreDD_Code",IF($E56="PA","AcroPair_Code",IF(LEFT($F55,4)="Acro",CONCATENATE(BI$16,$E56,"_Code"),"Data!$BI$1:$BI$5"))))</f>
        <v>Data!$BI$1:$BI$5</v>
      </c>
      <c r="BJ55" s="104" t="str">
        <f t="shared" ref="BJ55" si="1853">IF($E56="H",IF($F55="Hybrid - Thrust + 2 connections","Hybrid_Mix_Req",IF($F55="Hybrid - min 4 swimmers (no DD)","Data!$BI$1:$BI$5","HybridDD_Code")),IF($E56=3,"TreDD_Code",IF($E56="PA","AcroPair_Code",IF(LEFT($F55,4)="Acro",CONCATENATE(BJ$16,$E56,"_Code"),"Data!$BI$1:$BI$5"))))</f>
        <v>Data!$BI$1:$BI$5</v>
      </c>
      <c r="BK55" s="104" t="str">
        <f t="shared" si="798"/>
        <v>Data!$BI$1:$BI$5</v>
      </c>
      <c r="BL55" s="104" t="str">
        <f t="shared" si="798"/>
        <v>Data!$BI$1:$BI$5</v>
      </c>
      <c r="BM55" s="104" t="str">
        <f t="shared" si="798"/>
        <v>Data!$BI$1:$BI$5</v>
      </c>
      <c r="BN55" s="104" t="str">
        <f t="shared" si="798"/>
        <v>Data!$BI$1:$BI$5</v>
      </c>
      <c r="BO55" s="104" t="str">
        <f t="shared" si="798"/>
        <v>Data!$BI$1:$BI$5</v>
      </c>
      <c r="BP55" s="104" t="str">
        <f t="shared" si="798"/>
        <v>Data!$BI$1:$BI$5</v>
      </c>
      <c r="BQ55" s="104" t="str">
        <f t="shared" si="798"/>
        <v>Data!$BI$1:$BI$5</v>
      </c>
      <c r="BR55" s="104" t="str">
        <f t="shared" ref="BR55" si="1854">IF($E56="H",IF($F55="Hybrid - Thrust + 2 connections","Data!$BI$1:$BI$5","HybridDD_Code"),"Data!$BI$1:$BI$5")</f>
        <v>Data!$BI$1:$BI$5</v>
      </c>
      <c r="BS55" s="104" t="str">
        <f t="shared" si="369"/>
        <v>Data!$BI$1:$BI$5</v>
      </c>
      <c r="BT55" s="104" t="str">
        <f t="shared" si="369"/>
        <v>Data!$BI$1:$BI$5</v>
      </c>
      <c r="BU55" s="104" t="str">
        <f t="shared" si="369"/>
        <v>Data!$BI$1:$BI$5</v>
      </c>
      <c r="BV55" s="104" t="str">
        <f t="shared" si="369"/>
        <v>Data!$BI$1:$BI$5</v>
      </c>
      <c r="BW55" s="104" t="str">
        <f t="shared" si="369"/>
        <v>Data!$BI$1:$BI$5</v>
      </c>
      <c r="BX55" s="104" t="str">
        <f t="shared" si="369"/>
        <v>Data!$BI$1:$BI$5</v>
      </c>
      <c r="BY55" s="104" t="str">
        <f t="shared" si="369"/>
        <v>Data!$BI$1:$BI$5</v>
      </c>
      <c r="BZ55" s="104" t="str">
        <f t="shared" si="369"/>
        <v>Data!$BI$1:$BI$5</v>
      </c>
      <c r="CA55" s="104" t="str">
        <f t="shared" si="369"/>
        <v>Data!$BI$1:$BI$5</v>
      </c>
      <c r="CB55" s="104" t="str">
        <f t="shared" si="369"/>
        <v>Data!$BI$1:$BI$5</v>
      </c>
      <c r="CC55" s="104" t="str">
        <f t="shared" si="369"/>
        <v>Data!$BI$1:$BI$5</v>
      </c>
      <c r="CD55" s="104" t="str">
        <f t="shared" si="369"/>
        <v>Data!$BI$1:$BI$5</v>
      </c>
      <c r="CE55" s="104" t="str">
        <f t="shared" si="369"/>
        <v>Data!$BI$1:$BI$5</v>
      </c>
      <c r="CF55" s="104" t="str">
        <f t="shared" si="369"/>
        <v>Data!$BI$1:$BI$5</v>
      </c>
      <c r="CG55" s="104" t="str">
        <f t="shared" si="369"/>
        <v>Data!$BI$1:$BI$5</v>
      </c>
      <c r="CH55" s="104" t="str">
        <f t="shared" si="369"/>
        <v>Data!$BI$1:$BI$5</v>
      </c>
      <c r="CI55" s="104" t="str">
        <f t="shared" si="800"/>
        <v>Data!$BI$1:$BI$5</v>
      </c>
      <c r="CJ55" s="104" t="str">
        <f t="shared" si="800"/>
        <v>Data!$BI$1:$BI$5</v>
      </c>
      <c r="CK55" s="104" t="str">
        <f t="shared" si="800"/>
        <v>Data!$BI$1:$BI$5</v>
      </c>
      <c r="CL55" s="104" t="str">
        <f t="shared" si="800"/>
        <v>Data!$BI$1:$BI$5</v>
      </c>
      <c r="CM55" s="104"/>
      <c r="CN55" s="104"/>
      <c r="CO55" s="107" t="str">
        <f>IFERROR(TIME(0,A55,B55),"")</f>
        <v/>
      </c>
      <c r="CP55" s="108">
        <f>IFERROR(TIME(0,C55,D55),"")</f>
        <v>0</v>
      </c>
      <c r="CQ55" s="108" t="str">
        <f t="shared" ref="CQ55" si="1855">IF(CP55&gt;$D$12,"X","")</f>
        <v/>
      </c>
      <c r="CR55" s="102" t="str">
        <f>IF(AND(F55="Hybrid - Thrust + 2 connections",OR(LEFT(J55,1)="T",LEFT(K55,1)="T",LEFT(L55,1)="T",LEFT(PB55,1)="T",LEFT(M55,1)="T",LEFT(N55,1)="T",LEFT(O55,1)="T",LEFT(P55,1)="T",LEFT(Q55,1)="T",LEFT(R55,1)="T",LEFT(S55,1)="T",LEFT(T55,1)="T",LEFT(U55,1)="T",LEFT(V55,1)="T",LEFT(W55,1)="T",LEFT(X55,1)="T",LEFT(AK55,1)="T",LEFT(AL55,1)="T",LEFT(AM55,1)="T")),IF(OR(LEN(J55)=2,LEN(K55)=2,LEN(L55)=2,LEN(M55)=2,LEN(N55)=2,LEN(O55)=2,LEN(P55)=2,LEN(Q55)=2,LEN(R55)=2,LEN(S55)=2,LEN(T55)=2,LEN(U55)=2,LEN(V55)=2,LEN(W55)=2,LEN(X55)=2,LEN(Y55)=2,LEN(Z55)=2,LEN(AK55)=2,LEN(AL55)=2,LEN(AM55)=2),"X",""),"")</f>
        <v/>
      </c>
      <c r="CS55" s="105" t="str">
        <f>IF(F55="Hybrid",SECOND(CP55),"")</f>
        <v/>
      </c>
      <c r="CT55" s="102" t="str">
        <f>IF(LEFT(F55,4)="Acro",IF(AND(N55&lt;&gt;"",M55=RIGHT(N55,2)),"X","OK"),"")</f>
        <v/>
      </c>
      <c r="CU55" s="104" t="str">
        <f t="shared" ref="CU55:DB55" si="1856">IFERROR(IF(AND(LEFT($F55,4)="Acro",INDEX(Requ_App,MATCH(BI55,Requ_Code,0))="No"),"X",""),"")</f>
        <v/>
      </c>
      <c r="CV55" s="104" t="str">
        <f t="shared" si="1856"/>
        <v/>
      </c>
      <c r="CW55" s="104" t="str">
        <f t="shared" si="1856"/>
        <v/>
      </c>
      <c r="CX55" s="104" t="str">
        <f t="shared" si="1856"/>
        <v/>
      </c>
      <c r="CY55" s="104" t="str">
        <f t="shared" si="1856"/>
        <v/>
      </c>
      <c r="CZ55" s="104" t="str">
        <f t="shared" si="1856"/>
        <v/>
      </c>
      <c r="DA55" s="104" t="str">
        <f t="shared" si="1856"/>
        <v/>
      </c>
      <c r="DB55" s="104" t="str">
        <f t="shared" si="1856"/>
        <v/>
      </c>
      <c r="DC55" s="104" t="str">
        <f>IFERROR(IF(AND(LEFT($F55,4)="Acro",INDEX(Requ_App,MATCH(BP55,Requ_Code,0))="No"),"X",""),"")</f>
        <v/>
      </c>
      <c r="DD55" s="102" t="str">
        <f t="shared" si="1643"/>
        <v/>
      </c>
      <c r="DE55" s="102" t="str">
        <f t="shared" si="1644"/>
        <v/>
      </c>
      <c r="DF55" s="102" t="str">
        <f t="shared" si="1645"/>
        <v/>
      </c>
      <c r="DG55" s="102" t="str">
        <f t="shared" si="1646"/>
        <v/>
      </c>
      <c r="DK55" s="102">
        <f t="shared" ref="DK55" si="1857">IF(AND(E56="A",OR(Q55="Grip",Q55="Conn",Q55="Catch")),"A1",IF(AND(E56="A",OR(Q55="Hula",Q55="RetSq",Q55="RetPa")),"A2",IF(AND(E56="B",OR(Q55="Twirl",Q55="RotF")),"B1",IF(AND(E56="B",OR(Q55="Moon",Q55="Mov",Q55="Hold")),"B2",IF(AND(E56="P",OR(Q55="Porp",Q55="Splch")),"P1",IF(AND(E56="P",OR(Q55="Diva",Q55="Stand")),"P2",IF(AND(E56="P",OR(Q55="Spider",Q55="Climb")),"P3",IF(AND(E56="P",OR(Q55="Fall",Q55="FTurn")),"P4",IF(AND(E56="C",OR(Q55="Jump",Q55="Jump&gt;",Q55="On1Foot",Q55="1F&gt;1F")),"C1",IF(AND(E56="C",OR(Q55="Run",Q55="BRun")),"C2",1))))))))))</f>
        <v>1</v>
      </c>
      <c r="DL55" s="102">
        <f t="shared" ref="DL55" si="1858">IF(AND(E56="A",OR(R55="Grip",R55="Conn",R55="Catch")),"A1",IF(AND(E56="A",OR(R55="Hula",R55="RetSq",R55="RetPa")),"A2",IF(AND(E56="B",OR(R55="Twirl",R55="RotF")),"B1",IF(AND(E56="B",OR(R55="Moon",R55="Mov",R55="Hold")),"B2",IF(AND(E56="P",OR(R55="Porp",R55="Spich")),"P1",IF(AND(E56="P",OR(R55="Diva",R55="Stand")),"P2",IF(AND(E56="P",OR(R55="Spider",R55="Climb")),"P3",IF(AND(E56="P",OR(R55="Fall",R55="FTurn")),"P4",IF(AND(E56="C",OR(R55="Jump",R55="Jump&gt;",R55="On1Foot",R55="1F&gt;1F")),"C1",IF(AND(E56="C",OR(R55="Run",R55="BRun")),"C2",2))))))))))</f>
        <v>2</v>
      </c>
      <c r="DM55" s="102" t="str">
        <f>IF(AND(LEFT(F55,4)="Acro",Q55&lt;&gt;"",OR(Q55=R55,DK55=DL55)),IF(R55="C-Roll","","X"),IF(OR(AND(E56="A",Q55="Catch",R55&lt;&gt;"Dbl"),AND(E56="A",R55="Catch",Q55&lt;&gt;"Dbl")),"X",""))</f>
        <v/>
      </c>
      <c r="DN55" s="102" t="str">
        <f>IF(E56="PA",J55,"")</f>
        <v/>
      </c>
      <c r="DO55" s="102">
        <v>37</v>
      </c>
      <c r="DQ55" s="102" t="str">
        <f>IF(AND($E56="A",COUNTIF($DZ$19:$EA$68,DZ55)&gt;1),DZ55,"")</f>
        <v/>
      </c>
      <c r="DR55" s="102" t="str">
        <f>IF(AND($E56="A",COUNTIF($DZ$19:$EA$68,EA55)&gt;1),EA55,"")</f>
        <v/>
      </c>
      <c r="DS55" s="102" t="str">
        <f ca="1">IF(AND($E56="B",COUNTIF($J$19:$J$68,J55)&gt;1),J55,"")</f>
        <v/>
      </c>
      <c r="DT55" s="102" t="str">
        <f ca="1">IF(AND($E56="B",COUNTIF($K$19:$K$68,K55)&gt;1),K55,"")</f>
        <v/>
      </c>
      <c r="DU55" s="102" t="str">
        <f ca="1">IF(AND($E56="C",COUNTIF($J$19:$J$68,J55)&gt;1),J55,"")</f>
        <v/>
      </c>
      <c r="DV55" s="102" t="str">
        <f ca="1">IF(AND($E56="P",COUNTIF($J$19:$J$68,J55)&gt;1),J55,"")</f>
        <v/>
      </c>
      <c r="DW55" s="102" t="str">
        <f ca="1">IF(AND($E56="P",COUNTIF($K$19:$K$68,K55)&gt;1),K55,"")</f>
        <v/>
      </c>
      <c r="DX55" s="102" t="str">
        <f>IF(AND($E56="P",COUNTIF($DZ$19:$EA$68,DZ55)&gt;1),DZ55,"")</f>
        <v/>
      </c>
      <c r="DY55" s="102" t="str">
        <f>IF(AND($E56="P",COUNTIF($DZ$19:$EA$68,EA55)&gt;1),EA55,"")</f>
        <v/>
      </c>
      <c r="DZ55" s="102" t="str">
        <f>IFERROR(IF(OR(E56="A",E56="P"),M55,""),"")</f>
        <v/>
      </c>
      <c r="EA55" s="102" t="str">
        <f>IFERROR(IF(OR(E56="A",E56="P"),RIGHT(N55,2),""),"")</f>
        <v/>
      </c>
      <c r="EB55" s="102" t="str">
        <f t="shared" ref="EB55" si="1859">IF(Q55="","",IF(AND($E56="P",COUNTIF($Q$19:$R$68,Q55)&gt;1),Q55,""))</f>
        <v/>
      </c>
      <c r="EC55" s="102" t="str">
        <f t="shared" ref="EC55" si="1860">IF(R55="","",IF(AND($E56="P",COUNTIF($Q$19:$R$68,R55)&gt;1),R55,""))</f>
        <v/>
      </c>
      <c r="ED55" s="102" t="str">
        <f t="shared" si="14"/>
        <v/>
      </c>
      <c r="EE55" s="102" t="str">
        <f t="shared" si="15"/>
        <v/>
      </c>
      <c r="EF55" s="102" t="str">
        <f>IF(AND($F$8="Open Team Acrobatic",LEFT(F55,4)="Acro"),E56,"")</f>
        <v/>
      </c>
      <c r="EG55" s="102" t="str">
        <f t="shared" ref="EG55" si="1861">IFERROR(IF(HLOOKUP(EF55,$DQ$12:$DT$13,2,FALSE)&gt;2,"X",""),"")</f>
        <v/>
      </c>
      <c r="EI55" s="102" t="str">
        <f t="shared" ref="EI55" si="1862">IF(OR(AND(F55="Hybrid - Thrust + 2 connections",EI56="T"),AND(E56="H",EI56&lt;&gt;"",EI109="X")),"X","")</f>
        <v/>
      </c>
      <c r="EK55" s="102">
        <f t="shared" ref="EK55" si="1863">IFERROR(IF(AND($E56="H",J55&lt;&gt;"",J55&lt;&gt;"ChoHY"),IF(OR(LEFT(J55,1)="T",LEFT(J55,1)="S",LEFT(J55,1)="A",LEFT(J55,1)="F",LEFT(J55,1)="C"),LEFT(J55,1),"R"),EK$18),"")</f>
        <v>1</v>
      </c>
      <c r="EL55" s="102">
        <f t="shared" ref="EL55:EZ55" si="1864">IFERROR(IF(AND($E56="H",K55&lt;&gt;""),IF(OR(LEFT(K55,1)="T",LEFT(K55,1)="S",LEFT(K55,1)="A",LEFT(K55,1)="F",LEFT(K55,1)="C"),LEFT(K55,1),"R"),EL$18),"")</f>
        <v>2</v>
      </c>
      <c r="EM55" s="102">
        <f t="shared" si="1864"/>
        <v>3</v>
      </c>
      <c r="EN55" s="102">
        <f t="shared" si="1864"/>
        <v>4</v>
      </c>
      <c r="EO55" s="102">
        <f t="shared" si="1864"/>
        <v>5</v>
      </c>
      <c r="EP55" s="102">
        <f t="shared" si="1864"/>
        <v>6</v>
      </c>
      <c r="EQ55" s="102">
        <f t="shared" si="1864"/>
        <v>7</v>
      </c>
      <c r="ER55" s="102">
        <f t="shared" si="1864"/>
        <v>8</v>
      </c>
      <c r="ES55" s="102">
        <f t="shared" si="1864"/>
        <v>9</v>
      </c>
      <c r="ET55" s="102">
        <f t="shared" si="1864"/>
        <v>10</v>
      </c>
      <c r="EU55" s="102">
        <f t="shared" si="1864"/>
        <v>11</v>
      </c>
      <c r="EV55" s="102">
        <f t="shared" si="1864"/>
        <v>12</v>
      </c>
      <c r="EW55" s="102">
        <f t="shared" si="1864"/>
        <v>13</v>
      </c>
      <c r="EX55" s="102">
        <f t="shared" si="1864"/>
        <v>14</v>
      </c>
      <c r="EY55" s="102">
        <f t="shared" si="1864"/>
        <v>15</v>
      </c>
      <c r="EZ55" s="102">
        <f t="shared" si="1864"/>
        <v>16</v>
      </c>
      <c r="FA55" s="102">
        <f t="shared" ref="FA55" si="1865">IFERROR(IF(AND($E56="H",Z55&lt;&gt;""),IF(OR(LEFT(Z55,1)="T",LEFT(Z55,1)="S",LEFT(Z55,1)="A",LEFT(Z55,1)="F",LEFT(Z55,1)="C"),LEFT(Z55,1),"R"),FA$18),"")</f>
        <v>17</v>
      </c>
      <c r="FB55" s="102">
        <f t="shared" ref="FB55" si="1866">IFERROR(IF(AND($E56="H",AA55&lt;&gt;""),IF(OR(LEFT(AA55,1)="T",LEFT(AA55,1)="S",LEFT(AA55,1)="A",LEFT(AA55,1)="F",LEFT(AA55,1)="C"),LEFT(AA55,1),"R"),FB$18),"")</f>
        <v>18</v>
      </c>
      <c r="FC55" s="102">
        <f t="shared" ref="FC55" si="1867">IFERROR(IF(AND($E56="H",AB55&lt;&gt;""),IF(OR(LEFT(AB55,1)="T",LEFT(AB55,1)="S",LEFT(AB55,1)="A",LEFT(AB55,1)="F",LEFT(AB55,1)="C"),LEFT(AB55,1),"R"),FC$18),"")</f>
        <v>19</v>
      </c>
      <c r="FD55" s="102">
        <f t="shared" ref="FD55" si="1868">IFERROR(IF(AND($E56="H",AC55&lt;&gt;""),IF(OR(LEFT(AC55,1)="T",LEFT(AC55,1)="S",LEFT(AC55,1)="A",LEFT(AC55,1)="F",LEFT(AC55,1)="C"),LEFT(AC55,1),"R"),FD$18),"")</f>
        <v>20</v>
      </c>
      <c r="FE55" s="102">
        <f t="shared" ref="FE55" si="1869">IFERROR(IF(AND($E56="H",AD55&lt;&gt;""),IF(OR(LEFT(AD55,1)="T",LEFT(AD55,1)="S",LEFT(AD55,1)="A",LEFT(AD55,1)="F",LEFT(AD55,1)="C"),LEFT(AD55,1),"R"),FE$18),"")</f>
        <v>21</v>
      </c>
      <c r="FF55" s="102">
        <f t="shared" ref="FF55" si="1870">IFERROR(IF(AND($E56="H",AE55&lt;&gt;""),IF(OR(LEFT(AE55,1)="T",LEFT(AE55,1)="S",LEFT(AE55,1)="A",LEFT(AE55,1)="F",LEFT(AE55,1)="C"),LEFT(AE55,1),"R"),FF$18),"")</f>
        <v>22</v>
      </c>
      <c r="FG55" s="102">
        <f t="shared" ref="FG55" si="1871">IFERROR(IF(AND($E56="H",AF55&lt;&gt;""),IF(OR(LEFT(AF55,1)="T",LEFT(AF55,1)="S",LEFT(AF55,1)="A",LEFT(AF55,1)="F",LEFT(AF55,1)="C"),LEFT(AF55,1),"R"),FG$18),"")</f>
        <v>23</v>
      </c>
      <c r="FH55" s="102">
        <f t="shared" ref="FH55" si="1872">IFERROR(IF(AND($E56="H",AG55&lt;&gt;""),IF(OR(LEFT(AG55,1)="T",LEFT(AG55,1)="S",LEFT(AG55,1)="A",LEFT(AG55,1)="F",LEFT(AG55,1)="C"),LEFT(AG55,1),"R"),FH$18),"")</f>
        <v>24</v>
      </c>
      <c r="FI55" s="102">
        <f t="shared" ref="FI55" si="1873">IFERROR(IF(AND($E56="H",AH55&lt;&gt;""),IF(OR(LEFT(AH55,1)="T",LEFT(AH55,1)="S",LEFT(AH55,1)="A",LEFT(AH55,1)="F",LEFT(AH55,1)="C"),LEFT(AH55,1),"R"),FI$18),"")</f>
        <v>25</v>
      </c>
      <c r="FJ55" s="102">
        <f t="shared" ref="FJ55" si="1874">IFERROR(IF(AND($E56="H",AI55&lt;&gt;""),IF(OR(LEFT(AI55,1)="T",LEFT(AI55,1)="S",LEFT(AI55,1)="A",LEFT(AI55,1)="F",LEFT(AI55,1)="C"),LEFT(AI55,1),"R"),FJ$18),"")</f>
        <v>26</v>
      </c>
      <c r="FK55" s="102">
        <f t="shared" ref="FK55" si="1875">IFERROR(IF(AND($E56="H",AJ55&lt;&gt;""),IF(OR(LEFT(AJ55,1)="T",LEFT(AJ55,1)="S",LEFT(AJ55,1)="A",LEFT(AJ55,1)="F",LEFT(AJ55,1)="C"),LEFT(AJ55,1),"R"),FK$18),"")</f>
        <v>27</v>
      </c>
      <c r="FL55" s="102">
        <f t="shared" ref="FL55" si="1876">IFERROR(IF(AND($E56="H",AK55&lt;&gt;""),IF(OR(LEFT(AK55,1)="T",LEFT(AK55,1)="S",LEFT(AK55,1)="A",LEFT(AK55,1)="F",LEFT(AK55,1)="C"),LEFT(AK55,1),"R"),FL$18),"")</f>
        <v>28</v>
      </c>
      <c r="FM55" s="102">
        <f t="shared" ref="FM55" si="1877">IFERROR(IF(AND($E56="H",AL55&lt;&gt;""),IF(OR(LEFT(AL55,1)="T",LEFT(AL55,1)="S",LEFT(AL55,1)="A",LEFT(AL55,1)="F",LEFT(AL55,1)="C"),LEFT(AL55,1),"R"),FM$18),"")</f>
        <v>29</v>
      </c>
      <c r="FN55" s="102">
        <f t="shared" ref="FN55" si="1878">IFERROR(IF(AND($E56="H",AM55&lt;&gt;""),IF(OR(LEFT(AM55,1)="T",LEFT(AM55,1)="S",LEFT(AM55,1)="A",LEFT(AM55,1)="F",LEFT(AM55,1)="C"),LEFT(AM55,1),"R"),FN$18),"")</f>
        <v>30</v>
      </c>
      <c r="FO55" s="102"/>
      <c r="FP55" s="102"/>
      <c r="FQ55" s="102"/>
      <c r="FR55" s="282"/>
      <c r="FS55" s="282"/>
      <c r="FT55" s="282"/>
      <c r="FU55" s="282"/>
      <c r="FV55" s="282"/>
      <c r="FW55" s="282"/>
      <c r="FX55" s="282"/>
      <c r="FY55" s="282"/>
      <c r="FZ55" s="282"/>
      <c r="GA55" s="282"/>
      <c r="GB55" s="282"/>
      <c r="GC55" s="282"/>
      <c r="GD55" s="282"/>
      <c r="GE55" s="282"/>
      <c r="GF55" s="282"/>
      <c r="GG55" s="282"/>
      <c r="GH55" s="282"/>
      <c r="GI55" s="282"/>
      <c r="GJ55" s="282"/>
      <c r="GK55" s="282"/>
      <c r="GL55" s="282"/>
      <c r="GM55" s="282"/>
      <c r="GN55" s="282"/>
      <c r="GO55" s="282"/>
      <c r="GP55" s="282"/>
      <c r="GQ55" s="282"/>
      <c r="GR55" s="282"/>
      <c r="GS55" s="282"/>
      <c r="GT55" s="282"/>
      <c r="GU55" s="282"/>
      <c r="GV55" s="102"/>
      <c r="GW55" s="102">
        <f t="shared" ref="GW55" si="1879">COUNTIF($EK55:$FN55,GW$18)</f>
        <v>0</v>
      </c>
      <c r="GX55" s="102">
        <f t="shared" si="825"/>
        <v>0</v>
      </c>
      <c r="GY55" s="102">
        <f t="shared" si="825"/>
        <v>0</v>
      </c>
      <c r="GZ55" s="102">
        <f t="shared" si="825"/>
        <v>0</v>
      </c>
      <c r="HA55" s="102">
        <f t="shared" si="825"/>
        <v>0</v>
      </c>
      <c r="HB55" s="102">
        <f t="shared" si="825"/>
        <v>0</v>
      </c>
      <c r="HC55" s="102"/>
      <c r="HD55" s="102" t="str">
        <f t="shared" ref="HD55" si="1880">IF(AND($F55="Hybrid - Thrust + 2 connections",HD56=0,LEFT($J55,1)="C",LEFT($K55,1)="C",LEFT($L55,1)="C"),"X","")</f>
        <v/>
      </c>
      <c r="HE55" s="102"/>
      <c r="HF55" s="105"/>
      <c r="HG55" s="114"/>
      <c r="HH55" s="114"/>
      <c r="HI55" s="105" t="str">
        <f t="shared" ref="HI55" si="1881">IF(E56=3,IF(_xlfn.NUMBERVALUE(LEFT(J55,1))&gt;0,_xlfn.NUMBERVALUE(LEFT(J55,1)),""),"")</f>
        <v/>
      </c>
      <c r="HK55" s="105" t="str">
        <f t="shared" ref="HK55" si="1882">IF(OR(E56="B",E56="P"),E56,"")</f>
        <v/>
      </c>
      <c r="HL55" s="105" t="str">
        <f>IF(AND(J55&lt;&gt;"",HK55&lt;&gt;""),IF(HK55="B",MATCH(J55,AcroDD!$U$3:$AE$3,0),MATCH(J55,AcroDD!$U$30:$AC$30,0)),"")</f>
        <v/>
      </c>
      <c r="HM55" s="105" t="str">
        <f t="shared" ref="HM55" si="1883">IF(AND(K55&lt;&gt;"",HK55&lt;&gt;""),K55,"")</f>
        <v/>
      </c>
      <c r="HN55" s="105" t="str">
        <f ca="1">IF(AND(OR(HK55="B",HK55="P"),HL55&lt;&gt;"",HM55&lt;&gt;""),IF(IFERROR(IF(HK55="B",MATCH(HM55,OFFSET(AcroDD!$T$4,0,HL55,20),0),MATCH(HM55,OFFSET(AcroDD!$T$31,0,HL55,20),0)),"")&lt;&gt;"","OK","X"),"")</f>
        <v/>
      </c>
    </row>
    <row r="56" spans="1:222" x14ac:dyDescent="0.25">
      <c r="A56" s="39"/>
      <c r="B56" s="40"/>
      <c r="C56" s="40"/>
      <c r="D56" s="40"/>
      <c r="E56" s="20" t="str">
        <f t="shared" ref="E56" si="1884">IF(F55="Acrobatic - Pair","PA",IF(F55="Acrobatic Airborn","A",IF(F55="Acrobatic Balance","B",IF(F55="Acrobatic Combined","C",IF(F55="Acrobatic Platform","P",IF(F55="Technical Required Element",3,IF(LEFT(F55,4)="Hybr","H","")))))))</f>
        <v/>
      </c>
      <c r="F56" s="20" t="str">
        <f>IF(AND(F55="Hybrid - Thrust + 2 connections",CR55="X"),"Hybrid - Thrust",IF(OR(E56="A",E56="B",E56="C",E56="P"),"Acrobatic",""))</f>
        <v/>
      </c>
      <c r="G56" s="42"/>
      <c r="H56" s="207" t="str">
        <f t="shared" ref="H56" si="1885">IF(E56="PA",IF(OR(LEFT(J55,1)="L",LEFT(J55,1)="S"),"A-Pair-Lift",IF(OR(LEFT(J55,1)="W",LEFT(J55,1)="T"),"A-Pair-Throw",IF(LEFT(J55,1)="J","A-Pair-Jump","A-Pair"))),IF(OR(E56="A",E56="B",E56="C",E56="P"),CONCATENATE("Acro-",E56),""))</f>
        <v/>
      </c>
      <c r="I56" s="201" t="e">
        <f t="shared" ref="I56" si="1886">IF(OR(F55="Hybrid - min 4 swimmers (no DD)",LEFT(F55,5)="Trans"),0,INDEX($BY$3:$BY$9,MATCH(E56,$BX$3:$BX$9,0)))</f>
        <v>#N/A</v>
      </c>
      <c r="J56" s="196">
        <f ca="1">IFERROR(IF($H55="No DD",IF(J55="ChoHY",1,0),IF(OR(ISBLANK(J55),J55="N/A"),0,INDEX(INDIRECT(BI56),MATCH(J55,INDIRECT(BI55),0)))),0)</f>
        <v>0</v>
      </c>
      <c r="K56" s="196">
        <f t="shared" ref="K56:Y56" ca="1" si="1887">IFERROR(IF($H55="No DD",0,IF(OR(ISBLANK(K55),K55="N/A"),0,INDEX(INDIRECT(BJ56),MATCH(K55,INDIRECT(BJ55),0)))),0)</f>
        <v>0</v>
      </c>
      <c r="L56" s="196">
        <f t="shared" ca="1" si="1887"/>
        <v>0</v>
      </c>
      <c r="M56" s="196">
        <f t="shared" ca="1" si="1887"/>
        <v>0</v>
      </c>
      <c r="N56" s="196">
        <f t="shared" ca="1" si="1887"/>
        <v>0</v>
      </c>
      <c r="O56" s="196">
        <f t="shared" ca="1" si="1887"/>
        <v>0</v>
      </c>
      <c r="P56" s="196">
        <f t="shared" ca="1" si="1887"/>
        <v>0</v>
      </c>
      <c r="Q56" s="196">
        <f t="shared" ca="1" si="1887"/>
        <v>0</v>
      </c>
      <c r="R56" s="196">
        <f t="shared" ca="1" si="1887"/>
        <v>0</v>
      </c>
      <c r="S56" s="196">
        <f t="shared" ca="1" si="1887"/>
        <v>0</v>
      </c>
      <c r="T56" s="196">
        <f t="shared" ca="1" si="1887"/>
        <v>0</v>
      </c>
      <c r="U56" s="196">
        <f t="shared" ca="1" si="1887"/>
        <v>0</v>
      </c>
      <c r="V56" s="196">
        <f t="shared" ca="1" si="1887"/>
        <v>0</v>
      </c>
      <c r="W56" s="196">
        <f t="shared" ca="1" si="1887"/>
        <v>0</v>
      </c>
      <c r="X56" s="196">
        <f t="shared" ca="1" si="1887"/>
        <v>0</v>
      </c>
      <c r="Y56" s="196">
        <f t="shared" ca="1" si="1887"/>
        <v>0</v>
      </c>
      <c r="Z56" s="196">
        <f t="shared" ref="Z56" ca="1" si="1888">IFERROR(IF($H55="No DD",0,IF(OR(ISBLANK(Z55),Z55="N/A"),0,INDEX(INDIRECT(BY56),MATCH(Z55,INDIRECT(BY55),0)))),0)</f>
        <v>0</v>
      </c>
      <c r="AA56" s="196">
        <f t="shared" ref="AA56" ca="1" si="1889">IFERROR(IF($H55="No DD",0,IF(OR(ISBLANK(AA55),AA55="N/A"),0,INDEX(INDIRECT(BZ56),MATCH(AA55,INDIRECT(BZ55),0)))),0)</f>
        <v>0</v>
      </c>
      <c r="AB56" s="196">
        <f t="shared" ref="AB56" ca="1" si="1890">IFERROR(IF($H55="No DD",0,IF(OR(ISBLANK(AB55),AB55="N/A"),0,INDEX(INDIRECT(CA56),MATCH(AB55,INDIRECT(CA55),0)))),0)</f>
        <v>0</v>
      </c>
      <c r="AC56" s="196">
        <f t="shared" ref="AC56" ca="1" si="1891">IFERROR(IF($H55="No DD",0,IF(OR(ISBLANK(AC55),AC55="N/A"),0,INDEX(INDIRECT(CB56),MATCH(AC55,INDIRECT(CB55),0)))),0)</f>
        <v>0</v>
      </c>
      <c r="AD56" s="196">
        <f t="shared" ref="AD56" ca="1" si="1892">IFERROR(IF($H55="No DD",0,IF(OR(ISBLANK(AD55),AD55="N/A"),0,INDEX(INDIRECT(CC56),MATCH(AD55,INDIRECT(CC55),0)))),0)</f>
        <v>0</v>
      </c>
      <c r="AE56" s="196">
        <f t="shared" ref="AE56" ca="1" si="1893">IFERROR(IF($H55="No DD",0,IF(OR(ISBLANK(AE55),AE55="N/A"),0,INDEX(INDIRECT(CD56),MATCH(AE55,INDIRECT(CD55),0)))),0)</f>
        <v>0</v>
      </c>
      <c r="AF56" s="196">
        <f t="shared" ref="AF56" ca="1" si="1894">IFERROR(IF($H55="No DD",0,IF(OR(ISBLANK(AF55),AF55="N/A"),0,INDEX(INDIRECT(CE56),MATCH(AF55,INDIRECT(CE55),0)))),0)</f>
        <v>0</v>
      </c>
      <c r="AG56" s="196">
        <f t="shared" ref="AG56" ca="1" si="1895">IFERROR(IF($H55="No DD",0,IF(OR(ISBLANK(AG55),AG55="N/A"),0,INDEX(INDIRECT(CF56),MATCH(AG55,INDIRECT(CF55),0)))),0)</f>
        <v>0</v>
      </c>
      <c r="AH56" s="196">
        <f t="shared" ref="AH56" ca="1" si="1896">IFERROR(IF($H55="No DD",0,IF(OR(ISBLANK(AH55),AH55="N/A"),0,INDEX(INDIRECT(CG56),MATCH(AH55,INDIRECT(CG55),0)))),0)</f>
        <v>0</v>
      </c>
      <c r="AI56" s="196">
        <f t="shared" ref="AI56" ca="1" si="1897">IFERROR(IF($H55="No DD",0,IF(OR(ISBLANK(AI55),AI55="N/A"),0,INDEX(INDIRECT(CH56),MATCH(AI55,INDIRECT(CH55),0)))),0)</f>
        <v>0</v>
      </c>
      <c r="AJ56" s="196">
        <f t="shared" ref="AJ56" ca="1" si="1898">IFERROR(IF($H55="No DD",0,IF(OR(ISBLANK(AJ55),AJ55="N/A"),0,INDEX(INDIRECT(CI56),MATCH(AJ55,INDIRECT(CI55),0)))),0)</f>
        <v>0</v>
      </c>
      <c r="AK56" s="196">
        <f t="shared" ref="AK56" ca="1" si="1899">IFERROR(IF($H55="No DD",0,IF(OR(ISBLANK(AK55),AK55="N/A"),0,INDEX(INDIRECT(CJ56),MATCH(AK55,INDIRECT(CJ55),0)))),0)</f>
        <v>0</v>
      </c>
      <c r="AL56" s="196">
        <f t="shared" ref="AL56" ca="1" si="1900">IFERROR(IF($H55="No DD",0,IF(OR(ISBLANK(AL55),AL55="N/A"),0,INDEX(INDIRECT(CK56),MATCH(AL55,INDIRECT(CK55),0)))),0)</f>
        <v>0</v>
      </c>
      <c r="AM56" s="196">
        <f t="shared" ref="AM56" ca="1" si="1901">IFERROR(IF($H55="No DD",0,IF(OR(ISBLANK(AM55),AM55="N/A"),0,INDEX(INDIRECT(CL56),MATCH(AM55,INDIRECT(CL55),0)))),0)</f>
        <v>0</v>
      </c>
      <c r="AN56" s="197" t="str">
        <f>IFERROR(IF(E56="H",INDEX(HybridBonus_Value,MATCH(AN55,HybridBonus_Code,0)),""),"")</f>
        <v/>
      </c>
      <c r="AO56" s="195" t="str">
        <f t="shared" ref="AO56" si="1902">IFERROR(SUM(I56:AN56),"")</f>
        <v/>
      </c>
      <c r="AP56" s="75"/>
      <c r="AQ56" s="75"/>
      <c r="AR56" s="115"/>
      <c r="AS56" s="115"/>
      <c r="AT56" s="115"/>
      <c r="AU56" s="115"/>
      <c r="AV56" s="115"/>
      <c r="BA56" s="104"/>
      <c r="BB56" s="115"/>
      <c r="BC56" s="115"/>
      <c r="BD56" s="115"/>
      <c r="BE56" s="115"/>
      <c r="BF56" s="115"/>
      <c r="BG56" s="104"/>
      <c r="BH56" s="115"/>
      <c r="BI56" s="105" t="str">
        <f t="shared" ref="BI56" si="1903">IF($E56="H",IF($F55="Hybrid - Thrust + 2 connections","Hybrid_Mix_Req_Value","HybridDD_Value"),IF($E56=3,"TreDD_Value",IF($E56="PA","AcroPair_Value",IF(LEFT($F55,4)="Acro",CONCATENATE(BI$16,$E56,"_Value"),""))))</f>
        <v/>
      </c>
      <c r="BJ56" s="105" t="str">
        <f t="shared" ref="BJ56" si="1904">IF($E56="H",IF($F55="Hybrid - Thrust + 2 connections","Hybrid_Mix_Req_Value","HybridDD_Value"),IF($E56=3,"TreDD_Value",IF($E56="PA","AcroPair_Value",IF(LEFT($F55,4)="Acro",CONCATENATE(BJ$16,$E56,"_Value"),""))))</f>
        <v/>
      </c>
      <c r="BK56" s="105" t="str">
        <f t="shared" ref="BK56" si="1905">IF($E56="H",IF($F55="Hybrid - Thrust + 2 connections","Hybrid_Mix_Req_Value","HybridDD_Value"),IF($E56=3,"TreDD_Value",IF($E56="PA","AcroPair_Value",IF(LEFT($F55,4)="Acro",CONCATENATE(BK$16,$E56,"_Value"),""))))</f>
        <v/>
      </c>
      <c r="BL56" s="105" t="str">
        <f t="shared" ref="BL56" si="1906">IF($E56="H",IF($F55="Hybrid - Thrust + 2 connections","Hybrid_Mix_Req_Value","HybridDD_Value"),IF($E56=3,"TreDD_Value",IF($E56="PA","AcroPair_Value",IF(LEFT($F55,4)="Acro",CONCATENATE(BL$16,$E56,"_Value"),""))))</f>
        <v/>
      </c>
      <c r="BM56" s="105" t="str">
        <f t="shared" ref="BM56" si="1907">IF($E56="H",IF($F55="Hybrid - Thrust + 2 connections","Hybrid_Mix_Req_Value","HybridDD_Value"),IF($E56=3,"TreDD_Value",IF($E56="PA","AcroPair_Value",IF(LEFT($F55,4)="Acro",CONCATENATE(BM$16,$E56,"_Value"),""))))</f>
        <v/>
      </c>
      <c r="BN56" s="105" t="str">
        <f t="shared" ref="BN56" si="1908">IF($E56="H",IF($F55="Hybrid - Thrust + 2 connections","Hybrid_Mix_Req_Value","HybridDD_Value"),IF($E56=3,"TreDD_Value",IF($E56="PA","AcroPair_Value",IF(LEFT($F55,4)="Acro",CONCATENATE(BN$16,$E56,"_Value"),""))))</f>
        <v/>
      </c>
      <c r="BO56" s="105" t="str">
        <f t="shared" ref="BO56" si="1909">IF($E56="H",IF($F55="Hybrid - Thrust + 2 connections","Hybrid_Mix_Req_Value","HybridDD_Value"),IF($E56=3,"TreDD_Value",IF($E56="PA","AcroPair_Value",IF(LEFT($F55,4)="Acro",CONCATENATE(BO$16,$E56,"_Value"),""))))</f>
        <v/>
      </c>
      <c r="BP56" s="105" t="str">
        <f t="shared" ref="BP56" si="1910">IF($E56="H",IF($F55="Hybrid - Thrust + 2 connections","Hybrid_Mix_Req_Value","HybridDD_Value"),IF($E56=3,"TreDD_Value",IF($E56="PA","AcroPair_Value",IF(LEFT($F55,4)="Acro",CONCATENATE(BP$16,$E56,"_Value"),""))))</f>
        <v/>
      </c>
      <c r="BQ56" s="105" t="str">
        <f t="shared" ref="BQ56" si="1911">IF($E56="H",IF($F55="Hybrid - Thrust + 2 connections","Hybrid_Mix_Req_Value","HybridDD_Value"),IF($E56=3,"TreDD_Value",IF($E56="PA","AcroPair_Value",IF(LEFT($F55,4)="Acro",CONCATENATE(BQ$16,$E56,"_Value"),""))))</f>
        <v/>
      </c>
      <c r="BR56" s="104" t="str">
        <f t="shared" ref="BR56" si="1912">IF($E56="H",IF($F55="Hybrid - Thrust + 2 connections","Data!$BI$1:$BI$5","HybridDD_Value"),"Data!$BI$1:$BI$5")</f>
        <v>Data!$BI$1:$BI$5</v>
      </c>
      <c r="BS56" s="104" t="str">
        <f t="shared" ref="BS56" si="1913">IF($E56="H",IF($F55="Hybrid - Thrust + 2 connections","Data!$BI$1:$BI$5","HybridDD_Value"),"Data!$BI$1:$BI$5")</f>
        <v>Data!$BI$1:$BI$5</v>
      </c>
      <c r="BT56" s="104" t="str">
        <f t="shared" ref="BT56" si="1914">IF($E56="H",IF($F55="Hybrid - Thrust + 2 connections","Data!$BI$1:$BI$5","HybridDD_Value"),"Data!$BI$1:$BI$5")</f>
        <v>Data!$BI$1:$BI$5</v>
      </c>
      <c r="BU56" s="104" t="str">
        <f t="shared" ref="BU56" si="1915">IF($E56="H",IF($F55="Hybrid - Thrust + 2 connections","Data!$BI$1:$BI$5","HybridDD_Value"),"Data!$BI$1:$BI$5")</f>
        <v>Data!$BI$1:$BI$5</v>
      </c>
      <c r="BV56" s="104" t="str">
        <f t="shared" ref="BV56" si="1916">IF($E56="H",IF($F55="Hybrid - Thrust + 2 connections","Data!$BI$1:$BI$5","HybridDD_Value"),"Data!$BI$1:$BI$5")</f>
        <v>Data!$BI$1:$BI$5</v>
      </c>
      <c r="BW56" s="104" t="str">
        <f t="shared" ref="BW56" si="1917">IF($E56="H",IF($F55="Hybrid - Thrust + 2 connections","Data!$BI$1:$BI$5","HybridDD_Value"),"Data!$BI$1:$BI$5")</f>
        <v>Data!$BI$1:$BI$5</v>
      </c>
      <c r="BX56" s="104" t="str">
        <f t="shared" ref="BX56" si="1918">IF($E56="H",IF($F55="Hybrid - Thrust + 2 connections","Data!$BI$1:$BI$5","HybridDD_Value"),"Data!$BI$1:$BI$5")</f>
        <v>Data!$BI$1:$BI$5</v>
      </c>
      <c r="BY56" s="104" t="str">
        <f t="shared" ref="BY56" si="1919">IF($E56="H",IF($F55="Hybrid - Thrust + 2 connections","Data!$BI$1:$BI$5","HybridDD_Value"),"Data!$BI$1:$BI$5")</f>
        <v>Data!$BI$1:$BI$5</v>
      </c>
      <c r="BZ56" s="104" t="str">
        <f t="shared" ref="BZ56" si="1920">IF($E56="H",IF($F55="Hybrid - Thrust + 2 connections","Data!$BI$1:$BI$5","HybridDD_Value"),"Data!$BI$1:$BI$5")</f>
        <v>Data!$BI$1:$BI$5</v>
      </c>
      <c r="CA56" s="104" t="str">
        <f t="shared" ref="CA56" si="1921">IF($E56="H",IF($F55="Hybrid - Thrust + 2 connections","Data!$BI$1:$BI$5","HybridDD_Value"),"Data!$BI$1:$BI$5")</f>
        <v>Data!$BI$1:$BI$5</v>
      </c>
      <c r="CB56" s="104" t="str">
        <f t="shared" ref="CB56" si="1922">IF($E56="H",IF($F55="Hybrid - Thrust + 2 connections","Data!$BI$1:$BI$5","HybridDD_Value"),"Data!$BI$1:$BI$5")</f>
        <v>Data!$BI$1:$BI$5</v>
      </c>
      <c r="CC56" s="104" t="str">
        <f t="shared" ref="CC56" si="1923">IF($E56="H",IF($F55="Hybrid - Thrust + 2 connections","Data!$BI$1:$BI$5","HybridDD_Value"),"Data!$BI$1:$BI$5")</f>
        <v>Data!$BI$1:$BI$5</v>
      </c>
      <c r="CD56" s="104" t="str">
        <f t="shared" ref="CD56" si="1924">IF($E56="H",IF($F55="Hybrid - Thrust + 2 connections","Data!$BI$1:$BI$5","HybridDD_Value"),"Data!$BI$1:$BI$5")</f>
        <v>Data!$BI$1:$BI$5</v>
      </c>
      <c r="CE56" s="104" t="str">
        <f t="shared" ref="CE56" si="1925">IF($E56="H",IF($F55="Hybrid - Thrust + 2 connections","Data!$BI$1:$BI$5","HybridDD_Value"),"Data!$BI$1:$BI$5")</f>
        <v>Data!$BI$1:$BI$5</v>
      </c>
      <c r="CF56" s="104" t="str">
        <f t="shared" ref="CF56" si="1926">IF($E56="H",IF($F55="Hybrid - Thrust + 2 connections","Data!$BI$1:$BI$5","HybridDD_Value"),"Data!$BI$1:$BI$5")</f>
        <v>Data!$BI$1:$BI$5</v>
      </c>
      <c r="CG56" s="104" t="str">
        <f t="shared" ref="CG56" si="1927">IF($E56="H",IF($F55="Hybrid - Thrust + 2 connections","Data!$BI$1:$BI$5","HybridDD_Value"),"Data!$BI$1:$BI$5")</f>
        <v>Data!$BI$1:$BI$5</v>
      </c>
      <c r="CH56" s="104" t="str">
        <f t="shared" ref="CH56" si="1928">IF($E56="H",IF($F55="Hybrid - Thrust + 2 connections","Data!$BI$1:$BI$5","HybridDD_Value"),"Data!$BI$1:$BI$5")</f>
        <v>Data!$BI$1:$BI$5</v>
      </c>
      <c r="CI56" s="104" t="str">
        <f t="shared" ref="CI56" si="1929">IF($E56="H",IF($F55="Hybrid - Thrust + 2 connections","Data!$BI$1:$BI$5","HybridDD_Value"),"Data!$BI$1:$BI$5")</f>
        <v>Data!$BI$1:$BI$5</v>
      </c>
      <c r="CJ56" s="104" t="str">
        <f t="shared" ref="CJ56" si="1930">IF($E56="H",IF($F55="Hybrid - Thrust + 2 connections","Data!$BI$1:$BI$5","HybridDD_Value"),"Data!$BI$1:$BI$5")</f>
        <v>Data!$BI$1:$BI$5</v>
      </c>
      <c r="CK56" s="104" t="str">
        <f t="shared" ref="CK56" si="1931">IF($E56="H",IF($F55="Hybrid - Thrust + 2 connections","Data!$BI$1:$BI$5","HybridDD_Value"),"Data!$BI$1:$BI$5")</f>
        <v>Data!$BI$1:$BI$5</v>
      </c>
      <c r="CL56" s="104" t="str">
        <f t="shared" ref="CL56" si="1932">IF($E56="H",IF($F55="Hybrid - Thrust + 2 connections","Data!$BI$1:$BI$5","HybridDD_Value"),"Data!$BI$1:$BI$5")</f>
        <v>Data!$BI$1:$BI$5</v>
      </c>
      <c r="CM56" s="115"/>
      <c r="CN56" s="115"/>
      <c r="CO56" s="116" t="str">
        <f>IFERROR(IF(AND($BV$6="T",$BV$8="T",LEFT(F55,4)="Acro",AO56&gt;3),"X",IF($N$7="X",IF(AND(E56="C",AO56&gt;$CN$6),"X",IF(AND(E56="A",AO56&gt;$CN$4),"X",IF(AND(E56="B",AO56&gt;$CN$5),"X",IF(AND(E56="P",AO56&gt;$CN$7),"X","")))),"")),"")</f>
        <v/>
      </c>
      <c r="CP56" s="107"/>
      <c r="CQ56" s="105"/>
      <c r="CS56" s="105" t="str">
        <f>IF(F56="Hybrid",SECOND(CP56),"")</f>
        <v/>
      </c>
      <c r="CT56" s="105"/>
      <c r="CU56" s="105"/>
      <c r="CV56" s="105"/>
      <c r="CW56" s="105"/>
      <c r="CX56" s="105"/>
      <c r="CY56" s="105"/>
      <c r="CZ56" s="105"/>
      <c r="DD56" s="102" t="str">
        <f t="shared" si="1643"/>
        <v/>
      </c>
      <c r="DE56" s="102" t="str">
        <f t="shared" si="1644"/>
        <v/>
      </c>
      <c r="DF56" s="102" t="str">
        <f t="shared" si="1645"/>
        <v/>
      </c>
      <c r="DG56" s="102" t="str">
        <f t="shared" si="1646"/>
        <v/>
      </c>
      <c r="DO56" s="102">
        <v>38</v>
      </c>
      <c r="ED56" s="102" t="str">
        <f t="shared" si="14"/>
        <v/>
      </c>
      <c r="EE56" s="102" t="str">
        <f t="shared" si="15"/>
        <v/>
      </c>
      <c r="EI56" s="102" t="str" cm="1">
        <f t="array" ref="EI56">IFERROR(INDEX(EK56:FN56,MATCH(TRUE,INDEX((EK56:FN56&lt;&gt;""),),0)),"")</f>
        <v/>
      </c>
      <c r="EK56" s="102" t="str">
        <f t="shared" si="879"/>
        <v/>
      </c>
      <c r="EL56" s="102" t="str">
        <f t="shared" ref="EL56:EZ56" si="1933">IF(G55="Hybrid - Thrust + 2 connections",IF(COUNTIF($EK55:$FD55,EL55)&gt;1,EL55,""),IF(COUNTIF($EK55:$FD55,EL55)&gt;5,EL55,""))</f>
        <v/>
      </c>
      <c r="EM56" s="102" t="str">
        <f t="shared" si="1933"/>
        <v/>
      </c>
      <c r="EN56" s="102" t="str">
        <f t="shared" si="1933"/>
        <v/>
      </c>
      <c r="EO56" s="102" t="str">
        <f t="shared" si="1933"/>
        <v/>
      </c>
      <c r="EP56" s="102" t="str">
        <f t="shared" si="1933"/>
        <v/>
      </c>
      <c r="EQ56" s="102" t="str">
        <f t="shared" si="1933"/>
        <v/>
      </c>
      <c r="ER56" s="102" t="str">
        <f t="shared" si="1933"/>
        <v/>
      </c>
      <c r="ES56" s="102" t="str">
        <f t="shared" si="1933"/>
        <v/>
      </c>
      <c r="ET56" s="102" t="str">
        <f t="shared" si="1933"/>
        <v/>
      </c>
      <c r="EU56" s="102" t="str">
        <f t="shared" si="1933"/>
        <v/>
      </c>
      <c r="EV56" s="102" t="str">
        <f t="shared" si="1933"/>
        <v/>
      </c>
      <c r="EW56" s="102" t="str">
        <f t="shared" si="1933"/>
        <v/>
      </c>
      <c r="EX56" s="102" t="str">
        <f t="shared" si="1933"/>
        <v/>
      </c>
      <c r="EY56" s="102" t="str">
        <f t="shared" si="1933"/>
        <v/>
      </c>
      <c r="EZ56" s="102" t="str">
        <f t="shared" si="1933"/>
        <v/>
      </c>
      <c r="FA56" s="102" t="str">
        <f t="shared" ref="FA56" si="1934">IF(V55="Hybrid - Thrust + 2 connections",IF(COUNTIF($EK55:$FD55,FA55)&gt;1,FA55,""),IF(COUNTIF($EK55:$FD55,FA55)&gt;5,FA55,""))</f>
        <v/>
      </c>
      <c r="FB56" s="102" t="str">
        <f t="shared" ref="FB56" si="1935">IF(W55="Hybrid - Thrust + 2 connections",IF(COUNTIF($EK55:$FD55,FB55)&gt;1,FB55,""),IF(COUNTIF($EK55:$FD55,FB55)&gt;5,FB55,""))</f>
        <v/>
      </c>
      <c r="FC56" s="102" t="str">
        <f t="shared" ref="FC56" si="1936">IF(X55="Hybrid - Thrust + 2 connections",IF(COUNTIF($EK55:$FD55,FC55)&gt;1,FC55,""),IF(COUNTIF($EK55:$FD55,FC55)&gt;5,FC55,""))</f>
        <v/>
      </c>
      <c r="FD56" s="102" t="str">
        <f t="shared" ref="FD56" si="1937">IF(Y55="Hybrid - Thrust + 2 connections",IF(COUNTIF($EK55:$FD55,FD55)&gt;1,FD55,""),IF(COUNTIF($EK55:$FD55,FD55)&gt;5,FD55,""))</f>
        <v/>
      </c>
      <c r="FE56" s="102" t="str">
        <f t="shared" ref="FE56" si="1938">IF(Z55="Hybrid - Thrust + 2 connections",IF(COUNTIF($EK55:$FD55,FE55)&gt;1,FE55,""),IF(COUNTIF($EK55:$FD55,FE55)&gt;5,FE55,""))</f>
        <v/>
      </c>
      <c r="FF56" s="102" t="str">
        <f t="shared" ref="FF56" si="1939">IF(AA55="Hybrid - Thrust + 2 connections",IF(COUNTIF($EK55:$FD55,FF55)&gt;1,FF55,""),IF(COUNTIF($EK55:$FD55,FF55)&gt;5,FF55,""))</f>
        <v/>
      </c>
      <c r="FG56" s="102" t="str">
        <f t="shared" ref="FG56" si="1940">IF(AB55="Hybrid - Thrust + 2 connections",IF(COUNTIF($EK55:$FD55,FG55)&gt;1,FG55,""),IF(COUNTIF($EK55:$FD55,FG55)&gt;5,FG55,""))</f>
        <v/>
      </c>
      <c r="FH56" s="102" t="str">
        <f t="shared" ref="FH56" si="1941">IF(AC55="Hybrid - Thrust + 2 connections",IF(COUNTIF($EK55:$FD55,FH55)&gt;1,FH55,""),IF(COUNTIF($EK55:$FD55,FH55)&gt;5,FH55,""))</f>
        <v/>
      </c>
      <c r="FI56" s="102" t="str">
        <f t="shared" ref="FI56" si="1942">IF(AD55="Hybrid - Thrust + 2 connections",IF(COUNTIF($EK55:$FD55,FI55)&gt;1,FI55,""),IF(COUNTIF($EK55:$FD55,FI55)&gt;5,FI55,""))</f>
        <v/>
      </c>
      <c r="FJ56" s="102" t="str">
        <f t="shared" ref="FJ56" si="1943">IF(AE55="Hybrid - Thrust + 2 connections",IF(COUNTIF($EK55:$FD55,FJ55)&gt;1,FJ55,""),IF(COUNTIF($EK55:$FD55,FJ55)&gt;5,FJ55,""))</f>
        <v/>
      </c>
      <c r="FK56" s="102" t="str">
        <f t="shared" ref="FK56" si="1944">IF(AF55="Hybrid - Thrust + 2 connections",IF(COUNTIF($EK55:$FD55,FK55)&gt;1,FK55,""),IF(COUNTIF($EK55:$FD55,FK55)&gt;5,FK55,""))</f>
        <v/>
      </c>
      <c r="FL56" s="102" t="str">
        <f t="shared" ref="FL56" si="1945">IF(AG55="Hybrid - Thrust + 2 connections",IF(COUNTIF($EK55:$FD55,FL55)&gt;1,FL55,""),IF(COUNTIF($EK55:$FD55,FL55)&gt;5,FL55,""))</f>
        <v/>
      </c>
      <c r="FM56" s="102" t="str">
        <f t="shared" ref="FM56" si="1946">IF(AH55="Hybrid - Thrust + 2 connections",IF(COUNTIF($EK55:$FD55,FM55)&gt;1,FM55,""),IF(COUNTIF($EK55:$FD55,FM55)&gt;5,FM55,""))</f>
        <v/>
      </c>
      <c r="FN56" s="102" t="str">
        <f t="shared" ref="FN56" si="1947">IF(AI55="Hybrid - Thrust + 2 connections",IF(COUNTIF($EK55:$FD55,FN55)&gt;1,FN55,""),IF(COUNTIF($EK55:$FD55,FN55)&gt;5,FN55,""))</f>
        <v/>
      </c>
      <c r="FO56" s="102">
        <f t="shared" ref="FO56" si="1948">FO54+5</f>
        <v>90</v>
      </c>
      <c r="FP56" s="102" t="str">
        <f t="shared" ref="FP56" ca="1" si="1949">OFFSET($FP$75,FO56,0)</f>
        <v/>
      </c>
      <c r="FQ56" s="102" t="str">
        <f t="shared" ref="FQ56" ca="1" si="1950">OFFSET($FQ$75,FO56,0)</f>
        <v/>
      </c>
      <c r="FR56" s="282"/>
      <c r="FS56" s="282"/>
      <c r="FT56" s="282"/>
      <c r="FU56" s="282"/>
      <c r="FV56" s="282"/>
      <c r="FW56" s="282"/>
      <c r="FX56" s="282"/>
      <c r="FY56" s="282"/>
      <c r="FZ56" s="282"/>
      <c r="GA56" s="282"/>
      <c r="GB56" s="282"/>
      <c r="GC56" s="282"/>
      <c r="GD56" s="282"/>
      <c r="GE56" s="282"/>
      <c r="GF56" s="282"/>
      <c r="GG56" s="282"/>
      <c r="GH56" s="282"/>
      <c r="GI56" s="282"/>
      <c r="GJ56" s="282"/>
      <c r="GK56" s="282"/>
      <c r="GL56" s="282"/>
      <c r="GM56" s="282"/>
      <c r="GN56" s="282"/>
      <c r="GO56" s="282"/>
      <c r="GP56" s="282"/>
      <c r="GQ56" s="282"/>
      <c r="GR56" s="282"/>
      <c r="GS56" s="282"/>
      <c r="GT56" s="282"/>
      <c r="GU56" s="282"/>
      <c r="GV56" s="102"/>
      <c r="GW56" s="102"/>
      <c r="GX56" s="102"/>
      <c r="GY56" s="102"/>
      <c r="GZ56" s="102"/>
      <c r="HA56" s="102"/>
      <c r="HB56" s="102"/>
      <c r="HC56" s="102"/>
      <c r="HD56" s="102" t="str">
        <f>IF($F55="Hybrid - Thrust + 2 connections",COUNTBLANK(J55:L55),"")</f>
        <v/>
      </c>
      <c r="HE56" s="102"/>
      <c r="HF56" s="105"/>
      <c r="HG56" s="105"/>
      <c r="HH56" s="105"/>
      <c r="HI56" s="105"/>
    </row>
    <row r="57" spans="1:222" x14ac:dyDescent="0.25">
      <c r="A57" s="39" t="str">
        <f>IF(AND(E55="",A55&lt;&gt;""),IF(CP55=$CP$18,"",IF(C55&lt;&gt;"",IF(D55=59,MINUTE(CP55)+1,MINUTE(CP55)),"")),"")</f>
        <v/>
      </c>
      <c r="B57" s="40" t="str">
        <f>IF(AND(E55="",B55&lt;&gt;""),IF(CP55=$CP$18,"",IF(C55&lt;&gt;"",IF(D55=59,0,SECOND(CP55)+1),"")),"")</f>
        <v/>
      </c>
      <c r="C57" s="50"/>
      <c r="D57" s="50"/>
      <c r="E57" s="9"/>
      <c r="F57" s="51"/>
      <c r="G57" s="42" t="str">
        <f>IF(F57&lt;&gt;"",IF(OR(F57="Transition",F57="Transition - Surface Connection"),0,MAX($G$19:G56)+1),"")</f>
        <v/>
      </c>
      <c r="H57" s="56" t="str">
        <f t="shared" ref="H57" si="1951">IFERROR(IF(E58="3","",IF(OR(F57="Hybrid - min 4 swimmers (no DD)",LEFT(F57,5)="Trans"),"No DD",CONCATENATE("BM = ",I58))),"")</f>
        <v/>
      </c>
      <c r="I57" s="57"/>
      <c r="J57" s="124"/>
      <c r="K57" s="129"/>
      <c r="L57" s="129"/>
      <c r="M57" s="129"/>
      <c r="N57" s="129"/>
      <c r="O57" s="129"/>
      <c r="P57" s="129"/>
      <c r="Q57" s="129"/>
      <c r="R57" s="129"/>
      <c r="S57" s="129"/>
      <c r="T57" s="129"/>
      <c r="U57" s="129"/>
      <c r="V57" s="129"/>
      <c r="W57" s="129"/>
      <c r="X57" s="129"/>
      <c r="Y57" s="129"/>
      <c r="Z57" s="129"/>
      <c r="AA57" s="129"/>
      <c r="AB57" s="129"/>
      <c r="AC57" s="129"/>
      <c r="AD57" s="129"/>
      <c r="AE57" s="129"/>
      <c r="AF57" s="129"/>
      <c r="AG57" s="129"/>
      <c r="AH57" s="129"/>
      <c r="AI57" s="129"/>
      <c r="AJ57" s="129"/>
      <c r="AK57" s="129"/>
      <c r="AL57" s="129"/>
      <c r="AM57" s="129"/>
      <c r="AN57" s="179"/>
      <c r="AO57" s="43"/>
      <c r="AP57" s="74"/>
      <c r="AQ57" s="74"/>
      <c r="AR57" s="104"/>
      <c r="AS57" s="104"/>
      <c r="AT57" s="104"/>
      <c r="AU57" s="104"/>
      <c r="AV57" s="104"/>
      <c r="AW57" s="105" t="str">
        <f t="shared" ref="AW57" si="1952">E58</f>
        <v/>
      </c>
      <c r="AX57" s="108" t="str">
        <f t="shared" ref="AX57" si="1953">IF(AY57=0,"",TIME(0,A57,B57))</f>
        <v/>
      </c>
      <c r="AY57" s="108">
        <f t="shared" ref="AY57" si="1954">TIME(0,C57,D57)</f>
        <v>0</v>
      </c>
      <c r="AZ57" s="108" t="str">
        <f t="shared" ref="AZ57" si="1955">IFERROR(AY57-AX57,"")</f>
        <v/>
      </c>
      <c r="BA57" s="276" t="str">
        <f t="shared" ref="BA57" si="1956">IF($AX$17=0,"",IF(AND($C$10&lt;&gt;"",AW57="H",AZ57&gt;$AX$17),"X",""))</f>
        <v/>
      </c>
      <c r="BB57" s="104"/>
      <c r="BC57" s="104"/>
      <c r="BD57" s="104"/>
      <c r="BE57" s="104"/>
      <c r="BF57" s="104"/>
      <c r="BG57" s="104" t="str">
        <f>IFERROR(IF(F57&lt;&gt;"",INDEX(Parts_Active,MATCH(F57,Parts_Active,0)),""),"No")</f>
        <v/>
      </c>
      <c r="BH57" s="104"/>
      <c r="BI57" s="104" t="str">
        <f t="shared" ref="BI57" si="1957">IF($E58="H",IF($F57="Hybrid - Thrust + 2 connections","Hybrid_Mix_Req",IF($F57="Hybrid - min 4 swimmers (no DD)","Hybrid_ChoHY","HybridDD_Code")),IF($E58=3,"TreDD_Code",IF($E58="PA","AcroPair_Code",IF(LEFT($F57,4)="Acro",CONCATENATE(BI$16,$E58,"_Code"),"Data!$BI$1:$BI$5"))))</f>
        <v>Data!$BI$1:$BI$5</v>
      </c>
      <c r="BJ57" s="104" t="str">
        <f t="shared" ref="BJ57" si="1958">IF($E58="H",IF($F57="Hybrid - Thrust + 2 connections","Hybrid_Mix_Req",IF($F57="Hybrid - min 4 swimmers (no DD)","Data!$BI$1:$BI$5","HybridDD_Code")),IF($E58=3,"TreDD_Code",IF($E58="PA","AcroPair_Code",IF(LEFT($F57,4)="Acro",CONCATENATE(BJ$16,$E58,"_Code"),"Data!$BI$1:$BI$5"))))</f>
        <v>Data!$BI$1:$BI$5</v>
      </c>
      <c r="BK57" s="104" t="str">
        <f t="shared" si="798"/>
        <v>Data!$BI$1:$BI$5</v>
      </c>
      <c r="BL57" s="104" t="str">
        <f t="shared" si="798"/>
        <v>Data!$BI$1:$BI$5</v>
      </c>
      <c r="BM57" s="104" t="str">
        <f t="shared" si="798"/>
        <v>Data!$BI$1:$BI$5</v>
      </c>
      <c r="BN57" s="104" t="str">
        <f t="shared" si="798"/>
        <v>Data!$BI$1:$BI$5</v>
      </c>
      <c r="BO57" s="104" t="str">
        <f t="shared" si="798"/>
        <v>Data!$BI$1:$BI$5</v>
      </c>
      <c r="BP57" s="104" t="str">
        <f t="shared" si="798"/>
        <v>Data!$BI$1:$BI$5</v>
      </c>
      <c r="BQ57" s="104" t="str">
        <f t="shared" si="798"/>
        <v>Data!$BI$1:$BI$5</v>
      </c>
      <c r="BR57" s="104" t="str">
        <f t="shared" ref="BR57" si="1959">IF($E58="H",IF($F57="Hybrid - Thrust + 2 connections","Data!$BI$1:$BI$5","HybridDD_Code"),"Data!$BI$1:$BI$5")</f>
        <v>Data!$BI$1:$BI$5</v>
      </c>
      <c r="BS57" s="104" t="str">
        <f t="shared" si="369"/>
        <v>Data!$BI$1:$BI$5</v>
      </c>
      <c r="BT57" s="104" t="str">
        <f t="shared" si="369"/>
        <v>Data!$BI$1:$BI$5</v>
      </c>
      <c r="BU57" s="104" t="str">
        <f t="shared" si="369"/>
        <v>Data!$BI$1:$BI$5</v>
      </c>
      <c r="BV57" s="104" t="str">
        <f t="shared" si="369"/>
        <v>Data!$BI$1:$BI$5</v>
      </c>
      <c r="BW57" s="104" t="str">
        <f t="shared" si="369"/>
        <v>Data!$BI$1:$BI$5</v>
      </c>
      <c r="BX57" s="104" t="str">
        <f t="shared" si="369"/>
        <v>Data!$BI$1:$BI$5</v>
      </c>
      <c r="BY57" s="104" t="str">
        <f t="shared" si="369"/>
        <v>Data!$BI$1:$BI$5</v>
      </c>
      <c r="BZ57" s="104" t="str">
        <f t="shared" si="369"/>
        <v>Data!$BI$1:$BI$5</v>
      </c>
      <c r="CA57" s="104" t="str">
        <f t="shared" si="369"/>
        <v>Data!$BI$1:$BI$5</v>
      </c>
      <c r="CB57" s="104" t="str">
        <f t="shared" si="369"/>
        <v>Data!$BI$1:$BI$5</v>
      </c>
      <c r="CC57" s="104" t="str">
        <f t="shared" si="369"/>
        <v>Data!$BI$1:$BI$5</v>
      </c>
      <c r="CD57" s="104" t="str">
        <f t="shared" si="369"/>
        <v>Data!$BI$1:$BI$5</v>
      </c>
      <c r="CE57" s="104" t="str">
        <f t="shared" si="369"/>
        <v>Data!$BI$1:$BI$5</v>
      </c>
      <c r="CF57" s="104" t="str">
        <f t="shared" si="369"/>
        <v>Data!$BI$1:$BI$5</v>
      </c>
      <c r="CG57" s="104" t="str">
        <f t="shared" si="369"/>
        <v>Data!$BI$1:$BI$5</v>
      </c>
      <c r="CH57" s="104" t="str">
        <f t="shared" si="369"/>
        <v>Data!$BI$1:$BI$5</v>
      </c>
      <c r="CI57" s="104" t="str">
        <f t="shared" si="800"/>
        <v>Data!$BI$1:$BI$5</v>
      </c>
      <c r="CJ57" s="104" t="str">
        <f t="shared" si="800"/>
        <v>Data!$BI$1:$BI$5</v>
      </c>
      <c r="CK57" s="104" t="str">
        <f t="shared" si="800"/>
        <v>Data!$BI$1:$BI$5</v>
      </c>
      <c r="CL57" s="104" t="str">
        <f t="shared" si="800"/>
        <v>Data!$BI$1:$BI$5</v>
      </c>
      <c r="CM57" s="104"/>
      <c r="CN57" s="104"/>
      <c r="CO57" s="107" t="str">
        <f>IFERROR(TIME(0,A57,B57),"")</f>
        <v/>
      </c>
      <c r="CP57" s="108">
        <f>IFERROR(TIME(0,C57,D57),"")</f>
        <v>0</v>
      </c>
      <c r="CQ57" s="108" t="str">
        <f t="shared" ref="CQ57" si="1960">IF(CP57&gt;$D$12,"X","")</f>
        <v/>
      </c>
      <c r="CR57" s="102" t="str">
        <f>IF(AND(F57="Hybrid - Thrust + 2 connections",OR(LEFT(J57,1)="T",LEFT(K57,1)="T",LEFT(L57,1)="T",LEFT(PB57,1)="T",LEFT(M57,1)="T",LEFT(N57,1)="T",LEFT(O57,1)="T",LEFT(P57,1)="T",LEFT(Q57,1)="T",LEFT(R57,1)="T",LEFT(S57,1)="T",LEFT(T57,1)="T",LEFT(U57,1)="T",LEFT(V57,1)="T",LEFT(W57,1)="T",LEFT(X57,1)="T",LEFT(AK57,1)="T",LEFT(AL57,1)="T",LEFT(AM57,1)="T")),IF(OR(LEN(J57)=2,LEN(K57)=2,LEN(L57)=2,LEN(M57)=2,LEN(N57)=2,LEN(O57)=2,LEN(P57)=2,LEN(Q57)=2,LEN(R57)=2,LEN(S57)=2,LEN(T57)=2,LEN(U57)=2,LEN(V57)=2,LEN(W57)=2,LEN(X57)=2,LEN(Y57)=2,LEN(Z57)=2,LEN(AK57)=2,LEN(AL57)=2,LEN(AM57)=2),"X",""),"")</f>
        <v/>
      </c>
      <c r="CS57" s="105" t="str">
        <f>IF(F57="Hybrid",SECOND(CP57),"")</f>
        <v/>
      </c>
      <c r="CT57" s="102" t="str">
        <f>IF(LEFT(F57,4)="Acro",IF(AND(N57&lt;&gt;"",M57=RIGHT(N57,2)),"X","OK"),"")</f>
        <v/>
      </c>
      <c r="CU57" s="104" t="str">
        <f t="shared" ref="CU57:DB57" si="1961">IFERROR(IF(AND(LEFT($F57,4)="Acro",INDEX(Requ_App,MATCH(BI57,Requ_Code,0))="No"),"X",""),"")</f>
        <v/>
      </c>
      <c r="CV57" s="104" t="str">
        <f t="shared" si="1961"/>
        <v/>
      </c>
      <c r="CW57" s="104" t="str">
        <f t="shared" si="1961"/>
        <v/>
      </c>
      <c r="CX57" s="104" t="str">
        <f t="shared" si="1961"/>
        <v/>
      </c>
      <c r="CY57" s="104" t="str">
        <f t="shared" si="1961"/>
        <v/>
      </c>
      <c r="CZ57" s="104" t="str">
        <f t="shared" si="1961"/>
        <v/>
      </c>
      <c r="DA57" s="104" t="str">
        <f t="shared" si="1961"/>
        <v/>
      </c>
      <c r="DB57" s="104" t="str">
        <f t="shared" si="1961"/>
        <v/>
      </c>
      <c r="DC57" s="104" t="str">
        <f>IFERROR(IF(AND(LEFT($F57,4)="Acro",INDEX(Requ_App,MATCH(BP57,Requ_Code,0))="No"),"X",""),"")</f>
        <v/>
      </c>
      <c r="DD57" s="102" t="str">
        <f t="shared" si="1643"/>
        <v/>
      </c>
      <c r="DE57" s="102" t="str">
        <f t="shared" si="1644"/>
        <v/>
      </c>
      <c r="DF57" s="102" t="str">
        <f t="shared" si="1645"/>
        <v/>
      </c>
      <c r="DG57" s="102" t="str">
        <f t="shared" si="1646"/>
        <v/>
      </c>
      <c r="DK57" s="102">
        <f t="shared" ref="DK57" si="1962">IF(AND(E58="A",OR(Q57="Grip",Q57="Conn",Q57="Catch")),"A1",IF(AND(E58="A",OR(Q57="Hula",Q57="RetSq",Q57="RetPa")),"A2",IF(AND(E58="B",OR(Q57="Twirl",Q57="RotF")),"B1",IF(AND(E58="B",OR(Q57="Moon",Q57="Mov",Q57="Hold")),"B2",IF(AND(E58="P",OR(Q57="Porp",Q57="Splch")),"P1",IF(AND(E58="P",OR(Q57="Diva",Q57="Stand")),"P2",IF(AND(E58="P",OR(Q57="Spider",Q57="Climb")),"P3",IF(AND(E58="P",OR(Q57="Fall",Q57="FTurn")),"P4",IF(AND(E58="C",OR(Q57="Jump",Q57="Jump&gt;",Q57="On1Foot",Q57="1F&gt;1F")),"C1",IF(AND(E58="C",OR(Q57="Run",Q57="BRun")),"C2",1))))))))))</f>
        <v>1</v>
      </c>
      <c r="DL57" s="102">
        <f t="shared" ref="DL57" si="1963">IF(AND(E58="A",OR(R57="Grip",R57="Conn",R57="Catch")),"A1",IF(AND(E58="A",OR(R57="Hula",R57="RetSq",R57="RetPa")),"A2",IF(AND(E58="B",OR(R57="Twirl",R57="RotF")),"B1",IF(AND(E58="B",OR(R57="Moon",R57="Mov",R57="Hold")),"B2",IF(AND(E58="P",OR(R57="Porp",R57="Spich")),"P1",IF(AND(E58="P",OR(R57="Diva",R57="Stand")),"P2",IF(AND(E58="P",OR(R57="Spider",R57="Climb")),"P3",IF(AND(E58="P",OR(R57="Fall",R57="FTurn")),"P4",IF(AND(E58="C",OR(R57="Jump",R57="Jump&gt;",R57="On1Foot",R57="1F&gt;1F")),"C1",IF(AND(E58="C",OR(R57="Run",R57="BRun")),"C2",2))))))))))</f>
        <v>2</v>
      </c>
      <c r="DM57" s="102" t="str">
        <f>IF(AND(LEFT(F57,4)="Acro",Q57&lt;&gt;"",OR(Q57=R57,DK57=DL57)),IF(R57="C-Roll","","X"),IF(OR(AND(E58="A",Q57="Catch",R57&lt;&gt;"Dbl"),AND(E58="A",R57="Catch",Q57&lt;&gt;"Dbl")),"X",""))</f>
        <v/>
      </c>
      <c r="DN57" s="102" t="str">
        <f>IF(E58="PA",J57,"")</f>
        <v/>
      </c>
      <c r="DO57" s="102">
        <v>39</v>
      </c>
      <c r="DQ57" s="102" t="str">
        <f>IF(AND($E58="A",COUNTIF($DZ$19:$EA$68,DZ57)&gt;1),DZ57,"")</f>
        <v/>
      </c>
      <c r="DR57" s="102" t="str">
        <f>IF(AND($E58="A",COUNTIF($DZ$19:$EA$68,EA57)&gt;1),EA57,"")</f>
        <v/>
      </c>
      <c r="DS57" s="102" t="str">
        <f ca="1">IF(AND($E58="B",COUNTIF($J$19:$J$68,J57)&gt;1),J57,"")</f>
        <v/>
      </c>
      <c r="DT57" s="102" t="str">
        <f ca="1">IF(AND($E58="B",COUNTIF($K$19:$K$68,K57)&gt;1),K57,"")</f>
        <v/>
      </c>
      <c r="DU57" s="102" t="str">
        <f ca="1">IF(AND($E58="C",COUNTIF($J$19:$J$68,J57)&gt;1),J57,"")</f>
        <v/>
      </c>
      <c r="DV57" s="102" t="str">
        <f ca="1">IF(AND($E58="P",COUNTIF($J$19:$J$68,J57)&gt;1),J57,"")</f>
        <v/>
      </c>
      <c r="DW57" s="102" t="str">
        <f ca="1">IF(AND($E58="P",COUNTIF($K$19:$K$68,K57)&gt;1),K57,"")</f>
        <v/>
      </c>
      <c r="DX57" s="102" t="str">
        <f>IF(AND($E58="P",COUNTIF($DZ$19:$EA$68,DZ57)&gt;1),DZ57,"")</f>
        <v/>
      </c>
      <c r="DY57" s="102" t="str">
        <f>IF(AND($E58="P",COUNTIF($DZ$19:$EA$68,EA57)&gt;1),EA57,"")</f>
        <v/>
      </c>
      <c r="DZ57" s="102" t="str">
        <f>IFERROR(IF(OR(E58="A",E58="P"),M57,""),"")</f>
        <v/>
      </c>
      <c r="EA57" s="102" t="str">
        <f>IFERROR(IF(OR(E58="A",E58="P"),RIGHT(N57,2),""),"")</f>
        <v/>
      </c>
      <c r="EB57" s="102" t="str">
        <f t="shared" ref="EB57:EC57" si="1964">IF(Q57="","",IF(AND($E58="P",COUNTIF($Q$19:$R$68,Q57)&gt;1),Q57,""))</f>
        <v/>
      </c>
      <c r="EC57" s="102" t="str">
        <f t="shared" si="1964"/>
        <v/>
      </c>
      <c r="ED57" s="102" t="str">
        <f t="shared" si="14"/>
        <v/>
      </c>
      <c r="EE57" s="102" t="str">
        <f t="shared" si="15"/>
        <v/>
      </c>
      <c r="EF57" s="102" t="str">
        <f>IF(AND($F$8="Open Team Acrobatic",LEFT(F57,4)="Acro"),E58,"")</f>
        <v/>
      </c>
      <c r="EG57" s="102" t="str">
        <f t="shared" ref="EG57" si="1965">IFERROR(IF(HLOOKUP(EF57,$DQ$12:$DT$13,2,FALSE)&gt;2,"X",""),"")</f>
        <v/>
      </c>
      <c r="EI57" s="102" t="str">
        <f t="shared" ref="EI57" si="1966">IF(OR(AND(F57="Hybrid - Thrust + 2 connections",EI58="T"),AND(E58="H",EI58&lt;&gt;"",EI111="X")),"X","")</f>
        <v/>
      </c>
      <c r="EK57" s="102">
        <f t="shared" ref="EK57" si="1967">IFERROR(IF(AND($E58="H",J57&lt;&gt;"",J57&lt;&gt;"ChoHY"),IF(OR(LEFT(J57,1)="T",LEFT(J57,1)="S",LEFT(J57,1)="A",LEFT(J57,1)="F",LEFT(J57,1)="C"),LEFT(J57,1),"R"),EK$18),"")</f>
        <v>1</v>
      </c>
      <c r="EL57" s="102">
        <f t="shared" ref="EL57:EZ57" si="1968">IFERROR(IF(AND($E58="H",K57&lt;&gt;""),IF(OR(LEFT(K57,1)="T",LEFT(K57,1)="S",LEFT(K57,1)="A",LEFT(K57,1)="F",LEFT(K57,1)="C"),LEFT(K57,1),"R"),EL$18),"")</f>
        <v>2</v>
      </c>
      <c r="EM57" s="102">
        <f t="shared" si="1968"/>
        <v>3</v>
      </c>
      <c r="EN57" s="102">
        <f t="shared" si="1968"/>
        <v>4</v>
      </c>
      <c r="EO57" s="102">
        <f t="shared" si="1968"/>
        <v>5</v>
      </c>
      <c r="EP57" s="102">
        <f t="shared" si="1968"/>
        <v>6</v>
      </c>
      <c r="EQ57" s="102">
        <f t="shared" si="1968"/>
        <v>7</v>
      </c>
      <c r="ER57" s="102">
        <f t="shared" si="1968"/>
        <v>8</v>
      </c>
      <c r="ES57" s="102">
        <f t="shared" si="1968"/>
        <v>9</v>
      </c>
      <c r="ET57" s="102">
        <f t="shared" si="1968"/>
        <v>10</v>
      </c>
      <c r="EU57" s="102">
        <f t="shared" si="1968"/>
        <v>11</v>
      </c>
      <c r="EV57" s="102">
        <f t="shared" si="1968"/>
        <v>12</v>
      </c>
      <c r="EW57" s="102">
        <f t="shared" si="1968"/>
        <v>13</v>
      </c>
      <c r="EX57" s="102">
        <f t="shared" si="1968"/>
        <v>14</v>
      </c>
      <c r="EY57" s="102">
        <f t="shared" si="1968"/>
        <v>15</v>
      </c>
      <c r="EZ57" s="102">
        <f t="shared" si="1968"/>
        <v>16</v>
      </c>
      <c r="FA57" s="102">
        <f t="shared" ref="FA57" si="1969">IFERROR(IF(AND($E58="H",Z57&lt;&gt;""),IF(OR(LEFT(Z57,1)="T",LEFT(Z57,1)="S",LEFT(Z57,1)="A",LEFT(Z57,1)="F",LEFT(Z57,1)="C"),LEFT(Z57,1),"R"),FA$18),"")</f>
        <v>17</v>
      </c>
      <c r="FB57" s="102">
        <f t="shared" ref="FB57" si="1970">IFERROR(IF(AND($E58="H",AA57&lt;&gt;""),IF(OR(LEFT(AA57,1)="T",LEFT(AA57,1)="S",LEFT(AA57,1)="A",LEFT(AA57,1)="F",LEFT(AA57,1)="C"),LEFT(AA57,1),"R"),FB$18),"")</f>
        <v>18</v>
      </c>
      <c r="FC57" s="102">
        <f t="shared" ref="FC57" si="1971">IFERROR(IF(AND($E58="H",AB57&lt;&gt;""),IF(OR(LEFT(AB57,1)="T",LEFT(AB57,1)="S",LEFT(AB57,1)="A",LEFT(AB57,1)="F",LEFT(AB57,1)="C"),LEFT(AB57,1),"R"),FC$18),"")</f>
        <v>19</v>
      </c>
      <c r="FD57" s="102">
        <f t="shared" ref="FD57" si="1972">IFERROR(IF(AND($E58="H",AC57&lt;&gt;""),IF(OR(LEFT(AC57,1)="T",LEFT(AC57,1)="S",LEFT(AC57,1)="A",LEFT(AC57,1)="F",LEFT(AC57,1)="C"),LEFT(AC57,1),"R"),FD$18),"")</f>
        <v>20</v>
      </c>
      <c r="FE57" s="102">
        <f t="shared" ref="FE57" si="1973">IFERROR(IF(AND($E58="H",AD57&lt;&gt;""),IF(OR(LEFT(AD57,1)="T",LEFT(AD57,1)="S",LEFT(AD57,1)="A",LEFT(AD57,1)="F",LEFT(AD57,1)="C"),LEFT(AD57,1),"R"),FE$18),"")</f>
        <v>21</v>
      </c>
      <c r="FF57" s="102">
        <f t="shared" ref="FF57" si="1974">IFERROR(IF(AND($E58="H",AE57&lt;&gt;""),IF(OR(LEFT(AE57,1)="T",LEFT(AE57,1)="S",LEFT(AE57,1)="A",LEFT(AE57,1)="F",LEFT(AE57,1)="C"),LEFT(AE57,1),"R"),FF$18),"")</f>
        <v>22</v>
      </c>
      <c r="FG57" s="102">
        <f t="shared" ref="FG57" si="1975">IFERROR(IF(AND($E58="H",AF57&lt;&gt;""),IF(OR(LEFT(AF57,1)="T",LEFT(AF57,1)="S",LEFT(AF57,1)="A",LEFT(AF57,1)="F",LEFT(AF57,1)="C"),LEFT(AF57,1),"R"),FG$18),"")</f>
        <v>23</v>
      </c>
      <c r="FH57" s="102">
        <f t="shared" ref="FH57" si="1976">IFERROR(IF(AND($E58="H",AG57&lt;&gt;""),IF(OR(LEFT(AG57,1)="T",LEFT(AG57,1)="S",LEFT(AG57,1)="A",LEFT(AG57,1)="F",LEFT(AG57,1)="C"),LEFT(AG57,1),"R"),FH$18),"")</f>
        <v>24</v>
      </c>
      <c r="FI57" s="102">
        <f t="shared" ref="FI57" si="1977">IFERROR(IF(AND($E58="H",AH57&lt;&gt;""),IF(OR(LEFT(AH57,1)="T",LEFT(AH57,1)="S",LEFT(AH57,1)="A",LEFT(AH57,1)="F",LEFT(AH57,1)="C"),LEFT(AH57,1),"R"),FI$18),"")</f>
        <v>25</v>
      </c>
      <c r="FJ57" s="102">
        <f t="shared" ref="FJ57" si="1978">IFERROR(IF(AND($E58="H",AI57&lt;&gt;""),IF(OR(LEFT(AI57,1)="T",LEFT(AI57,1)="S",LEFT(AI57,1)="A",LEFT(AI57,1)="F",LEFT(AI57,1)="C"),LEFT(AI57,1),"R"),FJ$18),"")</f>
        <v>26</v>
      </c>
      <c r="FK57" s="102">
        <f t="shared" ref="FK57" si="1979">IFERROR(IF(AND($E58="H",AJ57&lt;&gt;""),IF(OR(LEFT(AJ57,1)="T",LEFT(AJ57,1)="S",LEFT(AJ57,1)="A",LEFT(AJ57,1)="F",LEFT(AJ57,1)="C"),LEFT(AJ57,1),"R"),FK$18),"")</f>
        <v>27</v>
      </c>
      <c r="FL57" s="102">
        <f t="shared" ref="FL57" si="1980">IFERROR(IF(AND($E58="H",AK57&lt;&gt;""),IF(OR(LEFT(AK57,1)="T",LEFT(AK57,1)="S",LEFT(AK57,1)="A",LEFT(AK57,1)="F",LEFT(AK57,1)="C"),LEFT(AK57,1),"R"),FL$18),"")</f>
        <v>28</v>
      </c>
      <c r="FM57" s="102">
        <f t="shared" ref="FM57" si="1981">IFERROR(IF(AND($E58="H",AL57&lt;&gt;""),IF(OR(LEFT(AL57,1)="T",LEFT(AL57,1)="S",LEFT(AL57,1)="A",LEFT(AL57,1)="F",LEFT(AL57,1)="C"),LEFT(AL57,1),"R"),FM$18),"")</f>
        <v>29</v>
      </c>
      <c r="FN57" s="102">
        <f t="shared" ref="FN57" si="1982">IFERROR(IF(AND($E58="H",AM57&lt;&gt;""),IF(OR(LEFT(AM57,1)="T",LEFT(AM57,1)="S",LEFT(AM57,1)="A",LEFT(AM57,1)="F",LEFT(AM57,1)="C"),LEFT(AM57,1),"R"),FN$18),"")</f>
        <v>30</v>
      </c>
      <c r="FO57" s="102"/>
      <c r="FP57" s="102"/>
      <c r="FQ57" s="102"/>
      <c r="FR57" s="282"/>
      <c r="FS57" s="282"/>
      <c r="FT57" s="282"/>
      <c r="FU57" s="282"/>
      <c r="FV57" s="282"/>
      <c r="FW57" s="282"/>
      <c r="FX57" s="282"/>
      <c r="FY57" s="282"/>
      <c r="FZ57" s="282"/>
      <c r="GA57" s="282"/>
      <c r="GB57" s="282"/>
      <c r="GC57" s="282"/>
      <c r="GD57" s="282"/>
      <c r="GE57" s="282"/>
      <c r="GF57" s="282"/>
      <c r="GG57" s="282"/>
      <c r="GH57" s="282"/>
      <c r="GI57" s="282"/>
      <c r="GJ57" s="282"/>
      <c r="GK57" s="282"/>
      <c r="GL57" s="282"/>
      <c r="GM57" s="282"/>
      <c r="GN57" s="282"/>
      <c r="GO57" s="282"/>
      <c r="GP57" s="282"/>
      <c r="GQ57" s="282"/>
      <c r="GR57" s="282"/>
      <c r="GS57" s="282"/>
      <c r="GT57" s="282"/>
      <c r="GU57" s="282"/>
      <c r="GV57" s="102"/>
      <c r="GW57" s="102">
        <f t="shared" ref="GW57" si="1983">COUNTIF($EK57:$FN57,GW$18)</f>
        <v>0</v>
      </c>
      <c r="GX57" s="102">
        <f t="shared" si="825"/>
        <v>0</v>
      </c>
      <c r="GY57" s="102">
        <f t="shared" si="825"/>
        <v>0</v>
      </c>
      <c r="GZ57" s="102">
        <f t="shared" si="825"/>
        <v>0</v>
      </c>
      <c r="HA57" s="102">
        <f t="shared" si="825"/>
        <v>0</v>
      </c>
      <c r="HB57" s="102">
        <f t="shared" si="825"/>
        <v>0</v>
      </c>
      <c r="HC57" s="102"/>
      <c r="HD57" s="102" t="str">
        <f t="shared" ref="HD57" si="1984">IF(AND($F57="Hybrid - Thrust + 2 connections",HD58=0,LEFT($J57,1)="C",LEFT($K57,1)="C",LEFT($L57,1)="C"),"X","")</f>
        <v/>
      </c>
      <c r="HE57" s="102"/>
      <c r="HF57" s="105"/>
      <c r="HG57" s="114"/>
      <c r="HH57" s="114"/>
      <c r="HI57" s="105" t="str">
        <f t="shared" ref="HI57" si="1985">IF(E58=3,IF(_xlfn.NUMBERVALUE(LEFT(J57,1))&gt;0,_xlfn.NUMBERVALUE(LEFT(J57,1)),""),"")</f>
        <v/>
      </c>
      <c r="HK57" s="105" t="str">
        <f t="shared" ref="HK57" si="1986">IF(OR(E58="B",E58="P"),E58,"")</f>
        <v/>
      </c>
      <c r="HL57" s="105" t="str">
        <f>IF(AND(J57&lt;&gt;"",HK57&lt;&gt;""),IF(HK57="B",MATCH(J57,AcroDD!$U$3:$AE$3,0),MATCH(J57,AcroDD!$U$30:$AC$30,0)),"")</f>
        <v/>
      </c>
      <c r="HM57" s="105" t="str">
        <f t="shared" ref="HM57" si="1987">IF(AND(K57&lt;&gt;"",HK57&lt;&gt;""),K57,"")</f>
        <v/>
      </c>
      <c r="HN57" s="105" t="str">
        <f ca="1">IF(AND(OR(HK57="B",HK57="P"),HL57&lt;&gt;"",HM57&lt;&gt;""),IF(IFERROR(IF(HK57="B",MATCH(HM57,OFFSET(AcroDD!$T$4,0,HL57,20),0),MATCH(HM57,OFFSET(AcroDD!$T$31,0,HL57,20),0)),"")&lt;&gt;"","OK","X"),"")</f>
        <v/>
      </c>
    </row>
    <row r="58" spans="1:222" ht="13.5" thickBot="1" x14ac:dyDescent="0.3">
      <c r="A58" s="44"/>
      <c r="B58" s="45"/>
      <c r="C58" s="45"/>
      <c r="D58" s="45"/>
      <c r="E58" s="202" t="str">
        <f t="shared" ref="E58" si="1988">IF(F57="Acrobatic - Pair","PA",IF(F57="Acrobatic Airborn","A",IF(F57="Acrobatic Balance","B",IF(F57="Acrobatic Combined","C",IF(F57="Acrobatic Platform","P",IF(F57="Technical Required Element",3,IF(LEFT(F57,4)="Hybr","H","")))))))</f>
        <v/>
      </c>
      <c r="F58" s="202" t="str">
        <f>IF(AND(F57="Hybrid - Thrust + 2 connections",CR57="X"),"Hybrid - Thrust",IF(OR(E58="A",E58="B",E58="C",E58="P"),"Acrobatic",""))</f>
        <v/>
      </c>
      <c r="G58" s="203"/>
      <c r="H58" s="253" t="str">
        <f t="shared" ref="H58" si="1989">IF(E58="PA",IF(OR(LEFT(J57,1)="L",LEFT(J57,1)="S"),"A-Pair-Lift",IF(OR(LEFT(J57,1)="W",LEFT(J57,1)="T"),"A-Pair-Throw",IF(LEFT(J57,1)="J","A-Pair-Jump","A-Pair"))),IF(OR(E58="A",E58="B",E58="C",E58="P"),CONCATENATE("Acro-",E58),""))</f>
        <v/>
      </c>
      <c r="I58" s="204" t="e">
        <f t="shared" ref="I58" si="1990">IF(OR(F57="Hybrid - min 4 swimmers (no DD)",LEFT(F57,5)="Trans"),0,INDEX($BY$3:$BY$9,MATCH(E58,$BX$3:$BX$9,0)))</f>
        <v>#N/A</v>
      </c>
      <c r="J58" s="216">
        <f ca="1">IFERROR(IF($H57="No DD",IF(J57="ChoHY",1,0),IF(OR(ISBLANK(J57),J57="N/A"),0,INDEX(INDIRECT(BI58),MATCH(J57,INDIRECT(BI57),0)))),0)</f>
        <v>0</v>
      </c>
      <c r="K58" s="205">
        <f t="shared" ref="K58:Y58" ca="1" si="1991">IFERROR(IF($H57="No DD",0,IF(OR(ISBLANK(K57),K57="N/A"),0,INDEX(INDIRECT(BJ58),MATCH(K57,INDIRECT(BJ57),0)))),0)</f>
        <v>0</v>
      </c>
      <c r="L58" s="205">
        <f t="shared" ca="1" si="1991"/>
        <v>0</v>
      </c>
      <c r="M58" s="205">
        <f t="shared" ca="1" si="1991"/>
        <v>0</v>
      </c>
      <c r="N58" s="205">
        <f t="shared" ca="1" si="1991"/>
        <v>0</v>
      </c>
      <c r="O58" s="205">
        <f t="shared" ca="1" si="1991"/>
        <v>0</v>
      </c>
      <c r="P58" s="205">
        <f t="shared" ca="1" si="1991"/>
        <v>0</v>
      </c>
      <c r="Q58" s="205">
        <f t="shared" ca="1" si="1991"/>
        <v>0</v>
      </c>
      <c r="R58" s="205">
        <f t="shared" ca="1" si="1991"/>
        <v>0</v>
      </c>
      <c r="S58" s="205">
        <f t="shared" ca="1" si="1991"/>
        <v>0</v>
      </c>
      <c r="T58" s="205">
        <f t="shared" ca="1" si="1991"/>
        <v>0</v>
      </c>
      <c r="U58" s="205">
        <f t="shared" ca="1" si="1991"/>
        <v>0</v>
      </c>
      <c r="V58" s="205">
        <f t="shared" ca="1" si="1991"/>
        <v>0</v>
      </c>
      <c r="W58" s="205">
        <f t="shared" ca="1" si="1991"/>
        <v>0</v>
      </c>
      <c r="X58" s="205">
        <f t="shared" ca="1" si="1991"/>
        <v>0</v>
      </c>
      <c r="Y58" s="205">
        <f t="shared" ca="1" si="1991"/>
        <v>0</v>
      </c>
      <c r="Z58" s="205">
        <f t="shared" ref="Z58" ca="1" si="1992">IFERROR(IF($H57="No DD",0,IF(OR(ISBLANK(Z57),Z57="N/A"),0,INDEX(INDIRECT(BY58),MATCH(Z57,INDIRECT(BY57),0)))),0)</f>
        <v>0</v>
      </c>
      <c r="AA58" s="205">
        <f t="shared" ref="AA58" ca="1" si="1993">IFERROR(IF($H57="No DD",0,IF(OR(ISBLANK(AA57),AA57="N/A"),0,INDEX(INDIRECT(BZ58),MATCH(AA57,INDIRECT(BZ57),0)))),0)</f>
        <v>0</v>
      </c>
      <c r="AB58" s="205">
        <f t="shared" ref="AB58" ca="1" si="1994">IFERROR(IF($H57="No DD",0,IF(OR(ISBLANK(AB57),AB57="N/A"),0,INDEX(INDIRECT(CA58),MATCH(AB57,INDIRECT(CA57),0)))),0)</f>
        <v>0</v>
      </c>
      <c r="AC58" s="205">
        <f t="shared" ref="AC58" ca="1" si="1995">IFERROR(IF($H57="No DD",0,IF(OR(ISBLANK(AC57),AC57="N/A"),0,INDEX(INDIRECT(CB58),MATCH(AC57,INDIRECT(CB57),0)))),0)</f>
        <v>0</v>
      </c>
      <c r="AD58" s="205">
        <f t="shared" ref="AD58" ca="1" si="1996">IFERROR(IF($H57="No DD",0,IF(OR(ISBLANK(AD57),AD57="N/A"),0,INDEX(INDIRECT(CC58),MATCH(AD57,INDIRECT(CC57),0)))),0)</f>
        <v>0</v>
      </c>
      <c r="AE58" s="205">
        <f t="shared" ref="AE58" ca="1" si="1997">IFERROR(IF($H57="No DD",0,IF(OR(ISBLANK(AE57),AE57="N/A"),0,INDEX(INDIRECT(CD58),MATCH(AE57,INDIRECT(CD57),0)))),0)</f>
        <v>0</v>
      </c>
      <c r="AF58" s="205">
        <f t="shared" ref="AF58" ca="1" si="1998">IFERROR(IF($H57="No DD",0,IF(OR(ISBLANK(AF57),AF57="N/A"),0,INDEX(INDIRECT(CE58),MATCH(AF57,INDIRECT(CE57),0)))),0)</f>
        <v>0</v>
      </c>
      <c r="AG58" s="205">
        <f t="shared" ref="AG58" ca="1" si="1999">IFERROR(IF($H57="No DD",0,IF(OR(ISBLANK(AG57),AG57="N/A"),0,INDEX(INDIRECT(CF58),MATCH(AG57,INDIRECT(CF57),0)))),0)</f>
        <v>0</v>
      </c>
      <c r="AH58" s="205">
        <f t="shared" ref="AH58" ca="1" si="2000">IFERROR(IF($H57="No DD",0,IF(OR(ISBLANK(AH57),AH57="N/A"),0,INDEX(INDIRECT(CG58),MATCH(AH57,INDIRECT(CG57),0)))),0)</f>
        <v>0</v>
      </c>
      <c r="AI58" s="205">
        <f t="shared" ref="AI58" ca="1" si="2001">IFERROR(IF($H57="No DD",0,IF(OR(ISBLANK(AI57),AI57="N/A"),0,INDEX(INDIRECT(CH58),MATCH(AI57,INDIRECT(CH57),0)))),0)</f>
        <v>0</v>
      </c>
      <c r="AJ58" s="205">
        <f t="shared" ref="AJ58" ca="1" si="2002">IFERROR(IF($H57="No DD",0,IF(OR(ISBLANK(AJ57),AJ57="N/A"),0,INDEX(INDIRECT(CI58),MATCH(AJ57,INDIRECT(CI57),0)))),0)</f>
        <v>0</v>
      </c>
      <c r="AK58" s="205">
        <f t="shared" ref="AK58" ca="1" si="2003">IFERROR(IF($H57="No DD",0,IF(OR(ISBLANK(AK57),AK57="N/A"),0,INDEX(INDIRECT(CJ58),MATCH(AK57,INDIRECT(CJ57),0)))),0)</f>
        <v>0</v>
      </c>
      <c r="AL58" s="205">
        <f t="shared" ref="AL58" ca="1" si="2004">IFERROR(IF($H57="No DD",0,IF(OR(ISBLANK(AL57),AL57="N/A"),0,INDEX(INDIRECT(CK58),MATCH(AL57,INDIRECT(CK57),0)))),0)</f>
        <v>0</v>
      </c>
      <c r="AM58" s="254">
        <f t="shared" ref="AM58" ca="1" si="2005">IFERROR(IF($H57="No DD",0,IF(OR(ISBLANK(AM57),AM57="N/A"),0,INDEX(INDIRECT(CL58),MATCH(AM57,INDIRECT(CL57),0)))),0)</f>
        <v>0</v>
      </c>
      <c r="AN58" s="206" t="str">
        <f>IFERROR(IF(E58="H",INDEX(HybridBonus_Value,MATCH(AN57,HybridBonus_Code,0)),""),"")</f>
        <v/>
      </c>
      <c r="AO58" s="230" t="str">
        <f t="shared" ref="AO58" si="2006">IFERROR(SUM(I58:AN58),"")</f>
        <v/>
      </c>
      <c r="AP58" s="75"/>
      <c r="AQ58" s="75"/>
      <c r="AR58" s="115"/>
      <c r="AS58" s="115"/>
      <c r="AT58" s="115"/>
      <c r="AU58" s="115"/>
      <c r="AV58" s="115"/>
      <c r="BA58" s="104"/>
      <c r="BB58" s="115"/>
      <c r="BC58" s="115"/>
      <c r="BD58" s="115"/>
      <c r="BE58" s="115"/>
      <c r="BF58" s="115"/>
      <c r="BG58" s="104"/>
      <c r="BH58" s="115"/>
      <c r="BI58" s="105" t="str">
        <f t="shared" ref="BI58" si="2007">IF($E58="H",IF($F57="Hybrid - Thrust + 2 connections","Hybrid_Mix_Req_Value","HybridDD_Value"),IF($E58=3,"TreDD_Value",IF($E58="PA","AcroPair_Value",IF(LEFT($F57,4)="Acro",CONCATENATE(BI$16,$E58,"_Value"),""))))</f>
        <v/>
      </c>
      <c r="BJ58" s="105" t="str">
        <f t="shared" ref="BJ58" si="2008">IF($E58="H",IF($F57="Hybrid - Thrust + 2 connections","Hybrid_Mix_Req_Value","HybridDD_Value"),IF($E58=3,"TreDD_Value",IF($E58="PA","AcroPair_Value",IF(LEFT($F57,4)="Acro",CONCATENATE(BJ$16,$E58,"_Value"),""))))</f>
        <v/>
      </c>
      <c r="BK58" s="105" t="str">
        <f t="shared" ref="BK58" si="2009">IF($E58="H",IF($F57="Hybrid - Thrust + 2 connections","Hybrid_Mix_Req_Value","HybridDD_Value"),IF($E58=3,"TreDD_Value",IF($E58="PA","AcroPair_Value",IF(LEFT($F57,4)="Acro",CONCATENATE(BK$16,$E58,"_Value"),""))))</f>
        <v/>
      </c>
      <c r="BL58" s="105" t="str">
        <f t="shared" ref="BL58" si="2010">IF($E58="H",IF($F57="Hybrid - Thrust + 2 connections","Hybrid_Mix_Req_Value","HybridDD_Value"),IF($E58=3,"TreDD_Value",IF($E58="PA","AcroPair_Value",IF(LEFT($F57,4)="Acro",CONCATENATE(BL$16,$E58,"_Value"),""))))</f>
        <v/>
      </c>
      <c r="BM58" s="105" t="str">
        <f t="shared" ref="BM58" si="2011">IF($E58="H",IF($F57="Hybrid - Thrust + 2 connections","Hybrid_Mix_Req_Value","HybridDD_Value"),IF($E58=3,"TreDD_Value",IF($E58="PA","AcroPair_Value",IF(LEFT($F57,4)="Acro",CONCATENATE(BM$16,$E58,"_Value"),""))))</f>
        <v/>
      </c>
      <c r="BN58" s="105" t="str">
        <f t="shared" ref="BN58" si="2012">IF($E58="H",IF($F57="Hybrid - Thrust + 2 connections","Hybrid_Mix_Req_Value","HybridDD_Value"),IF($E58=3,"TreDD_Value",IF($E58="PA","AcroPair_Value",IF(LEFT($F57,4)="Acro",CONCATENATE(BN$16,$E58,"_Value"),""))))</f>
        <v/>
      </c>
      <c r="BO58" s="105" t="str">
        <f t="shared" ref="BO58" si="2013">IF($E58="H",IF($F57="Hybrid - Thrust + 2 connections","Hybrid_Mix_Req_Value","HybridDD_Value"),IF($E58=3,"TreDD_Value",IF($E58="PA","AcroPair_Value",IF(LEFT($F57,4)="Acro",CONCATENATE(BO$16,$E58,"_Value"),""))))</f>
        <v/>
      </c>
      <c r="BP58" s="105" t="str">
        <f t="shared" ref="BP58" si="2014">IF($E58="H",IF($F57="Hybrid - Thrust + 2 connections","Hybrid_Mix_Req_Value","HybridDD_Value"),IF($E58=3,"TreDD_Value",IF($E58="PA","AcroPair_Value",IF(LEFT($F57,4)="Acro",CONCATENATE(BP$16,$E58,"_Value"),""))))</f>
        <v/>
      </c>
      <c r="BQ58" s="105" t="str">
        <f t="shared" ref="BQ58" si="2015">IF($E58="H",IF($F57="Hybrid - Thrust + 2 connections","Hybrid_Mix_Req_Value","HybridDD_Value"),IF($E58=3,"TreDD_Value",IF($E58="PA","AcroPair_Value",IF(LEFT($F57,4)="Acro",CONCATENATE(BQ$16,$E58,"_Value"),""))))</f>
        <v/>
      </c>
      <c r="BR58" s="104" t="str">
        <f t="shared" ref="BR58" si="2016">IF($E58="H",IF($F57="Hybrid - Thrust + 2 connections","Data!$BI$1:$BI$5","HybridDD_Value"),"Data!$BI$1:$BI$5")</f>
        <v>Data!$BI$1:$BI$5</v>
      </c>
      <c r="BS58" s="104" t="str">
        <f t="shared" ref="BS58" si="2017">IF($E58="H",IF($F57="Hybrid - Thrust + 2 connections","Data!$BI$1:$BI$5","HybridDD_Value"),"Data!$BI$1:$BI$5")</f>
        <v>Data!$BI$1:$BI$5</v>
      </c>
      <c r="BT58" s="104" t="str">
        <f t="shared" ref="BT58" si="2018">IF($E58="H",IF($F57="Hybrid - Thrust + 2 connections","Data!$BI$1:$BI$5","HybridDD_Value"),"Data!$BI$1:$BI$5")</f>
        <v>Data!$BI$1:$BI$5</v>
      </c>
      <c r="BU58" s="104" t="str">
        <f t="shared" ref="BU58" si="2019">IF($E58="H",IF($F57="Hybrid - Thrust + 2 connections","Data!$BI$1:$BI$5","HybridDD_Value"),"Data!$BI$1:$BI$5")</f>
        <v>Data!$BI$1:$BI$5</v>
      </c>
      <c r="BV58" s="104" t="str">
        <f t="shared" ref="BV58" si="2020">IF($E58="H",IF($F57="Hybrid - Thrust + 2 connections","Data!$BI$1:$BI$5","HybridDD_Value"),"Data!$BI$1:$BI$5")</f>
        <v>Data!$BI$1:$BI$5</v>
      </c>
      <c r="BW58" s="104" t="str">
        <f t="shared" ref="BW58" si="2021">IF($E58="H",IF($F57="Hybrid - Thrust + 2 connections","Data!$BI$1:$BI$5","HybridDD_Value"),"Data!$BI$1:$BI$5")</f>
        <v>Data!$BI$1:$BI$5</v>
      </c>
      <c r="BX58" s="104" t="str">
        <f t="shared" ref="BX58" si="2022">IF($E58="H",IF($F57="Hybrid - Thrust + 2 connections","Data!$BI$1:$BI$5","HybridDD_Value"),"Data!$BI$1:$BI$5")</f>
        <v>Data!$BI$1:$BI$5</v>
      </c>
      <c r="BY58" s="104" t="str">
        <f t="shared" ref="BY58" si="2023">IF($E58="H",IF($F57="Hybrid - Thrust + 2 connections","Data!$BI$1:$BI$5","HybridDD_Value"),"Data!$BI$1:$BI$5")</f>
        <v>Data!$BI$1:$BI$5</v>
      </c>
      <c r="BZ58" s="104" t="str">
        <f t="shared" ref="BZ58" si="2024">IF($E58="H",IF($F57="Hybrid - Thrust + 2 connections","Data!$BI$1:$BI$5","HybridDD_Value"),"Data!$BI$1:$BI$5")</f>
        <v>Data!$BI$1:$BI$5</v>
      </c>
      <c r="CA58" s="104" t="str">
        <f t="shared" ref="CA58" si="2025">IF($E58="H",IF($F57="Hybrid - Thrust + 2 connections","Data!$BI$1:$BI$5","HybridDD_Value"),"Data!$BI$1:$BI$5")</f>
        <v>Data!$BI$1:$BI$5</v>
      </c>
      <c r="CB58" s="104" t="str">
        <f t="shared" ref="CB58" si="2026">IF($E58="H",IF($F57="Hybrid - Thrust + 2 connections","Data!$BI$1:$BI$5","HybridDD_Value"),"Data!$BI$1:$BI$5")</f>
        <v>Data!$BI$1:$BI$5</v>
      </c>
      <c r="CC58" s="104" t="str">
        <f t="shared" ref="CC58" si="2027">IF($E58="H",IF($F57="Hybrid - Thrust + 2 connections","Data!$BI$1:$BI$5","HybridDD_Value"),"Data!$BI$1:$BI$5")</f>
        <v>Data!$BI$1:$BI$5</v>
      </c>
      <c r="CD58" s="104" t="str">
        <f t="shared" ref="CD58" si="2028">IF($E58="H",IF($F57="Hybrid - Thrust + 2 connections","Data!$BI$1:$BI$5","HybridDD_Value"),"Data!$BI$1:$BI$5")</f>
        <v>Data!$BI$1:$BI$5</v>
      </c>
      <c r="CE58" s="104" t="str">
        <f t="shared" ref="CE58" si="2029">IF($E58="H",IF($F57="Hybrid - Thrust + 2 connections","Data!$BI$1:$BI$5","HybridDD_Value"),"Data!$BI$1:$BI$5")</f>
        <v>Data!$BI$1:$BI$5</v>
      </c>
      <c r="CF58" s="104" t="str">
        <f t="shared" ref="CF58" si="2030">IF($E58="H",IF($F57="Hybrid - Thrust + 2 connections","Data!$BI$1:$BI$5","HybridDD_Value"),"Data!$BI$1:$BI$5")</f>
        <v>Data!$BI$1:$BI$5</v>
      </c>
      <c r="CG58" s="104" t="str">
        <f t="shared" ref="CG58" si="2031">IF($E58="H",IF($F57="Hybrid - Thrust + 2 connections","Data!$BI$1:$BI$5","HybridDD_Value"),"Data!$BI$1:$BI$5")</f>
        <v>Data!$BI$1:$BI$5</v>
      </c>
      <c r="CH58" s="104" t="str">
        <f t="shared" ref="CH58" si="2032">IF($E58="H",IF($F57="Hybrid - Thrust + 2 connections","Data!$BI$1:$BI$5","HybridDD_Value"),"Data!$BI$1:$BI$5")</f>
        <v>Data!$BI$1:$BI$5</v>
      </c>
      <c r="CI58" s="104" t="str">
        <f t="shared" ref="CI58" si="2033">IF($E58="H",IF($F57="Hybrid - Thrust + 2 connections","Data!$BI$1:$BI$5","HybridDD_Value"),"Data!$BI$1:$BI$5")</f>
        <v>Data!$BI$1:$BI$5</v>
      </c>
      <c r="CJ58" s="104" t="str">
        <f t="shared" ref="CJ58" si="2034">IF($E58="H",IF($F57="Hybrid - Thrust + 2 connections","Data!$BI$1:$BI$5","HybridDD_Value"),"Data!$BI$1:$BI$5")</f>
        <v>Data!$BI$1:$BI$5</v>
      </c>
      <c r="CK58" s="104" t="str">
        <f t="shared" ref="CK58" si="2035">IF($E58="H",IF($F57="Hybrid - Thrust + 2 connections","Data!$BI$1:$BI$5","HybridDD_Value"),"Data!$BI$1:$BI$5")</f>
        <v>Data!$BI$1:$BI$5</v>
      </c>
      <c r="CL58" s="104" t="str">
        <f t="shared" ref="CL58" si="2036">IF($E58="H",IF($F57="Hybrid - Thrust + 2 connections","Data!$BI$1:$BI$5","HybridDD_Value"),"Data!$BI$1:$BI$5")</f>
        <v>Data!$BI$1:$BI$5</v>
      </c>
      <c r="CM58" s="115"/>
      <c r="CN58" s="115"/>
      <c r="CO58" s="116" t="str">
        <f>IFERROR(IF(AND($BV$6="T",$BV$8="T",LEFT(F57,4)="Acro",AO58&gt;3),"X",IF($N$7="X",IF(AND(E58="C",AO58&gt;$CN$6),"X",IF(AND(E58="A",AO58&gt;$CN$4),"X",IF(AND(E58="B",AO58&gt;$CN$5),"X",IF(AND(E58="P",AO58&gt;$CN$7),"X","")))),"")),"")</f>
        <v/>
      </c>
      <c r="CP58" s="107"/>
      <c r="CQ58" s="105"/>
      <c r="CS58" s="105"/>
      <c r="CT58" s="105"/>
      <c r="CU58" s="105"/>
      <c r="CV58" s="105"/>
      <c r="CW58" s="105"/>
      <c r="CX58" s="105"/>
      <c r="CY58" s="105"/>
      <c r="CZ58" s="105"/>
      <c r="DD58" s="102" t="str">
        <f t="shared" si="1643"/>
        <v/>
      </c>
      <c r="DE58" s="102" t="str">
        <f t="shared" si="1644"/>
        <v/>
      </c>
      <c r="DF58" s="102" t="str">
        <f t="shared" si="1645"/>
        <v/>
      </c>
      <c r="DG58" s="102" t="str">
        <f t="shared" si="1646"/>
        <v/>
      </c>
      <c r="DO58" s="102">
        <v>40</v>
      </c>
      <c r="ED58" s="102" t="str">
        <f t="shared" si="14"/>
        <v/>
      </c>
      <c r="EE58" s="102" t="str">
        <f t="shared" si="15"/>
        <v/>
      </c>
      <c r="EI58" s="102" t="str" cm="1">
        <f t="array" ref="EI58">IFERROR(INDEX(EK58:FN58,MATCH(TRUE,INDEX((EK58:FN58&lt;&gt;""),),0)),"")</f>
        <v/>
      </c>
      <c r="EK58" s="102" t="str">
        <f t="shared" si="879"/>
        <v/>
      </c>
      <c r="EL58" s="102" t="str">
        <f t="shared" ref="EL58:EZ58" si="2037">IF(G57="Hybrid - Thrust + 2 connections",IF(COUNTIF($EK57:$FD57,EL57)&gt;1,EL57,""),IF(COUNTIF($EK57:$FD57,EL57)&gt;5,EL57,""))</f>
        <v/>
      </c>
      <c r="EM58" s="102" t="str">
        <f t="shared" si="2037"/>
        <v/>
      </c>
      <c r="EN58" s="102" t="str">
        <f t="shared" si="2037"/>
        <v/>
      </c>
      <c r="EO58" s="102" t="str">
        <f t="shared" si="2037"/>
        <v/>
      </c>
      <c r="EP58" s="102" t="str">
        <f t="shared" si="2037"/>
        <v/>
      </c>
      <c r="EQ58" s="102" t="str">
        <f t="shared" si="2037"/>
        <v/>
      </c>
      <c r="ER58" s="102" t="str">
        <f t="shared" si="2037"/>
        <v/>
      </c>
      <c r="ES58" s="102" t="str">
        <f t="shared" si="2037"/>
        <v/>
      </c>
      <c r="ET58" s="102" t="str">
        <f t="shared" si="2037"/>
        <v/>
      </c>
      <c r="EU58" s="102" t="str">
        <f t="shared" si="2037"/>
        <v/>
      </c>
      <c r="EV58" s="102" t="str">
        <f t="shared" si="2037"/>
        <v/>
      </c>
      <c r="EW58" s="102" t="str">
        <f t="shared" si="2037"/>
        <v/>
      </c>
      <c r="EX58" s="102" t="str">
        <f t="shared" si="2037"/>
        <v/>
      </c>
      <c r="EY58" s="102" t="str">
        <f t="shared" si="2037"/>
        <v/>
      </c>
      <c r="EZ58" s="102" t="str">
        <f t="shared" si="2037"/>
        <v/>
      </c>
      <c r="FA58" s="102" t="str">
        <f t="shared" ref="FA58" si="2038">IF(V57="Hybrid - Thrust + 2 connections",IF(COUNTIF($EK57:$FD57,FA57)&gt;1,FA57,""),IF(COUNTIF($EK57:$FD57,FA57)&gt;5,FA57,""))</f>
        <v/>
      </c>
      <c r="FB58" s="102" t="str">
        <f t="shared" ref="FB58" si="2039">IF(W57="Hybrid - Thrust + 2 connections",IF(COUNTIF($EK57:$FD57,FB57)&gt;1,FB57,""),IF(COUNTIF($EK57:$FD57,FB57)&gt;5,FB57,""))</f>
        <v/>
      </c>
      <c r="FC58" s="102" t="str">
        <f t="shared" ref="FC58" si="2040">IF(X57="Hybrid - Thrust + 2 connections",IF(COUNTIF($EK57:$FD57,FC57)&gt;1,FC57,""),IF(COUNTIF($EK57:$FD57,FC57)&gt;5,FC57,""))</f>
        <v/>
      </c>
      <c r="FD58" s="102" t="str">
        <f t="shared" ref="FD58" si="2041">IF(Y57="Hybrid - Thrust + 2 connections",IF(COUNTIF($EK57:$FD57,FD57)&gt;1,FD57,""),IF(COUNTIF($EK57:$FD57,FD57)&gt;5,FD57,""))</f>
        <v/>
      </c>
      <c r="FE58" s="102" t="str">
        <f t="shared" ref="FE58" si="2042">IF(Z57="Hybrid - Thrust + 2 connections",IF(COUNTIF($EK57:$FD57,FE57)&gt;1,FE57,""),IF(COUNTIF($EK57:$FD57,FE57)&gt;5,FE57,""))</f>
        <v/>
      </c>
      <c r="FF58" s="102" t="str">
        <f t="shared" ref="FF58" si="2043">IF(AA57="Hybrid - Thrust + 2 connections",IF(COUNTIF($EK57:$FD57,FF57)&gt;1,FF57,""),IF(COUNTIF($EK57:$FD57,FF57)&gt;5,FF57,""))</f>
        <v/>
      </c>
      <c r="FG58" s="102" t="str">
        <f t="shared" ref="FG58" si="2044">IF(AB57="Hybrid - Thrust + 2 connections",IF(COUNTIF($EK57:$FD57,FG57)&gt;1,FG57,""),IF(COUNTIF($EK57:$FD57,FG57)&gt;5,FG57,""))</f>
        <v/>
      </c>
      <c r="FH58" s="102" t="str">
        <f t="shared" ref="FH58" si="2045">IF(AC57="Hybrid - Thrust + 2 connections",IF(COUNTIF($EK57:$FD57,FH57)&gt;1,FH57,""),IF(COUNTIF($EK57:$FD57,FH57)&gt;5,FH57,""))</f>
        <v/>
      </c>
      <c r="FI58" s="102" t="str">
        <f t="shared" ref="FI58" si="2046">IF(AD57="Hybrid - Thrust + 2 connections",IF(COUNTIF($EK57:$FD57,FI57)&gt;1,FI57,""),IF(COUNTIF($EK57:$FD57,FI57)&gt;5,FI57,""))</f>
        <v/>
      </c>
      <c r="FJ58" s="102" t="str">
        <f t="shared" ref="FJ58" si="2047">IF(AE57="Hybrid - Thrust + 2 connections",IF(COUNTIF($EK57:$FD57,FJ57)&gt;1,FJ57,""),IF(COUNTIF($EK57:$FD57,FJ57)&gt;5,FJ57,""))</f>
        <v/>
      </c>
      <c r="FK58" s="102" t="str">
        <f t="shared" ref="FK58" si="2048">IF(AF57="Hybrid - Thrust + 2 connections",IF(COUNTIF($EK57:$FD57,FK57)&gt;1,FK57,""),IF(COUNTIF($EK57:$FD57,FK57)&gt;5,FK57,""))</f>
        <v/>
      </c>
      <c r="FL58" s="102" t="str">
        <f t="shared" ref="FL58" si="2049">IF(AG57="Hybrid - Thrust + 2 connections",IF(COUNTIF($EK57:$FD57,FL57)&gt;1,FL57,""),IF(COUNTIF($EK57:$FD57,FL57)&gt;5,FL57,""))</f>
        <v/>
      </c>
      <c r="FM58" s="102" t="str">
        <f t="shared" ref="FM58" si="2050">IF(AH57="Hybrid - Thrust + 2 connections",IF(COUNTIF($EK57:$FD57,FM57)&gt;1,FM57,""),IF(COUNTIF($EK57:$FD57,FM57)&gt;5,FM57,""))</f>
        <v/>
      </c>
      <c r="FN58" s="102" t="str">
        <f t="shared" ref="FN58" si="2051">IF(AI57="Hybrid - Thrust + 2 connections",IF(COUNTIF($EK57:$FD57,FN57)&gt;1,FN57,""),IF(COUNTIF($EK57:$FD57,FN57)&gt;5,FN57,""))</f>
        <v/>
      </c>
      <c r="FO58" s="102">
        <f t="shared" ref="FO58" si="2052">FO56+5</f>
        <v>95</v>
      </c>
      <c r="FP58" s="102" t="str">
        <f t="shared" ref="FP58" ca="1" si="2053">OFFSET($FP$75,FO58,0)</f>
        <v/>
      </c>
      <c r="FQ58" s="102" t="str">
        <f t="shared" ref="FQ58" ca="1" si="2054">OFFSET($FQ$75,FO58,0)</f>
        <v/>
      </c>
      <c r="FR58" s="282"/>
      <c r="FS58" s="282"/>
      <c r="FT58" s="282"/>
      <c r="FU58" s="282"/>
      <c r="FV58" s="282"/>
      <c r="FW58" s="282"/>
      <c r="FX58" s="282"/>
      <c r="FY58" s="282"/>
      <c r="FZ58" s="282"/>
      <c r="GA58" s="282"/>
      <c r="GB58" s="282"/>
      <c r="GC58" s="282"/>
      <c r="GD58" s="282"/>
      <c r="GE58" s="282"/>
      <c r="GF58" s="282"/>
      <c r="GG58" s="282"/>
      <c r="GH58" s="282"/>
      <c r="GI58" s="282"/>
      <c r="GJ58" s="282"/>
      <c r="GK58" s="282"/>
      <c r="GL58" s="282"/>
      <c r="GM58" s="282"/>
      <c r="GN58" s="282"/>
      <c r="GO58" s="282"/>
      <c r="GP58" s="282"/>
      <c r="GQ58" s="282"/>
      <c r="GR58" s="282"/>
      <c r="GS58" s="282"/>
      <c r="GT58" s="282"/>
      <c r="GU58" s="282"/>
      <c r="GV58" s="102"/>
      <c r="GW58" s="102"/>
      <c r="GX58" s="102"/>
      <c r="GY58" s="102"/>
      <c r="GZ58" s="102"/>
      <c r="HA58" s="102"/>
      <c r="HB58" s="102"/>
      <c r="HC58" s="102"/>
      <c r="HD58" s="102" t="str">
        <f>IF($F57="Hybrid - Thrust + 2 connections",COUNTBLANK(J57:L57),"")</f>
        <v/>
      </c>
      <c r="HE58" s="102"/>
      <c r="HF58" s="105"/>
      <c r="HG58" s="105"/>
      <c r="HH58" s="105"/>
      <c r="HI58" s="105"/>
    </row>
    <row r="59" spans="1:222" hidden="1" x14ac:dyDescent="0.25">
      <c r="A59" s="39" t="str">
        <f>IF(AND(E57="",A57&lt;&gt;""),IF(CP57=$CP$18,"",IF(C57&lt;&gt;"",IF(D57=59,MINUTE(CP57)+1,MINUTE(CP57)),"")),"")</f>
        <v/>
      </c>
      <c r="B59" s="40" t="str">
        <f>IF(AND(E57="",B57&lt;&gt;""),IF(CP57=$CP$18,"",IF(C57&lt;&gt;"",IF(D57=59,0,SECOND(CP57)+1),"")),"")</f>
        <v/>
      </c>
      <c r="C59" s="50"/>
      <c r="D59" s="50"/>
      <c r="E59" s="9"/>
      <c r="F59" s="51"/>
      <c r="G59" s="42" t="str">
        <f>IF(F59&lt;&gt;"",IF(OR(F59="Transition",F59="Transition - Surface Connection"),0,MAX($G$19:G58)+1),"")</f>
        <v/>
      </c>
      <c r="H59" s="56" t="str">
        <f t="shared" ref="H59" si="2055">IFERROR(IF(E60="3","",IF(OR(F59="Hybrid - min 4 swimmers (no DD)",LEFT(F59,5)="Trans"),"No DD",CONCATENATE("BM = ",I60))),"")</f>
        <v/>
      </c>
      <c r="I59" s="57"/>
      <c r="J59" s="124"/>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79"/>
      <c r="AO59" s="43"/>
      <c r="AP59" s="74"/>
      <c r="AQ59" s="74"/>
      <c r="AR59" s="104"/>
      <c r="AS59" s="104"/>
      <c r="AT59" s="104"/>
      <c r="AU59" s="104"/>
      <c r="AV59" s="104"/>
      <c r="AW59" s="104"/>
      <c r="AX59" s="104"/>
      <c r="AY59" s="104"/>
      <c r="AZ59" s="104"/>
      <c r="BA59" s="104"/>
      <c r="BB59" s="104"/>
      <c r="BC59" s="104"/>
      <c r="BD59" s="104"/>
      <c r="BE59" s="104"/>
      <c r="BF59" s="104"/>
      <c r="BG59" s="104" t="str">
        <f>IFERROR(IF(F59&lt;&gt;"",INDEX(Parts_Active,MATCH(F59,Parts_Active,0)),""),"No")</f>
        <v/>
      </c>
      <c r="BH59" s="104"/>
      <c r="BI59" s="104" t="str">
        <f t="shared" ref="BI59" si="2056">IF($E60="H",IF($F59="Hybrid - Thrust + 2 connections","Hybrid_Mix_Req","HybridDD_Code"),IF($E60=3,"TreDD_Code",IF($E60="PA","AcroPair_Code",IF(LEFT($F59,4)="Acro",CONCATENATE(BI$16,$E60,"_Code"),"Data!$BI$1:$BI$5"))))</f>
        <v>Data!$BI$1:$BI$5</v>
      </c>
      <c r="BJ59" s="104" t="str">
        <f t="shared" ref="BJ59" si="2057">IF($E60="H",IF($F59="Hybrid - Thrust + 2 connections","Hybrid_Mix_Req","HybridDD_Code"),IF($E60=3,"TreDD_Code",IF($E60="PA","AcroPair_Code",IF(LEFT($F59,4)="Acro",CONCATENATE(BJ$16,$E60,"_Code"),"Data!$BI$1:$BI$5"))))</f>
        <v>Data!$BI$1:$BI$5</v>
      </c>
      <c r="BK59" s="104" t="str">
        <f t="shared" ref="BK59" si="2058">IF($E60="H",IF($F59="Hybrid - Thrust + 2 connections","Hybrid_Mix_Req","HybridDD_Code"),IF($E60=3,"TreDD_Code",IF($E60="PA","AcroPair_Code",IF(LEFT($F59,4)="Acro",CONCATENATE(BK$16,$E60,"_Code"),"Data!$BI$1:$BI$5"))))</f>
        <v>Data!$BI$1:$BI$5</v>
      </c>
      <c r="BL59" s="104" t="str">
        <f t="shared" ref="BL59" si="2059">IF($E60="H",IF($F59="Hybrid - Thrust + 2 connections","Data!$BI$1:$BI$5","HybridDD_Code"),IF($E60=3,"Data!$BI$1:$BI$5",IF(LEFT($F59,4)="Acro",CONCATENATE(BL$16,$E60,"_Code"),IF($E60="PA","","Data!$BI$1:$BI$5"))))</f>
        <v>Data!$BI$1:$BI$5</v>
      </c>
      <c r="BM59" s="104" t="str">
        <f t="shared" ref="BM59" si="2060">IF($E60="H",IF($F59="Hybrid - Thrust + 2 connections","Data!$BI$1:$BI$5","HybridDD_Code"),IF($E60=3,"Data!$BI$1:$BI$5",IF(LEFT($F59,4)="Acro",CONCATENATE(BM$16,$E60,"_Code"),IF($E60="PA","","Data!$BI$1:$BI$5"))))</f>
        <v>Data!$BI$1:$BI$5</v>
      </c>
      <c r="BN59" s="104" t="str">
        <f t="shared" ref="BN59" si="2061">IF($E60="H",IF($F59="Hybrid - Thrust + 2 connections","Data!$BI$1:$BI$5","HybridDD_Code"),IF($E60=3,"Data!$BI$1:$BI$5",IF(LEFT($F59,4)="Acro",CONCATENATE(BN$16,$E60,"_Code"),IF($E60="PA","","Data!$BI$1:$BI$5"))))</f>
        <v>Data!$BI$1:$BI$5</v>
      </c>
      <c r="BO59" s="104" t="str">
        <f t="shared" ref="BO59" si="2062">IF($E60="H",IF($F59="Hybrid - Thrust + 2 connections","Data!$BI$1:$BI$5","HybridDD_Code"),IF($E60=3,"Data!$BI$1:$BI$5",IF(LEFT($F59,4)="Acro",CONCATENATE(BO$16,$E60,"_Code"),IF($E60="PA","","Data!$BI$1:$BI$5"))))</f>
        <v>Data!$BI$1:$BI$5</v>
      </c>
      <c r="BP59" s="104" t="str">
        <f t="shared" ref="BP59" si="2063">IF($E60="H",IF($F59="Hybrid - Thrust + 2 connections","Data!$BI$1:$BI$5","HybridDD_Code"),IF($E60=3,"Data!$BI$1:$BI$5",IF(LEFT($F59,4)="Acro",CONCATENATE(BP$16,$E60,"_Code"),IF($E60="PA","","Data!$BI$1:$BI$5"))))</f>
        <v>Data!$BI$1:$BI$5</v>
      </c>
      <c r="BQ59" s="104" t="str">
        <f t="shared" ref="BQ59" si="2064">IF($E60="H",IF($F59="Hybrid - Thrust + 2 connections","Data!$BI$1:$BI$5","HybridDD_Code"),IF($E60=3,"Data!$BI$1:$BI$5",IF(LEFT($F59,4)="Acro",CONCATENATE(BQ$16,$E60,"_Code"),IF($E60="PA","","Data!$BI$1:$BI$5"))))</f>
        <v>Data!$BI$1:$BI$5</v>
      </c>
      <c r="BR59" s="104" t="str">
        <f t="shared" ref="BR59" si="2065">IF($E60="H",IF($F59="Hybrid - Thrust + 2 connections","Data!$BI$1:$BI$5","HybridDD_Code"),"Data!$BI$1:$BI$5")</f>
        <v>Data!$BI$1:$BI$5</v>
      </c>
      <c r="BS59" s="104" t="str">
        <f t="shared" ref="BS59:CB68" si="2066">$BR59</f>
        <v>Data!$BI$1:$BI$5</v>
      </c>
      <c r="BT59" s="104" t="str">
        <f t="shared" si="2066"/>
        <v>Data!$BI$1:$BI$5</v>
      </c>
      <c r="BU59" s="104" t="str">
        <f t="shared" si="2066"/>
        <v>Data!$BI$1:$BI$5</v>
      </c>
      <c r="BV59" s="104" t="str">
        <f t="shared" si="2066"/>
        <v>Data!$BI$1:$BI$5</v>
      </c>
      <c r="BW59" s="104" t="str">
        <f t="shared" si="2066"/>
        <v>Data!$BI$1:$BI$5</v>
      </c>
      <c r="BX59" s="104" t="str">
        <f t="shared" si="2066"/>
        <v>Data!$BI$1:$BI$5</v>
      </c>
      <c r="BY59" s="104" t="str">
        <f t="shared" si="2066"/>
        <v>Data!$BI$1:$BI$5</v>
      </c>
      <c r="BZ59" s="104" t="str">
        <f t="shared" si="2066"/>
        <v>Data!$BI$1:$BI$5</v>
      </c>
      <c r="CA59" s="104" t="str">
        <f t="shared" si="2066"/>
        <v>Data!$BI$1:$BI$5</v>
      </c>
      <c r="CB59" s="104" t="str">
        <f t="shared" si="2066"/>
        <v>Data!$BI$1:$BI$5</v>
      </c>
      <c r="CC59" s="104"/>
      <c r="CD59" s="104"/>
      <c r="CE59" s="104"/>
      <c r="CF59" s="104"/>
      <c r="CG59" s="104"/>
      <c r="CH59" s="104"/>
      <c r="CI59" s="104"/>
      <c r="CJ59" s="104"/>
      <c r="CK59" s="104"/>
      <c r="CL59" s="104"/>
      <c r="CM59" s="104"/>
      <c r="CN59" s="104"/>
      <c r="CO59" s="107" t="str">
        <f>IFERROR(TIME(0,A59,B59),"")</f>
        <v/>
      </c>
      <c r="CP59" s="108">
        <f>IFERROR(TIME(0,C59,D59),"")</f>
        <v>0</v>
      </c>
      <c r="CQ59" s="108" t="str">
        <f t="shared" ref="CQ59" si="2067">IF(CP59&gt;$D$12,"X","")</f>
        <v/>
      </c>
      <c r="CR59" s="102" t="str">
        <f>IF(AND(F59="Hybrid - Thrust + 2 connections",OR(LEFT(J59,1)="T",LEFT(K59,1)="T",LEFT(L59,1)="T",LEFT(PB59,1)="T",LEFT(M59,1)="T",LEFT(N59,1)="T",LEFT(O59,1)="T",LEFT(P59,1)="T",LEFT(Q59,1)="T",LEFT(R59,1)="T",LEFT(S59,1)="T",LEFT(T59,1)="T",LEFT(U59,1)="T",LEFT(V59,1)="T",LEFT(W59,1)="T",LEFT(X59,1)="T",LEFT(AK59,1)="T",LEFT(AL59,1)="T",LEFT(AM59,1)="T")),IF(OR(LEN(J59)=2,LEN(K59)=2,LEN(L59)=2,LEN(M59)=2,LEN(N59)=2,LEN(O59)=2,LEN(P59)=2,LEN(Q59)=2,LEN(R59)=2,LEN(S59)=2,LEN(T59)=2,LEN(U59)=2,LEN(V59)=2,LEN(W59)=2,LEN(X59)=2,LEN(Y59)=2,LEN(Z59)=2,LEN(AK59)=2,LEN(AL59)=2,LEN(AM59)=2),"X",""),"")</f>
        <v/>
      </c>
      <c r="CS59" s="105"/>
      <c r="CT59" s="102" t="str">
        <f>IF(LEFT(F59,4)="Acro",IF(AND(N59&lt;&gt;"",M59=RIGHT(N59,2)),"X","OK"),"")</f>
        <v/>
      </c>
      <c r="CU59" s="104" t="str">
        <f t="shared" ref="CU59:DB59" si="2068">IFERROR(IF(AND(LEFT($F59,4)="Acro",INDEX(Requ_App,MATCH(BI59,Requ_Code,0))="No"),"X",""),"")</f>
        <v/>
      </c>
      <c r="CV59" s="104" t="str">
        <f t="shared" si="2068"/>
        <v/>
      </c>
      <c r="CW59" s="104" t="str">
        <f t="shared" si="2068"/>
        <v/>
      </c>
      <c r="CX59" s="104" t="str">
        <f t="shared" si="2068"/>
        <v/>
      </c>
      <c r="CY59" s="104" t="str">
        <f t="shared" si="2068"/>
        <v/>
      </c>
      <c r="CZ59" s="104" t="str">
        <f t="shared" si="2068"/>
        <v/>
      </c>
      <c r="DA59" s="104" t="str">
        <f t="shared" si="2068"/>
        <v/>
      </c>
      <c r="DB59" s="104" t="str">
        <f t="shared" si="2068"/>
        <v/>
      </c>
      <c r="DC59" s="104" t="str">
        <f>IFERROR(IF(AND(LEFT($F59,4)="Acro",INDEX(Requ_App,MATCH(BP59,Requ_Code,0))="No"),"X",""),"")</f>
        <v/>
      </c>
      <c r="DD59" s="102" t="str">
        <f t="shared" si="1643"/>
        <v/>
      </c>
      <c r="DE59" s="102" t="str">
        <f t="shared" si="1644"/>
        <v/>
      </c>
      <c r="DF59" s="102" t="str">
        <f t="shared" si="1645"/>
        <v/>
      </c>
      <c r="DG59" s="102" t="str">
        <f t="shared" si="1646"/>
        <v/>
      </c>
      <c r="DK59" s="102">
        <f>IF(AND(E60="A",OR(Q59="Grip",Q59="Conn",Q59="Catch")),"A1",IF(AND(E60="A",OR(Q59="Hula",Q59="RetSq",Q59="RetPa")),"A2",IF(AND(E60="B",OR(Q59="Twirl",Q59="RotF")),"B1",IF(AND(E60="B",OR(Q59="Moon",Q59="Mov")),"B2",IF(AND(E60="B",Q59="Hold"),"B3",IF(AND(E60="P",OR(Q59="Porp",Q59="Spich")),"P1",IF(AND(E60="P",OR(Q59="Diva",Q59="Ps1",Q59="Ps1t0.5",Q59="Ps1op",Q59="Ps1t0,5o",Q59="Ps1t1",Q59="CH+")),"P2",IF(AND(E60="P",OR(Q59="Spider",Q59="Climb")),"P3",IF(AND(E60="P",OR(Q59="Fall",Q59="FTurn")),"P4",IF(AND(E60="C",OR(Q59="Jump",Q59="Jump&gt;",Q59="On1Foot",Q59="1F&gt;1F")),"C1",IF(AND(E60="C",OR(Q59="Run",Q59="BRun")),"C2",1)))))))))))</f>
        <v>1</v>
      </c>
      <c r="DL59" s="102">
        <f>IF(AND(E60="A",OR(R59="Grip",R59="Conn",R59="Catch")),"A1",IF(AND(E60="A",OR(R59="Hula",R59="RetSq",R59="RetPa")),"A2",IF(AND(E60="B",OR(R59="Twirl",R59="RotF")),"B1",IF(AND(E60="B",OR(R59="Moon",R59="Mov")),"B3",IF(AND(E60="B",R59="Hold"),"B2",IF(AND(E60="P",OR(R59="Porp",R59="Spich")),"P1",IF(AND(E60="P",OR(R59="Diva",R59="Ps1",R59="Ps1t0.5",R59="Ps1op",R59="Ps1t0,5o",R59="Ps1t1",R59="CH+")),"P2",IF(AND(E60="P",OR(R59="Spider",R59="Climb")),"P3",IF(AND(E60="P",OR(R59="Fall",R59="FTurn")),"P4",IF(AND(E60="C",OR(R59="Jump",R59="Jump&gt;",R59="On1Foot",R59="1F&gt;1F")),"C1",IF(AND(E60="C",OR(R59="Run",R59="BRun")),"C2",2)))))))))))</f>
        <v>2</v>
      </c>
      <c r="DM59" s="102" t="str">
        <f>IF(AND(LEFT(F59,4)="Acro",Q59&lt;&gt;"",OR(Q59=R59,DK59=DL59)),IF(R59="C-Roll","","X"),IF(OR(AND(E60="A",Q59="Catch",R59&lt;&gt;"Dbl"),AND(E60="A",R59="Catch",Q59&lt;&gt;"Dbl")),"X",""))</f>
        <v/>
      </c>
      <c r="DN59" s="102" t="str">
        <f>IF(E60="PA",J59,"")</f>
        <v/>
      </c>
      <c r="DO59" s="102">
        <v>41</v>
      </c>
      <c r="DQ59" s="102" t="str">
        <f>IF(AND($E60="A",COUNTIF($DZ$19:$EA$68,DZ59)&gt;1),DZ59,"")</f>
        <v/>
      </c>
      <c r="DR59" s="102" t="str">
        <f>IF(AND($E60="A",COUNTIF($DZ$19:$EA$68,EA59)&gt;1),EA59,"")</f>
        <v/>
      </c>
      <c r="DS59" s="102" t="str">
        <f ca="1">IF(AND($E60="B",COUNTIF($J$19:$J$68,J59)&gt;1),J59,"")</f>
        <v/>
      </c>
      <c r="DT59" s="102" t="str">
        <f ca="1">IF(AND($E60="B",COUNTIF($K$19:$K$68,K59)&gt;1),K59,"")</f>
        <v/>
      </c>
      <c r="DU59" s="102" t="str">
        <f ca="1">IF(AND($E60="C",COUNTIF($J$19:$J$68,J59)&gt;1),J59,"")</f>
        <v/>
      </c>
      <c r="DV59" s="102" t="str">
        <f ca="1">IF(AND($E60="P",COUNTIF($J$19:$J$68,J59)&gt;1),J59,"")</f>
        <v/>
      </c>
      <c r="DW59" s="102" t="str">
        <f ca="1">IF(AND($E60="P",COUNTIF($K$19:$K$68,K59)&gt;1),K59,"")</f>
        <v/>
      </c>
      <c r="DX59" s="102" t="str">
        <f>IF(AND($E60="P",COUNTIF($DZ$19:$EA$68,DZ59)&gt;1),DZ59,"")</f>
        <v/>
      </c>
      <c r="DY59" s="102" t="str">
        <f>IF(AND($E60="P",COUNTIF($DZ$19:$EA$68,EA59)&gt;1),EA59,"")</f>
        <v/>
      </c>
      <c r="DZ59" s="102" t="str">
        <f>IFERROR(IF(OR(E60="A",E60="P"),M59,""),"")</f>
        <v/>
      </c>
      <c r="EA59" s="102" t="str">
        <f>IFERROR(IF(OR(E60="A",E60="P"),RIGHT(N59,2),""),"")</f>
        <v/>
      </c>
      <c r="EF59" s="102" t="str">
        <f>IF(AND($F$8="Open Team Acrobatic",LEFT(F59,4)="Acro"),E60,"")</f>
        <v/>
      </c>
      <c r="EG59" s="102" t="str">
        <f t="shared" ref="EG59" si="2069">IFERROR(IF(HLOOKUP(EF59,$DQ$12:$DT$13,2,FALSE)&gt;2,"X",""),"")</f>
        <v/>
      </c>
      <c r="EI59" s="102" t="str">
        <f>IF(OR(AND(F59="Hybrid - Thrust + 2 connections",EI60="T"),AND(F59="Hybrid - Free",EI60&lt;&gt;"")),"X","")</f>
        <v/>
      </c>
      <c r="EK59" s="102">
        <f t="shared" ref="EK59:FA59" si="2070">IFERROR(IF(AND($E60="H",J59&lt;&gt;""),IF(OR(LEFT(J59,1)="T",LEFT(J59,1)="S",LEFT(J59,1)="A",LEFT(J59,1)="F",LEFT(J59,1)="C"),LEFT(J59,1),"R"),EK$18),"")</f>
        <v>1</v>
      </c>
      <c r="EL59" s="102">
        <f t="shared" si="2070"/>
        <v>2</v>
      </c>
      <c r="EM59" s="102">
        <f t="shared" si="2070"/>
        <v>3</v>
      </c>
      <c r="EN59" s="102">
        <f t="shared" si="2070"/>
        <v>4</v>
      </c>
      <c r="EO59" s="102">
        <f t="shared" si="2070"/>
        <v>5</v>
      </c>
      <c r="EP59" s="102">
        <f t="shared" si="2070"/>
        <v>6</v>
      </c>
      <c r="EQ59" s="102">
        <f t="shared" si="2070"/>
        <v>7</v>
      </c>
      <c r="ER59" s="102">
        <f t="shared" si="2070"/>
        <v>8</v>
      </c>
      <c r="ES59" s="102">
        <f t="shared" si="2070"/>
        <v>9</v>
      </c>
      <c r="ET59" s="102">
        <f t="shared" si="2070"/>
        <v>10</v>
      </c>
      <c r="EU59" s="102">
        <f t="shared" si="2070"/>
        <v>11</v>
      </c>
      <c r="EV59" s="102">
        <f t="shared" si="2070"/>
        <v>12</v>
      </c>
      <c r="EW59" s="102">
        <f t="shared" si="2070"/>
        <v>13</v>
      </c>
      <c r="EX59" s="102">
        <f t="shared" si="2070"/>
        <v>14</v>
      </c>
      <c r="EY59" s="102">
        <f t="shared" si="2070"/>
        <v>15</v>
      </c>
      <c r="EZ59" s="102">
        <f t="shared" si="2070"/>
        <v>16</v>
      </c>
      <c r="FA59" s="102">
        <f t="shared" si="2070"/>
        <v>17</v>
      </c>
      <c r="FB59" s="102">
        <f t="shared" ref="FB59" si="2071">IFERROR(IF(AND($E60="H",AK59&lt;&gt;""),IF(OR(LEFT(AK59,1)="T",LEFT(AK59,1)="S",LEFT(AK59,1)="A",LEFT(AK59,1)="F",LEFT(AK59,1)="C"),LEFT(AK59,1),"R"),FB$18),"")</f>
        <v>18</v>
      </c>
      <c r="FC59" s="102">
        <f t="shared" ref="FC59" si="2072">IFERROR(IF(AND($E60="H",AL59&lt;&gt;""),IF(OR(LEFT(AL59,1)="T",LEFT(AL59,1)="S",LEFT(AL59,1)="A",LEFT(AL59,1)="F",LEFT(AL59,1)="C"),LEFT(AL59,1),"R"),FC$18),"")</f>
        <v>19</v>
      </c>
      <c r="FD59" s="102">
        <f t="shared" ref="FD59" si="2073">IFERROR(IF(AND($E60="H",AM59&lt;&gt;""),IF(OR(LEFT(AM59,1)="T",LEFT(AM59,1)="S",LEFT(AM59,1)="A",LEFT(AM59,1)="F",LEFT(AM59,1)="C"),LEFT(AM59,1),"R"),FD$18),"")</f>
        <v>20</v>
      </c>
      <c r="FE59" s="102"/>
      <c r="FF59" s="102"/>
      <c r="FG59" s="102"/>
      <c r="FH59" s="102"/>
      <c r="FI59" s="102"/>
      <c r="FJ59" s="102"/>
      <c r="FK59" s="102"/>
      <c r="FL59" s="102"/>
      <c r="FM59" s="102"/>
      <c r="FN59" s="102"/>
      <c r="FO59" s="102"/>
      <c r="FP59" s="102"/>
      <c r="FQ59" s="102"/>
      <c r="FR59" s="102">
        <f t="shared" ref="FR59:GH59" si="2074">IFERROR(IF(J59&lt;&gt;"",UPPER(J59),FR$18),FR$18)</f>
        <v>1</v>
      </c>
      <c r="FS59" s="102">
        <f t="shared" si="2074"/>
        <v>2</v>
      </c>
      <c r="FT59" s="102">
        <f t="shared" si="2074"/>
        <v>3</v>
      </c>
      <c r="FU59" s="102">
        <f t="shared" si="2074"/>
        <v>4</v>
      </c>
      <c r="FV59" s="102">
        <f t="shared" si="2074"/>
        <v>5</v>
      </c>
      <c r="FW59" s="102">
        <f t="shared" si="2074"/>
        <v>6</v>
      </c>
      <c r="FX59" s="102">
        <f t="shared" si="2074"/>
        <v>7</v>
      </c>
      <c r="FY59" s="102">
        <f t="shared" si="2074"/>
        <v>8</v>
      </c>
      <c r="FZ59" s="102">
        <f t="shared" si="2074"/>
        <v>9</v>
      </c>
      <c r="GA59" s="102">
        <f t="shared" si="2074"/>
        <v>10</v>
      </c>
      <c r="GB59" s="102">
        <f t="shared" si="2074"/>
        <v>11</v>
      </c>
      <c r="GC59" s="102">
        <f t="shared" si="2074"/>
        <v>12</v>
      </c>
      <c r="GD59" s="102">
        <f t="shared" si="2074"/>
        <v>13</v>
      </c>
      <c r="GE59" s="102">
        <f t="shared" si="2074"/>
        <v>14</v>
      </c>
      <c r="GF59" s="102">
        <f t="shared" si="2074"/>
        <v>15</v>
      </c>
      <c r="GG59" s="102">
        <f t="shared" si="2074"/>
        <v>16</v>
      </c>
      <c r="GH59" s="102">
        <f t="shared" si="2074"/>
        <v>17</v>
      </c>
      <c r="GI59" s="102">
        <f>IFERROR(IF(AK59&lt;&gt;"",UPPER(AK59),GI$18),GI$18)</f>
        <v>18</v>
      </c>
      <c r="GJ59" s="102">
        <f>IFERROR(IF(AL59&lt;&gt;"",UPPER(AL59),GJ$18),GJ$18)</f>
        <v>19</v>
      </c>
      <c r="GK59" s="102">
        <f>IFERROR(IF(AM59&lt;&gt;"",UPPER(AM59),GK$18),GK$18)</f>
        <v>20</v>
      </c>
      <c r="GL59" s="102"/>
      <c r="GM59" s="102"/>
      <c r="GN59" s="102"/>
      <c r="GO59" s="102"/>
      <c r="GP59" s="102"/>
      <c r="GQ59" s="102"/>
      <c r="GR59" s="102"/>
      <c r="GS59" s="102"/>
      <c r="GT59" s="102"/>
      <c r="GU59" s="102"/>
      <c r="GV59" s="102"/>
      <c r="GW59" s="102">
        <f t="shared" ref="GW59:HB59" si="2075">COUNTIF($EK59:$FD59,GW$18)</f>
        <v>0</v>
      </c>
      <c r="GX59" s="102">
        <f t="shared" si="2075"/>
        <v>0</v>
      </c>
      <c r="GY59" s="102">
        <f t="shared" si="2075"/>
        <v>0</v>
      </c>
      <c r="GZ59" s="102">
        <f t="shared" si="2075"/>
        <v>0</v>
      </c>
      <c r="HA59" s="102">
        <f t="shared" si="2075"/>
        <v>0</v>
      </c>
      <c r="HB59" s="102">
        <f t="shared" si="2075"/>
        <v>0</v>
      </c>
      <c r="HC59" s="102"/>
      <c r="HD59" s="102" t="str">
        <f t="shared" ref="HD59" si="2076">IF(AND($F59="Hybrid - Thrust + 2 connections",HD60=0,LEFT($J59,1)="C",LEFT($K59,1)="C",LEFT($L59,1)="C"),"X","")</f>
        <v/>
      </c>
      <c r="HE59" s="102"/>
      <c r="HF59" s="105"/>
      <c r="HG59" s="114"/>
      <c r="HH59" s="114"/>
      <c r="HI59" s="105" t="str">
        <f>IF(E60=3,_xlfn.NUMBERVALUE(LEFT(J59,1)),"")</f>
        <v/>
      </c>
    </row>
    <row r="60" spans="1:222" hidden="1" x14ac:dyDescent="0.25">
      <c r="A60" s="39"/>
      <c r="B60" s="40"/>
      <c r="C60" s="40"/>
      <c r="D60" s="40"/>
      <c r="E60" s="20" t="str">
        <f t="shared" ref="E60" si="2077">IF(F59="Acrobatic - Pair","PA",IF(F59="Acrobatic Airborn","A",IF(F59="Acrobatic Balance","B",IF(F59="Acrobatic Combined","C",IF(F59="Acrobatic Platform","P",IF(F59="Technical Required Element",3,IF(LEFT(F59,4)="Hybr","H","")))))))</f>
        <v/>
      </c>
      <c r="F60" s="20" t="str">
        <f>IF(AND(F59="Hybrid - Thrust + 2 connections",CR59="X"),"Hybrid - Thrust",IF(OR(E60="A",E60="B",E60="C",E60="P"),"Acrobatic",""))</f>
        <v/>
      </c>
      <c r="G60" s="42"/>
      <c r="H60" s="207" t="str">
        <f t="shared" ref="H60" si="2078">IF(E60="PA",IF(OR(LEFT(J59,1)="L",LEFT(J59,1)="S"),"A-Pair-Lift",IF(OR(LEFT(J59,1)="W",LEFT(J59,1)="T"),"A-Pair-Throw",IF(LEFT(J59,1)="J","A-Pair-Jump","A-Pair"))),IF(OR(E60="A",E60="B",E60="C",E60="P"),CONCATENATE("Acro-",E60),""))</f>
        <v/>
      </c>
      <c r="I60" s="201" t="e">
        <f t="shared" ref="I60" si="2079">IF(OR(F59="Hybrid - min 4 swimmers (no DD)",LEFT(F59,5)="Trans"),0,INDEX($BY$3:$BY$9,MATCH(E60,$BX$3:$BX$9,0)))</f>
        <v>#N/A</v>
      </c>
      <c r="J60" s="196">
        <f t="shared" ref="J60:Z60" ca="1" si="2080">IFERROR(IF($H59="No DD",0,IF(OR(ISBLANK(J59),J59="N/A"),0,INDEX(INDIRECT(BI60),MATCH(J59,INDIRECT(BI59),0)))),0)</f>
        <v>0</v>
      </c>
      <c r="K60" s="196">
        <f t="shared" ca="1" si="2080"/>
        <v>0</v>
      </c>
      <c r="L60" s="196">
        <f t="shared" ca="1" si="2080"/>
        <v>0</v>
      </c>
      <c r="M60" s="196">
        <f t="shared" ca="1" si="2080"/>
        <v>0</v>
      </c>
      <c r="N60" s="196">
        <f t="shared" ca="1" si="2080"/>
        <v>0</v>
      </c>
      <c r="O60" s="196">
        <f t="shared" ca="1" si="2080"/>
        <v>0</v>
      </c>
      <c r="P60" s="196">
        <f t="shared" ca="1" si="2080"/>
        <v>0</v>
      </c>
      <c r="Q60" s="196">
        <f t="shared" ca="1" si="2080"/>
        <v>0</v>
      </c>
      <c r="R60" s="196">
        <f t="shared" ca="1" si="2080"/>
        <v>0</v>
      </c>
      <c r="S60" s="196">
        <f t="shared" ca="1" si="2080"/>
        <v>0</v>
      </c>
      <c r="T60" s="196">
        <f t="shared" ca="1" si="2080"/>
        <v>0</v>
      </c>
      <c r="U60" s="196">
        <f t="shared" ca="1" si="2080"/>
        <v>0</v>
      </c>
      <c r="V60" s="196">
        <f t="shared" ca="1" si="2080"/>
        <v>0</v>
      </c>
      <c r="W60" s="196">
        <f t="shared" ca="1" si="2080"/>
        <v>0</v>
      </c>
      <c r="X60" s="196">
        <f t="shared" ca="1" si="2080"/>
        <v>0</v>
      </c>
      <c r="Y60" s="196">
        <f t="shared" ca="1" si="2080"/>
        <v>0</v>
      </c>
      <c r="Z60" s="196">
        <f t="shared" ca="1" si="2080"/>
        <v>0</v>
      </c>
      <c r="AA60" s="196">
        <f ca="1">IFERROR(IF($H59="No DD",0,IF(OR(ISBLANK(AA59),AA59="N/A"),0,INDEX(INDIRECT(BX60),MATCH(AA59,INDIRECT(BX59),0)))),0)</f>
        <v>0</v>
      </c>
      <c r="AB60" s="196">
        <f ca="1">IFERROR(IF($H59="No DD",0,IF(OR(ISBLANK(AB59),AB59="N/A"),0,INDEX(INDIRECT(BY60),MATCH(AB59,INDIRECT(BY59),0)))),0)</f>
        <v>0</v>
      </c>
      <c r="AC60" s="196">
        <f ca="1">IFERROR(IF($H59="No DD",0,IF(OR(ISBLANK(AC59),AC59="N/A"),0,INDEX(INDIRECT(BX60),MATCH(AC59,INDIRECT(BX59),0)))),0)</f>
        <v>0</v>
      </c>
      <c r="AD60" s="196">
        <f ca="1">IFERROR(IF($H59="No DD",0,IF(OR(ISBLANK(AD59),AD59="N/A"),0,INDEX(INDIRECT(BY60),MATCH(AD59,INDIRECT(BY59),0)))),0)</f>
        <v>0</v>
      </c>
      <c r="AE60" s="196">
        <f ca="1">IFERROR(IF($H59="No DD",0,IF(OR(ISBLANK(AE59),AE59="N/A"),0,INDEX(INDIRECT(BX60),MATCH(AE59,INDIRECT(BX59),0)))),0)</f>
        <v>0</v>
      </c>
      <c r="AF60" s="196">
        <f ca="1">IFERROR(IF($H59="No DD",0,IF(OR(ISBLANK(AF59),AF59="N/A"),0,INDEX(INDIRECT(BY60),MATCH(AF59,INDIRECT(BY59),0)))),0)</f>
        <v>0</v>
      </c>
      <c r="AG60" s="196">
        <f ca="1">IFERROR(IF($H59="No DD",0,IF(OR(ISBLANK(AG59),AG59="N/A"),0,INDEX(INDIRECT(BX60),MATCH(AG59,INDIRECT(BX59),0)))),0)</f>
        <v>0</v>
      </c>
      <c r="AH60" s="196">
        <f ca="1">IFERROR(IF($H59="No DD",0,IF(OR(ISBLANK(AH59),AH59="N/A"),0,INDEX(INDIRECT(BY60),MATCH(AH59,INDIRECT(BY59),0)))),0)</f>
        <v>0</v>
      </c>
      <c r="AI60" s="196">
        <f t="shared" ref="AI60" ca="1" si="2081">IFERROR(IF($H59="No DD",0,IF(OR(ISBLANK(AI59),AI59="N/A"),0,INDEX(INDIRECT(BX60),MATCH(AI59,INDIRECT(BX59),0)))),0)</f>
        <v>0</v>
      </c>
      <c r="AJ60" s="196">
        <f t="shared" ref="AJ60" ca="1" si="2082">IFERROR(IF($H59="No DD",0,IF(OR(ISBLANK(AJ59),AJ59="N/A"),0,INDEX(INDIRECT(BY60),MATCH(AJ59,INDIRECT(BY59),0)))),0)</f>
        <v>0</v>
      </c>
      <c r="AK60" s="196">
        <f t="shared" ref="AK60" ca="1" si="2083">IFERROR(IF($H59="No DD",0,IF(OR(ISBLANK(AK59),AK59="N/A"),0,INDEX(INDIRECT(BZ60),MATCH(AK59,INDIRECT(BZ59),0)))),0)</f>
        <v>0</v>
      </c>
      <c r="AL60" s="196">
        <f t="shared" ref="AL60" ca="1" si="2084">IFERROR(IF($H59="No DD",0,IF(OR(ISBLANK(AL59),AL59="N/A"),0,INDEX(INDIRECT(CA60),MATCH(AL59,INDIRECT(CA59),0)))),0)</f>
        <v>0</v>
      </c>
      <c r="AM60" s="196">
        <f t="shared" ref="AM60" ca="1" si="2085">IFERROR(IF($H59="No DD",0,IF(OR(ISBLANK(AM59),AM59="N/A"),0,INDEX(INDIRECT(CB60),MATCH(AM59,INDIRECT(CB59),0)))),0)</f>
        <v>0</v>
      </c>
      <c r="AN60" s="197" t="str">
        <f>IFERROR(IF(E60="H",INDEX(HybridBonus_Value,MATCH(AN59,HybridBonus_Code,0)),""),"")</f>
        <v/>
      </c>
      <c r="AO60" s="195" t="str">
        <f>IFERROR(IF(J59&lt;&gt;"",SUM(I60:AN60),""),"")</f>
        <v/>
      </c>
      <c r="AP60" s="75"/>
      <c r="AQ60" s="75"/>
      <c r="AR60" s="115"/>
      <c r="AS60" s="115"/>
      <c r="AT60" s="115"/>
      <c r="AU60" s="115"/>
      <c r="AV60" s="115"/>
      <c r="AW60" s="115"/>
      <c r="AX60" s="115"/>
      <c r="AY60" s="115"/>
      <c r="AZ60" s="115"/>
      <c r="BA60" s="115"/>
      <c r="BB60" s="115"/>
      <c r="BC60" s="115"/>
      <c r="BD60" s="115"/>
      <c r="BE60" s="115"/>
      <c r="BF60" s="115"/>
      <c r="BG60" s="104"/>
      <c r="BH60" s="115"/>
      <c r="BI60" s="105" t="str">
        <f t="shared" ref="BI60" si="2086">IF($E60="H","HybridDD_Value",IF($E60=3,"TreDD_Value",IF($E60="PA","AcroPair_Value",IF(LEFT($F59,4)="Acro",CONCATENATE(BI$16,$E60,"_Value"),""))))</f>
        <v/>
      </c>
      <c r="BJ60" s="105" t="str">
        <f t="shared" ref="BJ60:BK60" si="2087">IF($E60="H","HybridDD_Value",IF($E60=3,"",IF(LEFT($F59,4)="Acro",CONCATENATE(BJ$16,$E60,"_Value"),IF($E60="PA","",""))))</f>
        <v/>
      </c>
      <c r="BK60" s="105" t="str">
        <f t="shared" si="2087"/>
        <v/>
      </c>
      <c r="BL60" s="105" t="str">
        <f t="shared" ref="BL60:BQ60" si="2088">IF($E60="H","HybridDD_Value",IF($E60=3,"",IF(LEFT($F59,4)="Acro",CONCATENATE(BL$16,$E60,"_Value"),IF($E60="PA","",""))))</f>
        <v/>
      </c>
      <c r="BM60" s="105" t="str">
        <f t="shared" si="2088"/>
        <v/>
      </c>
      <c r="BN60" s="105" t="str">
        <f t="shared" si="2088"/>
        <v/>
      </c>
      <c r="BO60" s="105" t="str">
        <f t="shared" si="2088"/>
        <v/>
      </c>
      <c r="BP60" s="105" t="str">
        <f t="shared" si="2088"/>
        <v/>
      </c>
      <c r="BQ60" s="105" t="str">
        <f t="shared" si="2088"/>
        <v/>
      </c>
      <c r="BR60" s="104" t="str">
        <f t="shared" ref="BR60" si="2089">IF($E60="H","HybridDD_Value","Data!$BI$1:$BI$5")</f>
        <v>Data!$BI$1:$BI$5</v>
      </c>
      <c r="BS60" s="104" t="str">
        <f t="shared" si="2066"/>
        <v>Data!$BI$1:$BI$5</v>
      </c>
      <c r="BT60" s="104" t="str">
        <f t="shared" si="2066"/>
        <v>Data!$BI$1:$BI$5</v>
      </c>
      <c r="BU60" s="104" t="str">
        <f t="shared" si="2066"/>
        <v>Data!$BI$1:$BI$5</v>
      </c>
      <c r="BV60" s="104" t="str">
        <f t="shared" si="2066"/>
        <v>Data!$BI$1:$BI$5</v>
      </c>
      <c r="BW60" s="104" t="str">
        <f t="shared" si="2066"/>
        <v>Data!$BI$1:$BI$5</v>
      </c>
      <c r="BX60" s="104" t="str">
        <f t="shared" si="2066"/>
        <v>Data!$BI$1:$BI$5</v>
      </c>
      <c r="BY60" s="104" t="str">
        <f t="shared" si="2066"/>
        <v>Data!$BI$1:$BI$5</v>
      </c>
      <c r="BZ60" s="104" t="str">
        <f t="shared" si="2066"/>
        <v>Data!$BI$1:$BI$5</v>
      </c>
      <c r="CA60" s="104" t="str">
        <f t="shared" si="2066"/>
        <v>Data!$BI$1:$BI$5</v>
      </c>
      <c r="CB60" s="104" t="str">
        <f t="shared" si="2066"/>
        <v>Data!$BI$1:$BI$5</v>
      </c>
      <c r="CC60" s="104"/>
      <c r="CD60" s="104"/>
      <c r="CE60" s="104"/>
      <c r="CF60" s="104"/>
      <c r="CG60" s="104"/>
      <c r="CH60" s="104"/>
      <c r="CI60" s="104"/>
      <c r="CJ60" s="104"/>
      <c r="CK60" s="104"/>
      <c r="CL60" s="104"/>
      <c r="CM60" s="115"/>
      <c r="CN60" s="115"/>
      <c r="CO60" s="116" t="str">
        <f>IFERROR(IF(AND($BV$6="T",$BV$8="T",LEFT(F59,4)="Acro",AO60&gt;3),"X",IF($N$7="X",IF(AND(E60="C",AO60&gt;$CN$6),"X",IF(AND(E60="A",AO60&gt;$CN$4),"X",IF(AND(E60="B",AO60&gt;$CN$5),"X",IF(AND(E60="P",AO60&gt;$CN$7),"X","")))),"")),"")</f>
        <v/>
      </c>
      <c r="CP60" s="107"/>
      <c r="CQ60" s="105"/>
      <c r="CS60" s="105"/>
      <c r="CT60" s="105"/>
      <c r="CU60" s="105"/>
      <c r="CV60" s="105"/>
      <c r="CW60" s="105"/>
      <c r="CX60" s="105"/>
      <c r="CY60" s="105"/>
      <c r="CZ60" s="105"/>
      <c r="DD60" s="102" t="str">
        <f t="shared" si="1643"/>
        <v/>
      </c>
      <c r="DE60" s="102" t="str">
        <f t="shared" si="1644"/>
        <v/>
      </c>
      <c r="DF60" s="102" t="str">
        <f t="shared" si="1645"/>
        <v/>
      </c>
      <c r="DG60" s="102" t="str">
        <f t="shared" si="1646"/>
        <v/>
      </c>
      <c r="DO60" s="102">
        <v>42</v>
      </c>
      <c r="EI60" s="102" t="str" cm="1">
        <f t="array" ref="EI60">IFERROR(INDEX(EK60:FD60,MATCH(TRUE,INDEX((EK60:FD60&lt;&gt;""),),0)),"")</f>
        <v/>
      </c>
      <c r="EK60" s="102" t="str">
        <f t="shared" ref="EK60:FD60" si="2090">IF(F59="Hybrid - Thrust + 2 connections",IF(COUNTIF($EK59:$FD59,EK59)&gt;1,EK59,""),IF(COUNTIF($EK59:$FD59,EK59)&gt;5,EK59,""))</f>
        <v/>
      </c>
      <c r="EL60" s="102" t="str">
        <f t="shared" si="2090"/>
        <v/>
      </c>
      <c r="EM60" s="102" t="str">
        <f t="shared" si="2090"/>
        <v/>
      </c>
      <c r="EN60" s="102" t="str">
        <f t="shared" si="2090"/>
        <v/>
      </c>
      <c r="EO60" s="102" t="str">
        <f t="shared" si="2090"/>
        <v/>
      </c>
      <c r="EP60" s="102" t="str">
        <f t="shared" si="2090"/>
        <v/>
      </c>
      <c r="EQ60" s="102" t="str">
        <f t="shared" si="2090"/>
        <v/>
      </c>
      <c r="ER60" s="102" t="str">
        <f t="shared" si="2090"/>
        <v/>
      </c>
      <c r="ES60" s="102" t="str">
        <f t="shared" si="2090"/>
        <v/>
      </c>
      <c r="ET60" s="102" t="str">
        <f t="shared" si="2090"/>
        <v/>
      </c>
      <c r="EU60" s="102" t="str">
        <f t="shared" si="2090"/>
        <v/>
      </c>
      <c r="EV60" s="102" t="str">
        <f t="shared" si="2090"/>
        <v/>
      </c>
      <c r="EW60" s="102" t="str">
        <f t="shared" si="2090"/>
        <v/>
      </c>
      <c r="EX60" s="102" t="str">
        <f t="shared" si="2090"/>
        <v/>
      </c>
      <c r="EY60" s="102" t="str">
        <f t="shared" si="2090"/>
        <v/>
      </c>
      <c r="EZ60" s="102" t="str">
        <f t="shared" si="2090"/>
        <v/>
      </c>
      <c r="FA60" s="102" t="str">
        <f t="shared" si="2090"/>
        <v/>
      </c>
      <c r="FB60" s="102" t="str">
        <f t="shared" si="2090"/>
        <v/>
      </c>
      <c r="FC60" s="102" t="str">
        <f t="shared" si="2090"/>
        <v/>
      </c>
      <c r="FD60" s="102" t="str">
        <f t="shared" si="2090"/>
        <v/>
      </c>
      <c r="FE60" s="102"/>
      <c r="FF60" s="102"/>
      <c r="FG60" s="102"/>
      <c r="FH60" s="102"/>
      <c r="FI60" s="102"/>
      <c r="FJ60" s="102"/>
      <c r="FK60" s="102"/>
      <c r="FL60" s="102"/>
      <c r="FM60" s="102"/>
      <c r="FN60" s="102"/>
      <c r="FO60" s="102"/>
      <c r="FP60" s="102"/>
      <c r="FQ60" s="102" t="str" cm="1">
        <f t="array" ref="FQ60">IFERROR(INDEX(FR60:GK60,MATCH(TRUE,INDEX((FR60:GK60&lt;&gt;""),),0)),"")</f>
        <v/>
      </c>
      <c r="FR60" s="102" t="str">
        <f t="shared" ref="FR60:GK60" si="2091">IF(COUNTIF($FR59:$GK59,FR59)&gt;3,FR59,"")</f>
        <v/>
      </c>
      <c r="FS60" s="102" t="str">
        <f t="shared" si="2091"/>
        <v/>
      </c>
      <c r="FT60" s="102" t="str">
        <f t="shared" si="2091"/>
        <v/>
      </c>
      <c r="FU60" s="102" t="str">
        <f t="shared" si="2091"/>
        <v/>
      </c>
      <c r="FV60" s="102" t="str">
        <f t="shared" si="2091"/>
        <v/>
      </c>
      <c r="FW60" s="102" t="str">
        <f t="shared" si="2091"/>
        <v/>
      </c>
      <c r="FX60" s="102" t="str">
        <f t="shared" si="2091"/>
        <v/>
      </c>
      <c r="FY60" s="102" t="str">
        <f t="shared" si="2091"/>
        <v/>
      </c>
      <c r="FZ60" s="102" t="str">
        <f t="shared" si="2091"/>
        <v/>
      </c>
      <c r="GA60" s="102" t="str">
        <f t="shared" si="2091"/>
        <v/>
      </c>
      <c r="GB60" s="102" t="str">
        <f t="shared" si="2091"/>
        <v/>
      </c>
      <c r="GC60" s="102" t="str">
        <f t="shared" si="2091"/>
        <v/>
      </c>
      <c r="GD60" s="102" t="str">
        <f t="shared" si="2091"/>
        <v/>
      </c>
      <c r="GE60" s="102" t="str">
        <f t="shared" si="2091"/>
        <v/>
      </c>
      <c r="GF60" s="102" t="str">
        <f t="shared" si="2091"/>
        <v/>
      </c>
      <c r="GG60" s="102" t="str">
        <f t="shared" si="2091"/>
        <v/>
      </c>
      <c r="GH60" s="102" t="str">
        <f t="shared" si="2091"/>
        <v/>
      </c>
      <c r="GI60" s="102" t="str">
        <f t="shared" si="2091"/>
        <v/>
      </c>
      <c r="GJ60" s="102" t="str">
        <f t="shared" si="2091"/>
        <v/>
      </c>
      <c r="GK60" s="102" t="str">
        <f t="shared" si="2091"/>
        <v/>
      </c>
      <c r="GL60" s="102"/>
      <c r="GM60" s="102"/>
      <c r="GN60" s="102"/>
      <c r="GO60" s="102"/>
      <c r="GP60" s="102"/>
      <c r="GQ60" s="102"/>
      <c r="GR60" s="102"/>
      <c r="GS60" s="102"/>
      <c r="GT60" s="102"/>
      <c r="GU60" s="102"/>
      <c r="GV60" s="102"/>
      <c r="GW60" s="102"/>
      <c r="GX60" s="102"/>
      <c r="GY60" s="102"/>
      <c r="GZ60" s="102"/>
      <c r="HA60" s="102"/>
      <c r="HB60" s="102"/>
      <c r="HC60" s="102"/>
      <c r="HD60" s="102" t="str">
        <f>IF($F59="Hybrid - Thrust + 2 connections",COUNTBLANK(J59:L59),"")</f>
        <v/>
      </c>
      <c r="HE60" s="102"/>
      <c r="HF60" s="105"/>
      <c r="HG60" s="105"/>
      <c r="HH60" s="105"/>
      <c r="HI60" s="105"/>
    </row>
    <row r="61" spans="1:222" hidden="1" x14ac:dyDescent="0.25">
      <c r="A61" s="39" t="str">
        <f>IF(AND(E59="",A59&lt;&gt;""),IF(CP59=$CP$18,"",IF(C59&lt;&gt;"",IF(D59=59,MINUTE(CP59)+1,MINUTE(CP59)),"")),"")</f>
        <v/>
      </c>
      <c r="B61" s="40" t="str">
        <f>IF(AND(E59="",B59&lt;&gt;""),IF(CP59=$CP$18,"",IF(C59&lt;&gt;"",IF(D59=59,0,SECOND(CP59)+1),"")),"")</f>
        <v/>
      </c>
      <c r="C61" s="50"/>
      <c r="D61" s="50"/>
      <c r="E61" s="9"/>
      <c r="F61" s="51"/>
      <c r="G61" s="42" t="str">
        <f>IF(F61&lt;&gt;"",IF(OR(F61="Transition",F61="Transition - Surface Connection"),0,MAX($G$19:G60)+1),"")</f>
        <v/>
      </c>
      <c r="H61" s="56" t="str">
        <f t="shared" ref="H61" si="2092">IFERROR(IF(E62="3","",IF(OR(F61="Hybrid - min 4 swimmers (no DD)",LEFT(F61,5)="Trans"),"No DD",CONCATENATE("BM = ",I62))),"")</f>
        <v/>
      </c>
      <c r="I61" s="57"/>
      <c r="J61" s="124"/>
      <c r="K61" s="129"/>
      <c r="L61" s="129"/>
      <c r="M61" s="129"/>
      <c r="N61" s="129"/>
      <c r="O61" s="129"/>
      <c r="P61" s="129"/>
      <c r="Q61" s="129"/>
      <c r="R61" s="129"/>
      <c r="S61" s="129"/>
      <c r="T61" s="129"/>
      <c r="U61" s="129"/>
      <c r="V61" s="129"/>
      <c r="W61" s="129"/>
      <c r="X61" s="129"/>
      <c r="Y61" s="129"/>
      <c r="Z61" s="129"/>
      <c r="AA61" s="129"/>
      <c r="AB61" s="129"/>
      <c r="AC61" s="129"/>
      <c r="AD61" s="129"/>
      <c r="AE61" s="129"/>
      <c r="AF61" s="129"/>
      <c r="AG61" s="129"/>
      <c r="AH61" s="129"/>
      <c r="AI61" s="129"/>
      <c r="AJ61" s="129"/>
      <c r="AK61" s="129"/>
      <c r="AL61" s="129"/>
      <c r="AM61" s="129"/>
      <c r="AN61" s="179"/>
      <c r="AO61" s="43"/>
      <c r="AP61" s="74"/>
      <c r="AQ61" s="74"/>
      <c r="AR61" s="104"/>
      <c r="AS61" s="104"/>
      <c r="AT61" s="104"/>
      <c r="AU61" s="104"/>
      <c r="AV61" s="104"/>
      <c r="AW61" s="104"/>
      <c r="AX61" s="104"/>
      <c r="AY61" s="104"/>
      <c r="AZ61" s="104"/>
      <c r="BA61" s="104"/>
      <c r="BB61" s="104"/>
      <c r="BC61" s="104"/>
      <c r="BD61" s="104"/>
      <c r="BE61" s="104"/>
      <c r="BF61" s="104"/>
      <c r="BG61" s="104" t="str">
        <f>IFERROR(IF(F61&lt;&gt;"",INDEX(Parts_Active,MATCH(F61,Parts_Active,0)),""),"No")</f>
        <v/>
      </c>
      <c r="BH61" s="104"/>
      <c r="BI61" s="104" t="str">
        <f t="shared" ref="BI61" si="2093">IF($E62="H",IF($F61="Hybrid - Thrust + 2 connections","Hybrid_Mix_Req","HybridDD_Code"),IF($E62=3,"TreDD_Code",IF($E62="PA","AcroPair_Code",IF(LEFT($F61,4)="Acro",CONCATENATE(BI$16,$E62,"_Code"),"Data!$BI$1:$BI$5"))))</f>
        <v>Data!$BI$1:$BI$5</v>
      </c>
      <c r="BJ61" s="104" t="str">
        <f t="shared" ref="BJ61" si="2094">IF($E62="H",IF($F61="Hybrid - Thrust + 2 connections","Hybrid_Mix_Req","HybridDD_Code"),IF($E62=3,"TreDD_Code",IF($E62="PA","AcroPair_Code",IF(LEFT($F61,4)="Acro",CONCATENATE(BJ$16,$E62,"_Code"),"Data!$BI$1:$BI$5"))))</f>
        <v>Data!$BI$1:$BI$5</v>
      </c>
      <c r="BK61" s="104" t="str">
        <f t="shared" ref="BK61" si="2095">IF($E62="H",IF($F61="Hybrid - Thrust + 2 connections","Hybrid_Mix_Req","HybridDD_Code"),IF($E62=3,"TreDD_Code",IF($E62="PA","AcroPair_Code",IF(LEFT($F61,4)="Acro",CONCATENATE(BK$16,$E62,"_Code"),"Data!$BI$1:$BI$5"))))</f>
        <v>Data!$BI$1:$BI$5</v>
      </c>
      <c r="BL61" s="104" t="str">
        <f t="shared" ref="BL61" si="2096">IF($E62="H",IF($F61="Hybrid - Thrust + 2 connections","Data!$BI$1:$BI$5","HybridDD_Code"),IF($E62=3,"Data!$BI$1:$BI$5",IF(LEFT($F61,4)="Acro",CONCATENATE(BL$16,$E62,"_Code"),IF($E62="PA","","Data!$BI$1:$BI$5"))))</f>
        <v>Data!$BI$1:$BI$5</v>
      </c>
      <c r="BM61" s="104" t="str">
        <f t="shared" ref="BM61" si="2097">IF($E62="H",IF($F61="Hybrid - Thrust + 2 connections","Data!$BI$1:$BI$5","HybridDD_Code"),IF($E62=3,"Data!$BI$1:$BI$5",IF(LEFT($F61,4)="Acro",CONCATENATE(BM$16,$E62,"_Code"),IF($E62="PA","","Data!$BI$1:$BI$5"))))</f>
        <v>Data!$BI$1:$BI$5</v>
      </c>
      <c r="BN61" s="104" t="str">
        <f t="shared" ref="BN61" si="2098">IF($E62="H",IF($F61="Hybrid - Thrust + 2 connections","Data!$BI$1:$BI$5","HybridDD_Code"),IF($E62=3,"Data!$BI$1:$BI$5",IF(LEFT($F61,4)="Acro",CONCATENATE(BN$16,$E62,"_Code"),IF($E62="PA","","Data!$BI$1:$BI$5"))))</f>
        <v>Data!$BI$1:$BI$5</v>
      </c>
      <c r="BO61" s="104" t="str">
        <f t="shared" ref="BO61" si="2099">IF($E62="H",IF($F61="Hybrid - Thrust + 2 connections","Data!$BI$1:$BI$5","HybridDD_Code"),IF($E62=3,"Data!$BI$1:$BI$5",IF(LEFT($F61,4)="Acro",CONCATENATE(BO$16,$E62,"_Code"),IF($E62="PA","","Data!$BI$1:$BI$5"))))</f>
        <v>Data!$BI$1:$BI$5</v>
      </c>
      <c r="BP61" s="104" t="str">
        <f t="shared" ref="BP61" si="2100">IF($E62="H",IF($F61="Hybrid - Thrust + 2 connections","Data!$BI$1:$BI$5","HybridDD_Code"),IF($E62=3,"Data!$BI$1:$BI$5",IF(LEFT($F61,4)="Acro",CONCATENATE(BP$16,$E62,"_Code"),IF($E62="PA","","Data!$BI$1:$BI$5"))))</f>
        <v>Data!$BI$1:$BI$5</v>
      </c>
      <c r="BQ61" s="104" t="str">
        <f t="shared" ref="BQ61" si="2101">IF($E62="H",IF($F61="Hybrid - Thrust + 2 connections","Data!$BI$1:$BI$5","HybridDD_Code"),IF($E62=3,"Data!$BI$1:$BI$5",IF(LEFT($F61,4)="Acro",CONCATENATE(BQ$16,$E62,"_Code"),IF($E62="PA","","Data!$BI$1:$BI$5"))))</f>
        <v>Data!$BI$1:$BI$5</v>
      </c>
      <c r="BR61" s="104" t="str">
        <f t="shared" ref="BR61" si="2102">IF($E62="H",IF($F61="Hybrid - Thrust + 2 connections","Data!$BI$1:$BI$5","HybridDD_Code"),"Data!$BI$1:$BI$5")</f>
        <v>Data!$BI$1:$BI$5</v>
      </c>
      <c r="BS61" s="104" t="str">
        <f t="shared" si="2066"/>
        <v>Data!$BI$1:$BI$5</v>
      </c>
      <c r="BT61" s="104" t="str">
        <f t="shared" si="2066"/>
        <v>Data!$BI$1:$BI$5</v>
      </c>
      <c r="BU61" s="104" t="str">
        <f t="shared" si="2066"/>
        <v>Data!$BI$1:$BI$5</v>
      </c>
      <c r="BV61" s="104" t="str">
        <f t="shared" si="2066"/>
        <v>Data!$BI$1:$BI$5</v>
      </c>
      <c r="BW61" s="104" t="str">
        <f t="shared" si="2066"/>
        <v>Data!$BI$1:$BI$5</v>
      </c>
      <c r="BX61" s="104" t="str">
        <f t="shared" si="2066"/>
        <v>Data!$BI$1:$BI$5</v>
      </c>
      <c r="BY61" s="104" t="str">
        <f t="shared" si="2066"/>
        <v>Data!$BI$1:$BI$5</v>
      </c>
      <c r="BZ61" s="104" t="str">
        <f t="shared" si="2066"/>
        <v>Data!$BI$1:$BI$5</v>
      </c>
      <c r="CA61" s="104" t="str">
        <f t="shared" si="2066"/>
        <v>Data!$BI$1:$BI$5</v>
      </c>
      <c r="CB61" s="104" t="str">
        <f t="shared" si="2066"/>
        <v>Data!$BI$1:$BI$5</v>
      </c>
      <c r="CC61" s="104"/>
      <c r="CD61" s="104"/>
      <c r="CE61" s="104"/>
      <c r="CF61" s="104"/>
      <c r="CG61" s="104"/>
      <c r="CH61" s="104"/>
      <c r="CI61" s="104"/>
      <c r="CJ61" s="104"/>
      <c r="CK61" s="104"/>
      <c r="CL61" s="104"/>
      <c r="CM61" s="104"/>
      <c r="CN61" s="104"/>
      <c r="CO61" s="107" t="str">
        <f>IFERROR(TIME(0,A61,B61),"")</f>
        <v/>
      </c>
      <c r="CP61" s="108">
        <f>IFERROR(TIME(0,C61,D61),"")</f>
        <v>0</v>
      </c>
      <c r="CQ61" s="108" t="str">
        <f t="shared" ref="CQ61" si="2103">IF(CP61&gt;$D$12,"X","")</f>
        <v/>
      </c>
      <c r="CR61" s="102" t="str">
        <f>IF(AND(F61="Hybrid - Thrust + 2 connections",OR(LEFT(J61,1)="T",LEFT(K61,1)="T",LEFT(L61,1)="T",LEFT(PB61,1)="T",LEFT(M61,1)="T",LEFT(N61,1)="T",LEFT(O61,1)="T",LEFT(P61,1)="T",LEFT(Q61,1)="T",LEFT(R61,1)="T",LEFT(S61,1)="T",LEFT(T61,1)="T",LEFT(U61,1)="T",LEFT(V61,1)="T",LEFT(W61,1)="T",LEFT(X61,1)="T",LEFT(AK61,1)="T",LEFT(AL61,1)="T",LEFT(AM61,1)="T")),IF(OR(LEN(J61)=2,LEN(K61)=2,LEN(L61)=2,LEN(M61)=2,LEN(N61)=2,LEN(O61)=2,LEN(P61)=2,LEN(Q61)=2,LEN(R61)=2,LEN(S61)=2,LEN(T61)=2,LEN(U61)=2,LEN(V61)=2,LEN(W61)=2,LEN(X61)=2,LEN(Y61)=2,LEN(Z61)=2,LEN(AK61)=2,LEN(AL61)=2,LEN(AM61)=2),"X",""),"")</f>
        <v/>
      </c>
      <c r="CS61" s="105"/>
      <c r="CT61" s="102" t="str">
        <f>IF(LEFT(F61,4)="Acro",IF(AND(N61&lt;&gt;"",M61=RIGHT(N61,2)),"X","OK"),"")</f>
        <v/>
      </c>
      <c r="CU61" s="104" t="str">
        <f t="shared" ref="CU61:DB61" si="2104">IFERROR(IF(AND(LEFT($F61,4)="Acro",INDEX(Requ_App,MATCH(BI61,Requ_Code,0))="No"),"X",""),"")</f>
        <v/>
      </c>
      <c r="CV61" s="104" t="str">
        <f t="shared" si="2104"/>
        <v/>
      </c>
      <c r="CW61" s="104" t="str">
        <f t="shared" si="2104"/>
        <v/>
      </c>
      <c r="CX61" s="104" t="str">
        <f t="shared" si="2104"/>
        <v/>
      </c>
      <c r="CY61" s="104" t="str">
        <f t="shared" si="2104"/>
        <v/>
      </c>
      <c r="CZ61" s="104" t="str">
        <f t="shared" si="2104"/>
        <v/>
      </c>
      <c r="DA61" s="104" t="str">
        <f t="shared" si="2104"/>
        <v/>
      </c>
      <c r="DB61" s="104" t="str">
        <f t="shared" si="2104"/>
        <v/>
      </c>
      <c r="DC61" s="104" t="str">
        <f>IFERROR(IF(AND(LEFT($F61,4)="Acro",INDEX(Requ_App,MATCH(BP61,Requ_Code,0))="No"),"X",""),"")</f>
        <v/>
      </c>
      <c r="DD61" s="102" t="str">
        <f t="shared" si="1643"/>
        <v/>
      </c>
      <c r="DE61" s="102" t="str">
        <f t="shared" si="1644"/>
        <v/>
      </c>
      <c r="DF61" s="102" t="str">
        <f t="shared" si="1645"/>
        <v/>
      </c>
      <c r="DG61" s="102" t="str">
        <f t="shared" si="1646"/>
        <v/>
      </c>
      <c r="DK61" s="102">
        <f>IF(AND(E62="A",OR(Q61="Grip",Q61="Conn",Q61="Catch")),"A1",IF(AND(E62="A",OR(Q61="Hula",Q61="RetSq",Q61="RetPa")),"A2",IF(AND(E62="B",OR(Q61="Twirl",Q61="RotF")),"B1",IF(AND(E62="B",OR(Q61="Moon",Q61="Mov")),"B2",IF(AND(E62="B",Q61="Hold"),"B3",IF(AND(E62="P",OR(Q61="Porp",Q61="Spich")),"P1",IF(AND(E62="P",OR(Q61="Diva",Q61="Ps1",Q61="Ps1t0.5",Q61="Ps1op",Q61="Ps1t0,5o",Q61="Ps1t1",Q61="CH+")),"P2",IF(AND(E62="P",OR(Q61="Spider",Q61="Climb")),"P3",IF(AND(E62="P",OR(Q61="Fall",Q61="FTurn")),"P4",IF(AND(E62="C",OR(Q61="Jump",Q61="Jump&gt;",Q61="On1Foot",Q61="1F&gt;1F")),"C1",IF(AND(E62="C",OR(Q61="Run",Q61="BRun")),"C2",1)))))))))))</f>
        <v>1</v>
      </c>
      <c r="DL61" s="102">
        <f>IF(AND(E62="A",OR(R61="Grip",R61="Conn",R61="Catch")),"A1",IF(AND(E62="A",OR(R61="Hula",R61="RetSq",R61="RetPa")),"A2",IF(AND(E62="B",OR(R61="Twirl",R61="RotF")),"B1",IF(AND(E62="B",OR(R61="Moon",R61="Mov")),"B3",IF(AND(E62="B",R61="Hold"),"B2",IF(AND(E62="P",OR(R61="Porp",R61="Spich")),"P1",IF(AND(E62="P",OR(R61="Diva",R61="Ps1",R61="Ps1t0.5",R61="Ps1op",R61="Ps1t0,5o",R61="Ps1t1",R61="CH+")),"P2",IF(AND(E62="P",OR(R61="Spider",R61="Climb")),"P3",IF(AND(E62="P",OR(R61="Fall",R61="FTurn")),"P4",IF(AND(E62="C",OR(R61="Jump",R61="Jump&gt;",R61="On1Foot",R61="1F&gt;1F")),"C1",IF(AND(E62="C",OR(R61="Run",R61="BRun")),"C2",2)))))))))))</f>
        <v>2</v>
      </c>
      <c r="DM61" s="102" t="str">
        <f>IF(AND(LEFT(F61,4)="Acro",Q61&lt;&gt;"",OR(Q61=R61,DK61=DL61)),IF(R61="C-Roll","","X"),IF(OR(AND(E62="A",Q61="Catch",R61&lt;&gt;"Dbl"),AND(E62="A",R61="Catch",Q61&lt;&gt;"Dbl")),"X",""))</f>
        <v/>
      </c>
      <c r="DN61" s="102" t="str">
        <f>IF(E62="PA",J61,"")</f>
        <v/>
      </c>
      <c r="DO61" s="102">
        <v>43</v>
      </c>
      <c r="DQ61" s="102" t="str">
        <f>IF(AND($E62="A",COUNTIF($DZ$19:$EA$68,DZ61)&gt;1),DZ61,"")</f>
        <v/>
      </c>
      <c r="DR61" s="102" t="str">
        <f>IF(AND($E62="A",COUNTIF($DZ$19:$EA$68,EA61)&gt;1),EA61,"")</f>
        <v/>
      </c>
      <c r="DS61" s="102" t="str">
        <f ca="1">IF(AND($E62="B",COUNTIF($J$19:$J$68,J61)&gt;1),J61,"")</f>
        <v/>
      </c>
      <c r="DT61" s="102" t="str">
        <f ca="1">IF(AND($E62="B",COUNTIF($K$19:$K$68,K61)&gt;1),K61,"")</f>
        <v/>
      </c>
      <c r="DU61" s="102" t="str">
        <f ca="1">IF(AND($E62="C",COUNTIF($J$19:$J$68,J61)&gt;1),J61,"")</f>
        <v/>
      </c>
      <c r="DV61" s="102" t="str">
        <f ca="1">IF(AND($E62="P",COUNTIF($J$19:$J$68,J61)&gt;1),J61,"")</f>
        <v/>
      </c>
      <c r="DW61" s="102" t="str">
        <f ca="1">IF(AND($E62="P",COUNTIF($K$19:$K$68,K61)&gt;1),K61,"")</f>
        <v/>
      </c>
      <c r="DX61" s="102" t="str">
        <f>IF(AND($E62="P",COUNTIF($DZ$19:$EA$68,DZ61)&gt;1),DZ61,"")</f>
        <v/>
      </c>
      <c r="DY61" s="102" t="str">
        <f>IF(AND($E62="P",COUNTIF($DZ$19:$EA$68,EA61)&gt;1),EA61,"")</f>
        <v/>
      </c>
      <c r="DZ61" s="102" t="str">
        <f>IFERROR(IF(OR(E62="A",E62="P"),M61,""),"")</f>
        <v/>
      </c>
      <c r="EA61" s="102" t="str">
        <f>IFERROR(IF(OR(E62="A",E62="P"),RIGHT(N61,2),""),"")</f>
        <v/>
      </c>
      <c r="EF61" s="102" t="str">
        <f>IF(AND($F$8="Open Team Acrobatic",LEFT(F61,4)="Acro"),E62,"")</f>
        <v/>
      </c>
      <c r="EG61" s="102" t="str">
        <f t="shared" ref="EG61" si="2105">IFERROR(IF(HLOOKUP(EF61,$DQ$12:$DT$13,2,FALSE)&gt;2,"X",""),"")</f>
        <v/>
      </c>
      <c r="EI61" s="102" t="str">
        <f>IF(OR(AND(F61="Hybrid - Thrust + 2 connections",EI62="T"),AND(F61="Hybrid - Free",EI62&lt;&gt;"")),"X","")</f>
        <v/>
      </c>
      <c r="EK61" s="102">
        <f t="shared" ref="EK61:FA61" si="2106">IFERROR(IF(AND($E62="H",J61&lt;&gt;""),IF(OR(LEFT(J61,1)="T",LEFT(J61,1)="S",LEFT(J61,1)="A",LEFT(J61,1)="F",LEFT(J61,1)="C"),LEFT(J61,1),"R"),EK$18),"")</f>
        <v>1</v>
      </c>
      <c r="EL61" s="102">
        <f t="shared" si="2106"/>
        <v>2</v>
      </c>
      <c r="EM61" s="102">
        <f t="shared" si="2106"/>
        <v>3</v>
      </c>
      <c r="EN61" s="102">
        <f t="shared" si="2106"/>
        <v>4</v>
      </c>
      <c r="EO61" s="102">
        <f t="shared" si="2106"/>
        <v>5</v>
      </c>
      <c r="EP61" s="102">
        <f t="shared" si="2106"/>
        <v>6</v>
      </c>
      <c r="EQ61" s="102">
        <f t="shared" si="2106"/>
        <v>7</v>
      </c>
      <c r="ER61" s="102">
        <f t="shared" si="2106"/>
        <v>8</v>
      </c>
      <c r="ES61" s="102">
        <f t="shared" si="2106"/>
        <v>9</v>
      </c>
      <c r="ET61" s="102">
        <f t="shared" si="2106"/>
        <v>10</v>
      </c>
      <c r="EU61" s="102">
        <f t="shared" si="2106"/>
        <v>11</v>
      </c>
      <c r="EV61" s="102">
        <f t="shared" si="2106"/>
        <v>12</v>
      </c>
      <c r="EW61" s="102">
        <f t="shared" si="2106"/>
        <v>13</v>
      </c>
      <c r="EX61" s="102">
        <f t="shared" si="2106"/>
        <v>14</v>
      </c>
      <c r="EY61" s="102">
        <f t="shared" si="2106"/>
        <v>15</v>
      </c>
      <c r="EZ61" s="102">
        <f t="shared" si="2106"/>
        <v>16</v>
      </c>
      <c r="FA61" s="102">
        <f t="shared" si="2106"/>
        <v>17</v>
      </c>
      <c r="FB61" s="102">
        <f t="shared" ref="FB61" si="2107">IFERROR(IF(AND($E62="H",AK61&lt;&gt;""),IF(OR(LEFT(AK61,1)="T",LEFT(AK61,1)="S",LEFT(AK61,1)="A",LEFT(AK61,1)="F",LEFT(AK61,1)="C"),LEFT(AK61,1),"R"),FB$18),"")</f>
        <v>18</v>
      </c>
      <c r="FC61" s="102">
        <f t="shared" ref="FC61" si="2108">IFERROR(IF(AND($E62="H",AL61&lt;&gt;""),IF(OR(LEFT(AL61,1)="T",LEFT(AL61,1)="S",LEFT(AL61,1)="A",LEFT(AL61,1)="F",LEFT(AL61,1)="C"),LEFT(AL61,1),"R"),FC$18),"")</f>
        <v>19</v>
      </c>
      <c r="FD61" s="102">
        <f t="shared" ref="FD61" si="2109">IFERROR(IF(AND($E62="H",AM61&lt;&gt;""),IF(OR(LEFT(AM61,1)="T",LEFT(AM61,1)="S",LEFT(AM61,1)="A",LEFT(AM61,1)="F",LEFT(AM61,1)="C"),LEFT(AM61,1),"R"),FD$18),"")</f>
        <v>20</v>
      </c>
      <c r="FE61" s="102"/>
      <c r="FF61" s="102"/>
      <c r="FG61" s="102"/>
      <c r="FH61" s="102"/>
      <c r="FI61" s="102"/>
      <c r="FJ61" s="102"/>
      <c r="FK61" s="102"/>
      <c r="FL61" s="102"/>
      <c r="FM61" s="102"/>
      <c r="FN61" s="102"/>
      <c r="FO61" s="102"/>
      <c r="FP61" s="102"/>
      <c r="FQ61" s="102"/>
      <c r="FR61" s="102">
        <f t="shared" ref="FR61:GH61" si="2110">IFERROR(IF(J61&lt;&gt;"",UPPER(J61),FR$18),FR$18)</f>
        <v>1</v>
      </c>
      <c r="FS61" s="102">
        <f t="shared" si="2110"/>
        <v>2</v>
      </c>
      <c r="FT61" s="102">
        <f t="shared" si="2110"/>
        <v>3</v>
      </c>
      <c r="FU61" s="102">
        <f t="shared" si="2110"/>
        <v>4</v>
      </c>
      <c r="FV61" s="102">
        <f t="shared" si="2110"/>
        <v>5</v>
      </c>
      <c r="FW61" s="102">
        <f t="shared" si="2110"/>
        <v>6</v>
      </c>
      <c r="FX61" s="102">
        <f t="shared" si="2110"/>
        <v>7</v>
      </c>
      <c r="FY61" s="102">
        <f t="shared" si="2110"/>
        <v>8</v>
      </c>
      <c r="FZ61" s="102">
        <f t="shared" si="2110"/>
        <v>9</v>
      </c>
      <c r="GA61" s="102">
        <f t="shared" si="2110"/>
        <v>10</v>
      </c>
      <c r="GB61" s="102">
        <f t="shared" si="2110"/>
        <v>11</v>
      </c>
      <c r="GC61" s="102">
        <f t="shared" si="2110"/>
        <v>12</v>
      </c>
      <c r="GD61" s="102">
        <f t="shared" si="2110"/>
        <v>13</v>
      </c>
      <c r="GE61" s="102">
        <f t="shared" si="2110"/>
        <v>14</v>
      </c>
      <c r="GF61" s="102">
        <f t="shared" si="2110"/>
        <v>15</v>
      </c>
      <c r="GG61" s="102">
        <f t="shared" si="2110"/>
        <v>16</v>
      </c>
      <c r="GH61" s="102">
        <f t="shared" si="2110"/>
        <v>17</v>
      </c>
      <c r="GI61" s="102">
        <f>IFERROR(IF(AK61&lt;&gt;"",UPPER(AK61),GI$18),GI$18)</f>
        <v>18</v>
      </c>
      <c r="GJ61" s="102">
        <f>IFERROR(IF(AL61&lt;&gt;"",UPPER(AL61),GJ$18),GJ$18)</f>
        <v>19</v>
      </c>
      <c r="GK61" s="102">
        <f>IFERROR(IF(AM61&lt;&gt;"",UPPER(AM61),GK$18),GK$18)</f>
        <v>20</v>
      </c>
      <c r="GL61" s="102"/>
      <c r="GM61" s="102"/>
      <c r="GN61" s="102"/>
      <c r="GO61" s="102"/>
      <c r="GP61" s="102"/>
      <c r="GQ61" s="102"/>
      <c r="GR61" s="102"/>
      <c r="GS61" s="102"/>
      <c r="GT61" s="102"/>
      <c r="GU61" s="102"/>
      <c r="GV61" s="102"/>
      <c r="GW61" s="102">
        <f t="shared" ref="GW61:HB61" si="2111">COUNTIF($EK61:$FD61,GW$18)</f>
        <v>0</v>
      </c>
      <c r="GX61" s="102">
        <f t="shared" si="2111"/>
        <v>0</v>
      </c>
      <c r="GY61" s="102">
        <f t="shared" si="2111"/>
        <v>0</v>
      </c>
      <c r="GZ61" s="102">
        <f t="shared" si="2111"/>
        <v>0</v>
      </c>
      <c r="HA61" s="102">
        <f t="shared" si="2111"/>
        <v>0</v>
      </c>
      <c r="HB61" s="102">
        <f t="shared" si="2111"/>
        <v>0</v>
      </c>
      <c r="HC61" s="102"/>
      <c r="HD61" s="102" t="str">
        <f t="shared" ref="HD61" si="2112">IF(AND($F61="Hybrid - Thrust + 2 connections",HD62=0,LEFT($J61,1)="C",LEFT($K61,1)="C",LEFT($L61,1)="C"),"X","")</f>
        <v/>
      </c>
      <c r="HE61" s="102"/>
      <c r="HF61" s="105"/>
      <c r="HG61" s="114"/>
      <c r="HH61" s="114"/>
      <c r="HI61" s="105" t="str">
        <f>IF(E62=3,_xlfn.NUMBERVALUE(LEFT(J61,1)),"")</f>
        <v/>
      </c>
    </row>
    <row r="62" spans="1:222" hidden="1" x14ac:dyDescent="0.25">
      <c r="A62" s="39"/>
      <c r="B62" s="40"/>
      <c r="C62" s="40"/>
      <c r="D62" s="40"/>
      <c r="E62" s="20" t="str">
        <f t="shared" ref="E62" si="2113">IF(F61="Acrobatic - Pair","PA",IF(F61="Acrobatic Airborn","A",IF(F61="Acrobatic Balance","B",IF(F61="Acrobatic Combined","C",IF(F61="Acrobatic Platform","P",IF(F61="Technical Required Element",3,IF(LEFT(F61,4)="Hybr","H","")))))))</f>
        <v/>
      </c>
      <c r="F62" s="20" t="str">
        <f>IF(AND(F61="Hybrid - Thrust + 2 connections",CR61="X"),"Hybrid - Thrust",IF(OR(E62="A",E62="B",E62="C",E62="P"),"Acrobatic",""))</f>
        <v/>
      </c>
      <c r="G62" s="42"/>
      <c r="H62" s="207" t="str">
        <f t="shared" ref="H62" si="2114">IF(E62="PA",IF(OR(LEFT(J61,1)="L",LEFT(J61,1)="S"),"A-Pair-Lift",IF(OR(LEFT(J61,1)="W",LEFT(J61,1)="T"),"A-Pair-Throw",IF(LEFT(J61,1)="J","A-Pair-Jump","A-Pair"))),IF(OR(E62="A",E62="B",E62="C",E62="P"),CONCATENATE("Acro-",E62),""))</f>
        <v/>
      </c>
      <c r="I62" s="201" t="e">
        <f t="shared" ref="I62" si="2115">IF(OR(F61="Hybrid - min 4 swimmers (no DD)",LEFT(F61,5)="Trans"),0,INDEX($BY$3:$BY$9,MATCH(E62,$BX$3:$BX$9,0)))</f>
        <v>#N/A</v>
      </c>
      <c r="J62" s="196">
        <f t="shared" ref="J62:Z62" ca="1" si="2116">IFERROR(IF($H61="No DD",0,IF(OR(ISBLANK(J61),J61="N/A"),0,INDEX(INDIRECT(BI62),MATCH(J61,INDIRECT(BI61),0)))),0)</f>
        <v>0</v>
      </c>
      <c r="K62" s="196">
        <f t="shared" ca="1" si="2116"/>
        <v>0</v>
      </c>
      <c r="L62" s="196">
        <f t="shared" ca="1" si="2116"/>
        <v>0</v>
      </c>
      <c r="M62" s="196">
        <f t="shared" ca="1" si="2116"/>
        <v>0</v>
      </c>
      <c r="N62" s="196">
        <f t="shared" ca="1" si="2116"/>
        <v>0</v>
      </c>
      <c r="O62" s="196">
        <f t="shared" ca="1" si="2116"/>
        <v>0</v>
      </c>
      <c r="P62" s="196">
        <f t="shared" ca="1" si="2116"/>
        <v>0</v>
      </c>
      <c r="Q62" s="196">
        <f t="shared" ca="1" si="2116"/>
        <v>0</v>
      </c>
      <c r="R62" s="196">
        <f t="shared" ca="1" si="2116"/>
        <v>0</v>
      </c>
      <c r="S62" s="196">
        <f t="shared" ca="1" si="2116"/>
        <v>0</v>
      </c>
      <c r="T62" s="196">
        <f t="shared" ca="1" si="2116"/>
        <v>0</v>
      </c>
      <c r="U62" s="196">
        <f t="shared" ca="1" si="2116"/>
        <v>0</v>
      </c>
      <c r="V62" s="196">
        <f t="shared" ca="1" si="2116"/>
        <v>0</v>
      </c>
      <c r="W62" s="196">
        <f t="shared" ca="1" si="2116"/>
        <v>0</v>
      </c>
      <c r="X62" s="196">
        <f t="shared" ca="1" si="2116"/>
        <v>0</v>
      </c>
      <c r="Y62" s="196">
        <f t="shared" ca="1" si="2116"/>
        <v>0</v>
      </c>
      <c r="Z62" s="196">
        <f t="shared" ca="1" si="2116"/>
        <v>0</v>
      </c>
      <c r="AA62" s="196">
        <f ca="1">IFERROR(IF($H61="No DD",0,IF(OR(ISBLANK(AA61),AA61="N/A"),0,INDEX(INDIRECT(BX62),MATCH(AA61,INDIRECT(BX61),0)))),0)</f>
        <v>0</v>
      </c>
      <c r="AB62" s="196">
        <f ca="1">IFERROR(IF($H61="No DD",0,IF(OR(ISBLANK(AB61),AB61="N/A"),0,INDEX(INDIRECT(BY62),MATCH(AB61,INDIRECT(BY61),0)))),0)</f>
        <v>0</v>
      </c>
      <c r="AC62" s="196">
        <f ca="1">IFERROR(IF($H61="No DD",0,IF(OR(ISBLANK(AC61),AC61="N/A"),0,INDEX(INDIRECT(BX62),MATCH(AC61,INDIRECT(BX61),0)))),0)</f>
        <v>0</v>
      </c>
      <c r="AD62" s="196">
        <f ca="1">IFERROR(IF($H61="No DD",0,IF(OR(ISBLANK(AD61),AD61="N/A"),0,INDEX(INDIRECT(BY62),MATCH(AD61,INDIRECT(BY61),0)))),0)</f>
        <v>0</v>
      </c>
      <c r="AE62" s="196">
        <f ca="1">IFERROR(IF($H61="No DD",0,IF(OR(ISBLANK(AE61),AE61="N/A"),0,INDEX(INDIRECT(BX62),MATCH(AE61,INDIRECT(BX61),0)))),0)</f>
        <v>0</v>
      </c>
      <c r="AF62" s="196">
        <f ca="1">IFERROR(IF($H61="No DD",0,IF(OR(ISBLANK(AF61),AF61="N/A"),0,INDEX(INDIRECT(BY62),MATCH(AF61,INDIRECT(BY61),0)))),0)</f>
        <v>0</v>
      </c>
      <c r="AG62" s="196">
        <f ca="1">IFERROR(IF($H61="No DD",0,IF(OR(ISBLANK(AG61),AG61="N/A"),0,INDEX(INDIRECT(BX62),MATCH(AG61,INDIRECT(BX61),0)))),0)</f>
        <v>0</v>
      </c>
      <c r="AH62" s="196">
        <f ca="1">IFERROR(IF($H61="No DD",0,IF(OR(ISBLANK(AH61),AH61="N/A"),0,INDEX(INDIRECT(BY62),MATCH(AH61,INDIRECT(BY61),0)))),0)</f>
        <v>0</v>
      </c>
      <c r="AI62" s="196">
        <f t="shared" ref="AI62" ca="1" si="2117">IFERROR(IF($H61="No DD",0,IF(OR(ISBLANK(AI61),AI61="N/A"),0,INDEX(INDIRECT(BX62),MATCH(AI61,INDIRECT(BX61),0)))),0)</f>
        <v>0</v>
      </c>
      <c r="AJ62" s="196">
        <f t="shared" ref="AJ62" ca="1" si="2118">IFERROR(IF($H61="No DD",0,IF(OR(ISBLANK(AJ61),AJ61="N/A"),0,INDEX(INDIRECT(BY62),MATCH(AJ61,INDIRECT(BY61),0)))),0)</f>
        <v>0</v>
      </c>
      <c r="AK62" s="196">
        <f t="shared" ref="AK62" ca="1" si="2119">IFERROR(IF($H61="No DD",0,IF(OR(ISBLANK(AK61),AK61="N/A"),0,INDEX(INDIRECT(BZ62),MATCH(AK61,INDIRECT(BZ61),0)))),0)</f>
        <v>0</v>
      </c>
      <c r="AL62" s="196">
        <f t="shared" ref="AL62" ca="1" si="2120">IFERROR(IF($H61="No DD",0,IF(OR(ISBLANK(AL61),AL61="N/A"),0,INDEX(INDIRECT(CA62),MATCH(AL61,INDIRECT(CA61),0)))),0)</f>
        <v>0</v>
      </c>
      <c r="AM62" s="196">
        <f t="shared" ref="AM62" ca="1" si="2121">IFERROR(IF($H61="No DD",0,IF(OR(ISBLANK(AM61),AM61="N/A"),0,INDEX(INDIRECT(CB62),MATCH(AM61,INDIRECT(CB61),0)))),0)</f>
        <v>0</v>
      </c>
      <c r="AN62" s="197" t="str">
        <f>IFERROR(IF(E62="H",INDEX(HybridBonus_Value,MATCH(AN61,HybridBonus_Code,0)),""),"")</f>
        <v/>
      </c>
      <c r="AO62" s="195" t="str">
        <f>IFERROR(IF(J61&lt;&gt;"",SUM(I62:AN62),""),"")</f>
        <v/>
      </c>
      <c r="AP62" s="75"/>
      <c r="AQ62" s="75"/>
      <c r="AR62" s="115"/>
      <c r="AS62" s="115"/>
      <c r="AT62" s="115"/>
      <c r="AU62" s="115"/>
      <c r="AV62" s="115"/>
      <c r="AW62" s="115"/>
      <c r="AX62" s="115"/>
      <c r="AY62" s="115"/>
      <c r="AZ62" s="115"/>
      <c r="BA62" s="115"/>
      <c r="BB62" s="115"/>
      <c r="BC62" s="115"/>
      <c r="BD62" s="115"/>
      <c r="BE62" s="115"/>
      <c r="BF62" s="115"/>
      <c r="BG62" s="104"/>
      <c r="BH62" s="115"/>
      <c r="BI62" s="105" t="str">
        <f t="shared" ref="BI62" si="2122">IF($E62="H","HybridDD_Value",IF($E62=3,"TreDD_Value",IF($E62="PA","AcroPair_Value",IF(LEFT($F61,4)="Acro",CONCATENATE(BI$16,$E62,"_Value"),""))))</f>
        <v/>
      </c>
      <c r="BJ62" s="105" t="str">
        <f t="shared" ref="BJ62:BK62" si="2123">IF($E62="H","HybridDD_Value",IF($E62=3,"",IF(LEFT($F61,4)="Acro",CONCATENATE(BJ$16,$E62,"_Value"),IF($E62="PA","",""))))</f>
        <v/>
      </c>
      <c r="BK62" s="105" t="str">
        <f t="shared" si="2123"/>
        <v/>
      </c>
      <c r="BL62" s="105" t="str">
        <f t="shared" ref="BL62:BQ62" si="2124">IF($E62="H","HybridDD_Value",IF($E62=3,"",IF(LEFT($F61,4)="Acro",CONCATENATE(BL$16,$E62,"_Value"),IF($E62="PA","",""))))</f>
        <v/>
      </c>
      <c r="BM62" s="105" t="str">
        <f t="shared" si="2124"/>
        <v/>
      </c>
      <c r="BN62" s="105" t="str">
        <f t="shared" si="2124"/>
        <v/>
      </c>
      <c r="BO62" s="105" t="str">
        <f t="shared" si="2124"/>
        <v/>
      </c>
      <c r="BP62" s="105" t="str">
        <f t="shared" si="2124"/>
        <v/>
      </c>
      <c r="BQ62" s="105" t="str">
        <f t="shared" si="2124"/>
        <v/>
      </c>
      <c r="BR62" s="104" t="str">
        <f t="shared" ref="BR62" si="2125">IF($E62="H","HybridDD_Value","Data!$BI$1:$BI$5")</f>
        <v>Data!$BI$1:$BI$5</v>
      </c>
      <c r="BS62" s="104" t="str">
        <f t="shared" si="2066"/>
        <v>Data!$BI$1:$BI$5</v>
      </c>
      <c r="BT62" s="104" t="str">
        <f t="shared" si="2066"/>
        <v>Data!$BI$1:$BI$5</v>
      </c>
      <c r="BU62" s="104" t="str">
        <f t="shared" si="2066"/>
        <v>Data!$BI$1:$BI$5</v>
      </c>
      <c r="BV62" s="104" t="str">
        <f t="shared" si="2066"/>
        <v>Data!$BI$1:$BI$5</v>
      </c>
      <c r="BW62" s="104" t="str">
        <f t="shared" si="2066"/>
        <v>Data!$BI$1:$BI$5</v>
      </c>
      <c r="BX62" s="104" t="str">
        <f t="shared" si="2066"/>
        <v>Data!$BI$1:$BI$5</v>
      </c>
      <c r="BY62" s="104" t="str">
        <f t="shared" si="2066"/>
        <v>Data!$BI$1:$BI$5</v>
      </c>
      <c r="BZ62" s="104" t="str">
        <f t="shared" si="2066"/>
        <v>Data!$BI$1:$BI$5</v>
      </c>
      <c r="CA62" s="104" t="str">
        <f t="shared" si="2066"/>
        <v>Data!$BI$1:$BI$5</v>
      </c>
      <c r="CB62" s="104" t="str">
        <f t="shared" si="2066"/>
        <v>Data!$BI$1:$BI$5</v>
      </c>
      <c r="CC62" s="104"/>
      <c r="CD62" s="104"/>
      <c r="CE62" s="104"/>
      <c r="CF62" s="104"/>
      <c r="CG62" s="104"/>
      <c r="CH62" s="104"/>
      <c r="CI62" s="104"/>
      <c r="CJ62" s="104"/>
      <c r="CK62" s="104"/>
      <c r="CL62" s="104"/>
      <c r="CM62" s="115"/>
      <c r="CN62" s="115"/>
      <c r="CO62" s="116" t="str">
        <f>IFERROR(IF(AND($BV$6="T",$BV$8="T",LEFT(F61,4)="Acro",AO62&gt;3),"X",IF($N$7="X",IF(AND(E62="C",AO62&gt;$CN$6),"X",IF(AND(E62="A",AO62&gt;$CN$4),"X",IF(AND(E62="B",AO62&gt;$CN$5),"X",IF(AND(E62="P",AO62&gt;$CN$7),"X","")))),"")),"")</f>
        <v/>
      </c>
      <c r="CP62" s="107"/>
      <c r="CQ62" s="105"/>
      <c r="CS62" s="105"/>
      <c r="CT62" s="105"/>
      <c r="CU62" s="105"/>
      <c r="CV62" s="105"/>
      <c r="CW62" s="105"/>
      <c r="CX62" s="105"/>
      <c r="CY62" s="105"/>
      <c r="CZ62" s="105"/>
      <c r="DD62" s="102" t="str">
        <f t="shared" si="1643"/>
        <v/>
      </c>
      <c r="DE62" s="102" t="str">
        <f t="shared" si="1644"/>
        <v/>
      </c>
      <c r="DF62" s="102" t="str">
        <f t="shared" si="1645"/>
        <v/>
      </c>
      <c r="DG62" s="102" t="str">
        <f t="shared" si="1646"/>
        <v/>
      </c>
      <c r="DO62" s="102">
        <v>44</v>
      </c>
      <c r="EI62" s="102" t="str" cm="1">
        <f t="array" ref="EI62">IFERROR(INDEX(EK62:FD62,MATCH(TRUE,INDEX((EK62:FD62&lt;&gt;""),),0)),"")</f>
        <v/>
      </c>
      <c r="EK62" s="102" t="str">
        <f t="shared" ref="EK62:FD62" si="2126">IF(F61="Hybrid - Thrust + 2 connections",IF(COUNTIF($EK61:$FD61,EK61)&gt;1,EK61,""),IF(COUNTIF($EK61:$FD61,EK61)&gt;5,EK61,""))</f>
        <v/>
      </c>
      <c r="EL62" s="102" t="str">
        <f t="shared" si="2126"/>
        <v/>
      </c>
      <c r="EM62" s="102" t="str">
        <f t="shared" si="2126"/>
        <v/>
      </c>
      <c r="EN62" s="102" t="str">
        <f t="shared" si="2126"/>
        <v/>
      </c>
      <c r="EO62" s="102" t="str">
        <f t="shared" si="2126"/>
        <v/>
      </c>
      <c r="EP62" s="102" t="str">
        <f t="shared" si="2126"/>
        <v/>
      </c>
      <c r="EQ62" s="102" t="str">
        <f t="shared" si="2126"/>
        <v/>
      </c>
      <c r="ER62" s="102" t="str">
        <f t="shared" si="2126"/>
        <v/>
      </c>
      <c r="ES62" s="102" t="str">
        <f t="shared" si="2126"/>
        <v/>
      </c>
      <c r="ET62" s="102" t="str">
        <f t="shared" si="2126"/>
        <v/>
      </c>
      <c r="EU62" s="102" t="str">
        <f t="shared" si="2126"/>
        <v/>
      </c>
      <c r="EV62" s="102" t="str">
        <f t="shared" si="2126"/>
        <v/>
      </c>
      <c r="EW62" s="102" t="str">
        <f t="shared" si="2126"/>
        <v/>
      </c>
      <c r="EX62" s="102" t="str">
        <f t="shared" si="2126"/>
        <v/>
      </c>
      <c r="EY62" s="102" t="str">
        <f t="shared" si="2126"/>
        <v/>
      </c>
      <c r="EZ62" s="102" t="str">
        <f t="shared" si="2126"/>
        <v/>
      </c>
      <c r="FA62" s="102" t="str">
        <f t="shared" si="2126"/>
        <v/>
      </c>
      <c r="FB62" s="102" t="str">
        <f t="shared" si="2126"/>
        <v/>
      </c>
      <c r="FC62" s="102" t="str">
        <f t="shared" si="2126"/>
        <v/>
      </c>
      <c r="FD62" s="102" t="str">
        <f t="shared" si="2126"/>
        <v/>
      </c>
      <c r="FE62" s="102"/>
      <c r="FF62" s="102"/>
      <c r="FG62" s="102"/>
      <c r="FH62" s="102"/>
      <c r="FI62" s="102"/>
      <c r="FJ62" s="102"/>
      <c r="FK62" s="102"/>
      <c r="FL62" s="102"/>
      <c r="FM62" s="102"/>
      <c r="FN62" s="102"/>
      <c r="FO62" s="102"/>
      <c r="FP62" s="102"/>
      <c r="FQ62" s="102" t="str" cm="1">
        <f t="array" ref="FQ62">IFERROR(INDEX(FR62:GK62,MATCH(TRUE,INDEX((FR62:GK62&lt;&gt;""),),0)),"")</f>
        <v/>
      </c>
      <c r="FR62" s="102" t="str">
        <f t="shared" ref="FR62:GK62" si="2127">IF(COUNTIF($FR61:$GK61,FR61)&gt;3,FR61,"")</f>
        <v/>
      </c>
      <c r="FS62" s="102" t="str">
        <f t="shared" si="2127"/>
        <v/>
      </c>
      <c r="FT62" s="102" t="str">
        <f t="shared" si="2127"/>
        <v/>
      </c>
      <c r="FU62" s="102" t="str">
        <f t="shared" si="2127"/>
        <v/>
      </c>
      <c r="FV62" s="102" t="str">
        <f t="shared" si="2127"/>
        <v/>
      </c>
      <c r="FW62" s="102" t="str">
        <f t="shared" si="2127"/>
        <v/>
      </c>
      <c r="FX62" s="102" t="str">
        <f t="shared" si="2127"/>
        <v/>
      </c>
      <c r="FY62" s="102" t="str">
        <f t="shared" si="2127"/>
        <v/>
      </c>
      <c r="FZ62" s="102" t="str">
        <f t="shared" si="2127"/>
        <v/>
      </c>
      <c r="GA62" s="102" t="str">
        <f t="shared" si="2127"/>
        <v/>
      </c>
      <c r="GB62" s="102" t="str">
        <f t="shared" si="2127"/>
        <v/>
      </c>
      <c r="GC62" s="102" t="str">
        <f t="shared" si="2127"/>
        <v/>
      </c>
      <c r="GD62" s="102" t="str">
        <f t="shared" si="2127"/>
        <v/>
      </c>
      <c r="GE62" s="102" t="str">
        <f t="shared" si="2127"/>
        <v/>
      </c>
      <c r="GF62" s="102" t="str">
        <f t="shared" si="2127"/>
        <v/>
      </c>
      <c r="GG62" s="102" t="str">
        <f t="shared" si="2127"/>
        <v/>
      </c>
      <c r="GH62" s="102" t="str">
        <f t="shared" si="2127"/>
        <v/>
      </c>
      <c r="GI62" s="102" t="str">
        <f t="shared" si="2127"/>
        <v/>
      </c>
      <c r="GJ62" s="102" t="str">
        <f t="shared" si="2127"/>
        <v/>
      </c>
      <c r="GK62" s="102" t="str">
        <f t="shared" si="2127"/>
        <v/>
      </c>
      <c r="GL62" s="102"/>
      <c r="GM62" s="102"/>
      <c r="GN62" s="102"/>
      <c r="GO62" s="102"/>
      <c r="GP62" s="102"/>
      <c r="GQ62" s="102"/>
      <c r="GR62" s="102"/>
      <c r="GS62" s="102"/>
      <c r="GT62" s="102"/>
      <c r="GU62" s="102"/>
      <c r="GV62" s="102"/>
      <c r="GW62" s="102"/>
      <c r="GX62" s="102"/>
      <c r="GY62" s="102"/>
      <c r="GZ62" s="102"/>
      <c r="HA62" s="102"/>
      <c r="HB62" s="102"/>
      <c r="HC62" s="102"/>
      <c r="HD62" s="102" t="str">
        <f>IF($F61="Hybrid - Thrust + 2 connections",COUNTBLANK(J61:L61),"")</f>
        <v/>
      </c>
      <c r="HE62" s="102"/>
      <c r="HF62" s="105"/>
      <c r="HG62" s="105"/>
      <c r="HH62" s="105"/>
      <c r="HI62" s="105"/>
    </row>
    <row r="63" spans="1:222" hidden="1" x14ac:dyDescent="0.25">
      <c r="A63" s="39" t="str">
        <f>IF(AND(E61="",A61&lt;&gt;""),IF(CP61=$CP$18,"",IF(C61&lt;&gt;"",IF(D61=59,MINUTE(CP61)+1,MINUTE(CP61)),"")),"")</f>
        <v/>
      </c>
      <c r="B63" s="40" t="str">
        <f>IF(AND(E61="",B61&lt;&gt;""),IF(CP61=$CP$18,"",IF(C61&lt;&gt;"",IF(D61=59,0,SECOND(CP61)+1),"")),"")</f>
        <v/>
      </c>
      <c r="C63" s="50"/>
      <c r="D63" s="50"/>
      <c r="E63" s="9"/>
      <c r="F63" s="51"/>
      <c r="G63" s="42" t="str">
        <f>IF(F63&lt;&gt;"",IF(OR(F63="Transition",F63="Transition - Surface Connection"),0,MAX($G$19:G62)+1),"")</f>
        <v/>
      </c>
      <c r="H63" s="56" t="str">
        <f t="shared" ref="H63" si="2128">IFERROR(IF(E64="3","",IF(OR(F63="Hybrid - min 4 swimmers (no DD)",LEFT(F63,5)="Trans"),"No DD",CONCATENATE("BM = ",I64))),"")</f>
        <v/>
      </c>
      <c r="I63" s="57"/>
      <c r="J63" s="124"/>
      <c r="K63" s="129"/>
      <c r="L63" s="129"/>
      <c r="M63" s="129"/>
      <c r="N63" s="129"/>
      <c r="O63" s="129"/>
      <c r="P63" s="129"/>
      <c r="Q63" s="129"/>
      <c r="R63" s="129"/>
      <c r="S63" s="129"/>
      <c r="T63" s="129"/>
      <c r="U63" s="129"/>
      <c r="V63" s="129"/>
      <c r="W63" s="129"/>
      <c r="X63" s="129"/>
      <c r="Y63" s="129"/>
      <c r="Z63" s="129"/>
      <c r="AA63" s="129"/>
      <c r="AB63" s="129"/>
      <c r="AC63" s="129"/>
      <c r="AD63" s="129"/>
      <c r="AE63" s="129"/>
      <c r="AF63" s="129"/>
      <c r="AG63" s="129"/>
      <c r="AH63" s="129"/>
      <c r="AI63" s="129"/>
      <c r="AJ63" s="129"/>
      <c r="AK63" s="129"/>
      <c r="AL63" s="129"/>
      <c r="AM63" s="129"/>
      <c r="AN63" s="179"/>
      <c r="AO63" s="43"/>
      <c r="AP63" s="74"/>
      <c r="AQ63" s="74"/>
      <c r="AR63" s="104"/>
      <c r="AS63" s="104"/>
      <c r="AT63" s="104"/>
      <c r="AU63" s="104"/>
      <c r="AV63" s="104"/>
      <c r="AW63" s="104"/>
      <c r="AX63" s="104"/>
      <c r="AY63" s="104"/>
      <c r="AZ63" s="104"/>
      <c r="BA63" s="104"/>
      <c r="BB63" s="104"/>
      <c r="BC63" s="104"/>
      <c r="BD63" s="104"/>
      <c r="BE63" s="104"/>
      <c r="BF63" s="104"/>
      <c r="BG63" s="104" t="str">
        <f>IFERROR(IF(F63&lt;&gt;"",INDEX(Parts_Active,MATCH(F63,Parts_Active,0)),""),"No")</f>
        <v/>
      </c>
      <c r="BH63" s="104"/>
      <c r="BI63" s="104" t="str">
        <f t="shared" ref="BI63" si="2129">IF($E64="H",IF($F63="Hybrid - Thrust + 2 connections","Hybrid_Mix_Req","HybridDD_Code"),IF($E64=3,"TreDD_Code",IF($E64="PA","AcroPair_Code",IF(LEFT($F63,4)="Acro",CONCATENATE(BI$16,$E64,"_Code"),"Data!$BI$1:$BI$5"))))</f>
        <v>Data!$BI$1:$BI$5</v>
      </c>
      <c r="BJ63" s="104" t="str">
        <f t="shared" ref="BJ63" si="2130">IF($E64="H",IF($F63="Hybrid - Thrust + 2 connections","Hybrid_Mix_Req","HybridDD_Code"),IF($E64=3,"TreDD_Code",IF($E64="PA","AcroPair_Code",IF(LEFT($F63,4)="Acro",CONCATENATE(BJ$16,$E64,"_Code"),"Data!$BI$1:$BI$5"))))</f>
        <v>Data!$BI$1:$BI$5</v>
      </c>
      <c r="BK63" s="104" t="str">
        <f t="shared" ref="BK63" si="2131">IF($E64="H",IF($F63="Hybrid - Thrust + 2 connections","Hybrid_Mix_Req","HybridDD_Code"),IF($E64=3,"TreDD_Code",IF($E64="PA","AcroPair_Code",IF(LEFT($F63,4)="Acro",CONCATENATE(BK$16,$E64,"_Code"),"Data!$BI$1:$BI$5"))))</f>
        <v>Data!$BI$1:$BI$5</v>
      </c>
      <c r="BL63" s="104" t="str">
        <f t="shared" ref="BL63" si="2132">IF($E64="H",IF($F63="Hybrid - Thrust + 2 connections","Data!$BI$1:$BI$5","HybridDD_Code"),IF($E64=3,"Data!$BI$1:$BI$5",IF(LEFT($F63,4)="Acro",CONCATENATE(BL$16,$E64,"_Code"),IF($E64="PA","","Data!$BI$1:$BI$5"))))</f>
        <v>Data!$BI$1:$BI$5</v>
      </c>
      <c r="BM63" s="104" t="str">
        <f t="shared" ref="BM63" si="2133">IF($E64="H",IF($F63="Hybrid - Thrust + 2 connections","Data!$BI$1:$BI$5","HybridDD_Code"),IF($E64=3,"Data!$BI$1:$BI$5",IF(LEFT($F63,4)="Acro",CONCATENATE(BM$16,$E64,"_Code"),IF($E64="PA","","Data!$BI$1:$BI$5"))))</f>
        <v>Data!$BI$1:$BI$5</v>
      </c>
      <c r="BN63" s="104" t="str">
        <f t="shared" ref="BN63" si="2134">IF($E64="H",IF($F63="Hybrid - Thrust + 2 connections","Data!$BI$1:$BI$5","HybridDD_Code"),IF($E64=3,"Data!$BI$1:$BI$5",IF(LEFT($F63,4)="Acro",CONCATENATE(BN$16,$E64,"_Code"),IF($E64="PA","","Data!$BI$1:$BI$5"))))</f>
        <v>Data!$BI$1:$BI$5</v>
      </c>
      <c r="BO63" s="104" t="str">
        <f t="shared" ref="BO63" si="2135">IF($E64="H",IF($F63="Hybrid - Thrust + 2 connections","Data!$BI$1:$BI$5","HybridDD_Code"),IF($E64=3,"Data!$BI$1:$BI$5",IF(LEFT($F63,4)="Acro",CONCATENATE(BO$16,$E64,"_Code"),IF($E64="PA","","Data!$BI$1:$BI$5"))))</f>
        <v>Data!$BI$1:$BI$5</v>
      </c>
      <c r="BP63" s="104" t="str">
        <f t="shared" ref="BP63" si="2136">IF($E64="H",IF($F63="Hybrid - Thrust + 2 connections","Data!$BI$1:$BI$5","HybridDD_Code"),IF($E64=3,"Data!$BI$1:$BI$5",IF(LEFT($F63,4)="Acro",CONCATENATE(BP$16,$E64,"_Code"),IF($E64="PA","","Data!$BI$1:$BI$5"))))</f>
        <v>Data!$BI$1:$BI$5</v>
      </c>
      <c r="BQ63" s="104" t="str">
        <f t="shared" ref="BQ63" si="2137">IF($E64="H",IF($F63="Hybrid - Thrust + 2 connections","Data!$BI$1:$BI$5","HybridDD_Code"),IF($E64=3,"Data!$BI$1:$BI$5",IF(LEFT($F63,4)="Acro",CONCATENATE(BQ$16,$E64,"_Code"),IF($E64="PA","","Data!$BI$1:$BI$5"))))</f>
        <v>Data!$BI$1:$BI$5</v>
      </c>
      <c r="BR63" s="104" t="str">
        <f t="shared" ref="BR63" si="2138">IF($E64="H",IF($F63="Hybrid - Thrust + 2 connections","Data!$BI$1:$BI$5","HybridDD_Code"),"Data!$BI$1:$BI$5")</f>
        <v>Data!$BI$1:$BI$5</v>
      </c>
      <c r="BS63" s="104" t="str">
        <f t="shared" si="2066"/>
        <v>Data!$BI$1:$BI$5</v>
      </c>
      <c r="BT63" s="104" t="str">
        <f t="shared" si="2066"/>
        <v>Data!$BI$1:$BI$5</v>
      </c>
      <c r="BU63" s="104" t="str">
        <f t="shared" si="2066"/>
        <v>Data!$BI$1:$BI$5</v>
      </c>
      <c r="BV63" s="104" t="str">
        <f t="shared" si="2066"/>
        <v>Data!$BI$1:$BI$5</v>
      </c>
      <c r="BW63" s="104" t="str">
        <f t="shared" si="2066"/>
        <v>Data!$BI$1:$BI$5</v>
      </c>
      <c r="BX63" s="104" t="str">
        <f t="shared" si="2066"/>
        <v>Data!$BI$1:$BI$5</v>
      </c>
      <c r="BY63" s="104" t="str">
        <f t="shared" si="2066"/>
        <v>Data!$BI$1:$BI$5</v>
      </c>
      <c r="BZ63" s="104" t="str">
        <f t="shared" si="2066"/>
        <v>Data!$BI$1:$BI$5</v>
      </c>
      <c r="CA63" s="104" t="str">
        <f t="shared" si="2066"/>
        <v>Data!$BI$1:$BI$5</v>
      </c>
      <c r="CB63" s="104" t="str">
        <f t="shared" si="2066"/>
        <v>Data!$BI$1:$BI$5</v>
      </c>
      <c r="CC63" s="104"/>
      <c r="CD63" s="104"/>
      <c r="CE63" s="104"/>
      <c r="CF63" s="104"/>
      <c r="CG63" s="104"/>
      <c r="CH63" s="104"/>
      <c r="CI63" s="104"/>
      <c r="CJ63" s="104"/>
      <c r="CK63" s="104"/>
      <c r="CL63" s="104"/>
      <c r="CM63" s="104"/>
      <c r="CN63" s="104"/>
      <c r="CO63" s="107" t="str">
        <f>IFERROR(TIME(0,A63,B63),"")</f>
        <v/>
      </c>
      <c r="CP63" s="108">
        <f>IFERROR(TIME(0,C63,D63),"")</f>
        <v>0</v>
      </c>
      <c r="CQ63" s="108" t="str">
        <f t="shared" ref="CQ63" si="2139">IF(CP63&gt;$D$12,"X","")</f>
        <v/>
      </c>
      <c r="CR63" s="102" t="str">
        <f>IF(AND(F63="Hybrid - Thrust + 2 connections",OR(LEFT(J63,1)="T",LEFT(K63,1)="T",LEFT(L63,1)="T",LEFT(PB63,1)="T",LEFT(M63,1)="T",LEFT(N63,1)="T",LEFT(O63,1)="T",LEFT(P63,1)="T",LEFT(Q63,1)="T",LEFT(R63,1)="T",LEFT(S63,1)="T",LEFT(T63,1)="T",LEFT(U63,1)="T",LEFT(V63,1)="T",LEFT(W63,1)="T",LEFT(X63,1)="T",LEFT(AK63,1)="T",LEFT(AL63,1)="T",LEFT(AM63,1)="T")),IF(OR(LEN(J63)=2,LEN(K63)=2,LEN(L63)=2,LEN(M63)=2,LEN(N63)=2,LEN(O63)=2,LEN(P63)=2,LEN(Q63)=2,LEN(R63)=2,LEN(S63)=2,LEN(T63)=2,LEN(U63)=2,LEN(V63)=2,LEN(W63)=2,LEN(X63)=2,LEN(Y63)=2,LEN(Z63)=2,LEN(AK63)=2,LEN(AL63)=2,LEN(AM63)=2),"X",""),"")</f>
        <v/>
      </c>
      <c r="CS63" s="105"/>
      <c r="CT63" s="102" t="str">
        <f>IF(LEFT(F63,4)="Acro",IF(AND(N63&lt;&gt;"",M63=RIGHT(N63,2)),"X","OK"),"")</f>
        <v/>
      </c>
      <c r="CU63" s="104" t="str">
        <f t="shared" ref="CU63:DB63" si="2140">IFERROR(IF(AND(LEFT($F63,4)="Acro",INDEX(Requ_App,MATCH(BI63,Requ_Code,0))="No"),"X",""),"")</f>
        <v/>
      </c>
      <c r="CV63" s="104" t="str">
        <f t="shared" si="2140"/>
        <v/>
      </c>
      <c r="CW63" s="104" t="str">
        <f t="shared" si="2140"/>
        <v/>
      </c>
      <c r="CX63" s="104" t="str">
        <f t="shared" si="2140"/>
        <v/>
      </c>
      <c r="CY63" s="104" t="str">
        <f t="shared" si="2140"/>
        <v/>
      </c>
      <c r="CZ63" s="104" t="str">
        <f t="shared" si="2140"/>
        <v/>
      </c>
      <c r="DA63" s="104" t="str">
        <f t="shared" si="2140"/>
        <v/>
      </c>
      <c r="DB63" s="104" t="str">
        <f t="shared" si="2140"/>
        <v/>
      </c>
      <c r="DC63" s="104" t="str">
        <f>IFERROR(IF(AND(LEFT($F63,4)="Acro",INDEX(Requ_App,MATCH(BP63,Requ_Code,0))="No"),"X",""),"")</f>
        <v/>
      </c>
      <c r="DD63" s="102" t="str">
        <f t="shared" si="1643"/>
        <v/>
      </c>
      <c r="DE63" s="102" t="str">
        <f t="shared" si="1644"/>
        <v/>
      </c>
      <c r="DF63" s="102" t="str">
        <f t="shared" si="1645"/>
        <v/>
      </c>
      <c r="DG63" s="102" t="str">
        <f t="shared" si="1646"/>
        <v/>
      </c>
      <c r="DK63" s="102">
        <f>IF(AND(E64="A",OR(Q63="Grip",Q63="Conn",Q63="Catch")),"A1",IF(AND(E64="A",OR(Q63="Hula",Q63="RetSq",Q63="RetPa")),"A2",IF(AND(E64="B",OR(Q63="Twirl",Q63="RotF")),"B1",IF(AND(E64="B",OR(Q63="Moon",Q63="Mov")),"B2",IF(AND(E64="B",Q63="Hold"),"B3",IF(AND(E64="P",OR(Q63="Porp",Q63="Spich")),"P1",IF(AND(E64="P",OR(Q63="Diva",Q63="Ps1",Q63="Ps1t0.5",Q63="Ps1op",Q63="Ps1t0,5o",Q63="Ps1t1",Q63="CH+")),"P2",IF(AND(E64="P",OR(Q63="Spider",Q63="Climb")),"P3",IF(AND(E64="P",OR(Q63="Fall",Q63="FTurn")),"P4",IF(AND(E64="C",OR(Q63="Jump",Q63="Jump&gt;",Q63="On1Foot",Q63="1F&gt;1F")),"C1",IF(AND(E64="C",OR(Q63="Run",Q63="BRun")),"C2",1)))))))))))</f>
        <v>1</v>
      </c>
      <c r="DL63" s="102">
        <f>IF(AND(E64="A",OR(R63="Grip",R63="Conn",R63="Catch")),"A1",IF(AND(E64="A",OR(R63="Hula",R63="RetSq",R63="RetPa")),"A2",IF(AND(E64="B",OR(R63="Twirl",R63="RotF")),"B1",IF(AND(E64="B",OR(R63="Moon",R63="Mov")),"B3",IF(AND(E64="B",R63="Hold"),"B2",IF(AND(E64="P",OR(R63="Porp",R63="Spich")),"P1",IF(AND(E64="P",OR(R63="Diva",R63="Ps1",R63="Ps1t0.5",R63="Ps1op",R63="Ps1t0,5o",R63="Ps1t1",R63="CH+")),"P2",IF(AND(E64="P",OR(R63="Spider",R63="Climb")),"P3",IF(AND(E64="P",OR(R63="Fall",R63="FTurn")),"P4",IF(AND(E64="C",OR(R63="Jump",R63="Jump&gt;",R63="On1Foot",R63="1F&gt;1F")),"C1",IF(AND(E64="C",OR(R63="Run",R63="BRun")),"C2",2)))))))))))</f>
        <v>2</v>
      </c>
      <c r="DM63" s="102" t="str">
        <f>IF(AND(LEFT(F63,4)="Acro",Q63&lt;&gt;"",OR(Q63=R63,DK63=DL63)),IF(R63="C-Roll","","X"),IF(OR(AND(E64="A",Q63="Catch",R63&lt;&gt;"Dbl"),AND(E64="A",R63="Catch",Q63&lt;&gt;"Dbl")),"X",""))</f>
        <v/>
      </c>
      <c r="DN63" s="102" t="str">
        <f>IF(E64="PA",J63,"")</f>
        <v/>
      </c>
      <c r="DO63" s="102">
        <v>45</v>
      </c>
      <c r="DQ63" s="102" t="str">
        <f>IF(AND($E64="A",COUNTIF($DZ$19:$EA$68,DZ63)&gt;1),DZ63,"")</f>
        <v/>
      </c>
      <c r="DR63" s="102" t="str">
        <f>IF(AND($E64="A",COUNTIF($DZ$19:$EA$68,EA63)&gt;1),EA63,"")</f>
        <v/>
      </c>
      <c r="DS63" s="102" t="str">
        <f ca="1">IF(AND($E64="B",COUNTIF($J$19:$J$68,J63)&gt;1),J63,"")</f>
        <v/>
      </c>
      <c r="DT63" s="102" t="str">
        <f ca="1">IF(AND($E64="B",COUNTIF($K$19:$K$68,K63)&gt;1),K63,"")</f>
        <v/>
      </c>
      <c r="DU63" s="102" t="str">
        <f ca="1">IF(AND($E64="C",COUNTIF($J$19:$J$68,J63)&gt;1),J63,"")</f>
        <v/>
      </c>
      <c r="DV63" s="102" t="str">
        <f ca="1">IF(AND($E64="P",COUNTIF($J$19:$J$68,J63)&gt;1),J63,"")</f>
        <v/>
      </c>
      <c r="DW63" s="102" t="str">
        <f ca="1">IF(AND($E64="P",COUNTIF($K$19:$K$68,K63)&gt;1),K63,"")</f>
        <v/>
      </c>
      <c r="DX63" s="102" t="str">
        <f>IF(AND($E64="P",COUNTIF($DZ$19:$EA$68,DZ63)&gt;1),DZ63,"")</f>
        <v/>
      </c>
      <c r="DY63" s="102" t="str">
        <f>IF(AND($E64="P",COUNTIF($DZ$19:$EA$68,EA63)&gt;1),EA63,"")</f>
        <v/>
      </c>
      <c r="DZ63" s="102" t="str">
        <f>IFERROR(IF(OR(E64="A",E64="P"),M63,""),"")</f>
        <v/>
      </c>
      <c r="EA63" s="102" t="str">
        <f>IFERROR(IF(OR(E64="A",E64="P"),RIGHT(N63,2),""),"")</f>
        <v/>
      </c>
      <c r="EF63" s="102" t="str">
        <f>IF(AND($F$8="Open Team Acrobatic",LEFT(F63,4)="Acro"),E64,"")</f>
        <v/>
      </c>
      <c r="EG63" s="102" t="str">
        <f t="shared" ref="EG63" si="2141">IFERROR(IF(HLOOKUP(EF63,$DQ$12:$DT$13,2,FALSE)&gt;2,"X",""),"")</f>
        <v/>
      </c>
      <c r="EI63" s="102" t="str">
        <f>IF(OR(AND(F63="Hybrid - Thrust + 2 connections",EI64="T"),AND(F63="Hybrid - Free",EI64&lt;&gt;"")),"X","")</f>
        <v/>
      </c>
      <c r="EK63" s="102">
        <f t="shared" ref="EK63:FA63" si="2142">IFERROR(IF(AND($E64="H",J63&lt;&gt;""),IF(OR(LEFT(J63,1)="T",LEFT(J63,1)="S",LEFT(J63,1)="A",LEFT(J63,1)="F",LEFT(J63,1)="C"),LEFT(J63,1),"R"),EK$18),"")</f>
        <v>1</v>
      </c>
      <c r="EL63" s="102">
        <f t="shared" si="2142"/>
        <v>2</v>
      </c>
      <c r="EM63" s="102">
        <f t="shared" si="2142"/>
        <v>3</v>
      </c>
      <c r="EN63" s="102">
        <f t="shared" si="2142"/>
        <v>4</v>
      </c>
      <c r="EO63" s="102">
        <f t="shared" si="2142"/>
        <v>5</v>
      </c>
      <c r="EP63" s="102">
        <f t="shared" si="2142"/>
        <v>6</v>
      </c>
      <c r="EQ63" s="102">
        <f t="shared" si="2142"/>
        <v>7</v>
      </c>
      <c r="ER63" s="102">
        <f t="shared" si="2142"/>
        <v>8</v>
      </c>
      <c r="ES63" s="102">
        <f t="shared" si="2142"/>
        <v>9</v>
      </c>
      <c r="ET63" s="102">
        <f t="shared" si="2142"/>
        <v>10</v>
      </c>
      <c r="EU63" s="102">
        <f t="shared" si="2142"/>
        <v>11</v>
      </c>
      <c r="EV63" s="102">
        <f t="shared" si="2142"/>
        <v>12</v>
      </c>
      <c r="EW63" s="102">
        <f t="shared" si="2142"/>
        <v>13</v>
      </c>
      <c r="EX63" s="102">
        <f t="shared" si="2142"/>
        <v>14</v>
      </c>
      <c r="EY63" s="102">
        <f t="shared" si="2142"/>
        <v>15</v>
      </c>
      <c r="EZ63" s="102">
        <f t="shared" si="2142"/>
        <v>16</v>
      </c>
      <c r="FA63" s="102">
        <f t="shared" si="2142"/>
        <v>17</v>
      </c>
      <c r="FB63" s="102">
        <f t="shared" ref="FB63" si="2143">IFERROR(IF(AND($E64="H",AK63&lt;&gt;""),IF(OR(LEFT(AK63,1)="T",LEFT(AK63,1)="S",LEFT(AK63,1)="A",LEFT(AK63,1)="F",LEFT(AK63,1)="C"),LEFT(AK63,1),"R"),FB$18),"")</f>
        <v>18</v>
      </c>
      <c r="FC63" s="102">
        <f t="shared" ref="FC63" si="2144">IFERROR(IF(AND($E64="H",AL63&lt;&gt;""),IF(OR(LEFT(AL63,1)="T",LEFT(AL63,1)="S",LEFT(AL63,1)="A",LEFT(AL63,1)="F",LEFT(AL63,1)="C"),LEFT(AL63,1),"R"),FC$18),"")</f>
        <v>19</v>
      </c>
      <c r="FD63" s="102">
        <f t="shared" ref="FD63" si="2145">IFERROR(IF(AND($E64="H",AM63&lt;&gt;""),IF(OR(LEFT(AM63,1)="T",LEFT(AM63,1)="S",LEFT(AM63,1)="A",LEFT(AM63,1)="F",LEFT(AM63,1)="C"),LEFT(AM63,1),"R"),FD$18),"")</f>
        <v>20</v>
      </c>
      <c r="FE63" s="102"/>
      <c r="FF63" s="102"/>
      <c r="FG63" s="102"/>
      <c r="FH63" s="102"/>
      <c r="FI63" s="102"/>
      <c r="FJ63" s="102"/>
      <c r="FK63" s="102"/>
      <c r="FL63" s="102"/>
      <c r="FM63" s="102"/>
      <c r="FN63" s="102"/>
      <c r="FO63" s="102"/>
      <c r="FP63" s="102"/>
      <c r="FQ63" s="102"/>
      <c r="FR63" s="102">
        <f t="shared" ref="FR63:GH63" si="2146">IFERROR(IF(J63&lt;&gt;"",UPPER(J63),FR$18),FR$18)</f>
        <v>1</v>
      </c>
      <c r="FS63" s="102">
        <f t="shared" si="2146"/>
        <v>2</v>
      </c>
      <c r="FT63" s="102">
        <f t="shared" si="2146"/>
        <v>3</v>
      </c>
      <c r="FU63" s="102">
        <f t="shared" si="2146"/>
        <v>4</v>
      </c>
      <c r="FV63" s="102">
        <f t="shared" si="2146"/>
        <v>5</v>
      </c>
      <c r="FW63" s="102">
        <f t="shared" si="2146"/>
        <v>6</v>
      </c>
      <c r="FX63" s="102">
        <f t="shared" si="2146"/>
        <v>7</v>
      </c>
      <c r="FY63" s="102">
        <f t="shared" si="2146"/>
        <v>8</v>
      </c>
      <c r="FZ63" s="102">
        <f t="shared" si="2146"/>
        <v>9</v>
      </c>
      <c r="GA63" s="102">
        <f t="shared" si="2146"/>
        <v>10</v>
      </c>
      <c r="GB63" s="102">
        <f t="shared" si="2146"/>
        <v>11</v>
      </c>
      <c r="GC63" s="102">
        <f t="shared" si="2146"/>
        <v>12</v>
      </c>
      <c r="GD63" s="102">
        <f t="shared" si="2146"/>
        <v>13</v>
      </c>
      <c r="GE63" s="102">
        <f t="shared" si="2146"/>
        <v>14</v>
      </c>
      <c r="GF63" s="102">
        <f t="shared" si="2146"/>
        <v>15</v>
      </c>
      <c r="GG63" s="102">
        <f t="shared" si="2146"/>
        <v>16</v>
      </c>
      <c r="GH63" s="102">
        <f t="shared" si="2146"/>
        <v>17</v>
      </c>
      <c r="GI63" s="102">
        <f>IFERROR(IF(AK63&lt;&gt;"",UPPER(AK63),GI$18),GI$18)</f>
        <v>18</v>
      </c>
      <c r="GJ63" s="102">
        <f>IFERROR(IF(AL63&lt;&gt;"",UPPER(AL63),GJ$18),GJ$18)</f>
        <v>19</v>
      </c>
      <c r="GK63" s="102">
        <f>IFERROR(IF(AM63&lt;&gt;"",UPPER(AM63),GK$18),GK$18)</f>
        <v>20</v>
      </c>
      <c r="GL63" s="102"/>
      <c r="GM63" s="102"/>
      <c r="GN63" s="102"/>
      <c r="GO63" s="102"/>
      <c r="GP63" s="102"/>
      <c r="GQ63" s="102"/>
      <c r="GR63" s="102"/>
      <c r="GS63" s="102"/>
      <c r="GT63" s="102"/>
      <c r="GU63" s="102"/>
      <c r="GV63" s="102"/>
      <c r="GW63" s="102">
        <f t="shared" ref="GW63:HB63" si="2147">COUNTIF($EK63:$FD63,GW$18)</f>
        <v>0</v>
      </c>
      <c r="GX63" s="102">
        <f t="shared" si="2147"/>
        <v>0</v>
      </c>
      <c r="GY63" s="102">
        <f t="shared" si="2147"/>
        <v>0</v>
      </c>
      <c r="GZ63" s="102">
        <f t="shared" si="2147"/>
        <v>0</v>
      </c>
      <c r="HA63" s="102">
        <f t="shared" si="2147"/>
        <v>0</v>
      </c>
      <c r="HB63" s="102">
        <f t="shared" si="2147"/>
        <v>0</v>
      </c>
      <c r="HC63" s="102"/>
      <c r="HD63" s="102" t="str">
        <f t="shared" ref="HD63" si="2148">IF(AND($F63="Hybrid - Thrust + 2 connections",HD64=0,LEFT($J63,1)="C",LEFT($K63,1)="C",LEFT($L63,1)="C"),"X","")</f>
        <v/>
      </c>
      <c r="HE63" s="102"/>
      <c r="HF63" s="105"/>
      <c r="HG63" s="114"/>
      <c r="HH63" s="114"/>
      <c r="HI63" s="105" t="str">
        <f>IF(E64=3,_xlfn.NUMBERVALUE(LEFT(J63,1)),"")</f>
        <v/>
      </c>
    </row>
    <row r="64" spans="1:222" hidden="1" x14ac:dyDescent="0.25">
      <c r="A64" s="39"/>
      <c r="B64" s="40"/>
      <c r="C64" s="40"/>
      <c r="D64" s="40"/>
      <c r="E64" s="20" t="str">
        <f t="shared" ref="E64" si="2149">IF(F63="Acrobatic - Pair","PA",IF(F63="Acrobatic Airborn","A",IF(F63="Acrobatic Balance","B",IF(F63="Acrobatic Combined","C",IF(F63="Acrobatic Platform","P",IF(F63="Technical Required Element",3,IF(LEFT(F63,4)="Hybr","H","")))))))</f>
        <v/>
      </c>
      <c r="F64" s="20" t="str">
        <f>IF(AND(F63="Hybrid - Thrust + 2 connections",CR63="X"),"Hybrid - Thrust",IF(OR(E64="A",E64="B",E64="C",E64="P"),"Acrobatic",""))</f>
        <v/>
      </c>
      <c r="G64" s="42"/>
      <c r="H64" s="207" t="str">
        <f t="shared" ref="H64" si="2150">IF(E64="PA",IF(OR(LEFT(J63,1)="L",LEFT(J63,1)="S"),"A-Pair-Lift",IF(OR(LEFT(J63,1)="W",LEFT(J63,1)="T"),"A-Pair-Throw",IF(LEFT(J63,1)="J","A-Pair-Jump","A-Pair"))),IF(OR(E64="A",E64="B",E64="C",E64="P"),CONCATENATE("Acro-",E64),""))</f>
        <v/>
      </c>
      <c r="I64" s="201" t="e">
        <f t="shared" ref="I64" si="2151">IF(OR(F63="Hybrid - min 4 swimmers (no DD)",LEFT(F63,5)="Trans"),0,INDEX($BY$3:$BY$9,MATCH(E64,$BX$3:$BX$9,0)))</f>
        <v>#N/A</v>
      </c>
      <c r="J64" s="196">
        <f t="shared" ref="J64:Z64" ca="1" si="2152">IFERROR(IF($H63="No DD",0,IF(OR(ISBLANK(J63),J63="N/A"),0,INDEX(INDIRECT(BI64),MATCH(J63,INDIRECT(BI63),0)))),0)</f>
        <v>0</v>
      </c>
      <c r="K64" s="196">
        <f t="shared" ca="1" si="2152"/>
        <v>0</v>
      </c>
      <c r="L64" s="196">
        <f t="shared" ca="1" si="2152"/>
        <v>0</v>
      </c>
      <c r="M64" s="196">
        <f t="shared" ca="1" si="2152"/>
        <v>0</v>
      </c>
      <c r="N64" s="196">
        <f t="shared" ca="1" si="2152"/>
        <v>0</v>
      </c>
      <c r="O64" s="196">
        <f t="shared" ca="1" si="2152"/>
        <v>0</v>
      </c>
      <c r="P64" s="196">
        <f t="shared" ca="1" si="2152"/>
        <v>0</v>
      </c>
      <c r="Q64" s="196">
        <f t="shared" ca="1" si="2152"/>
        <v>0</v>
      </c>
      <c r="R64" s="196">
        <f t="shared" ca="1" si="2152"/>
        <v>0</v>
      </c>
      <c r="S64" s="196">
        <f t="shared" ca="1" si="2152"/>
        <v>0</v>
      </c>
      <c r="T64" s="196">
        <f t="shared" ca="1" si="2152"/>
        <v>0</v>
      </c>
      <c r="U64" s="196">
        <f t="shared" ca="1" si="2152"/>
        <v>0</v>
      </c>
      <c r="V64" s="196">
        <f t="shared" ca="1" si="2152"/>
        <v>0</v>
      </c>
      <c r="W64" s="196">
        <f t="shared" ca="1" si="2152"/>
        <v>0</v>
      </c>
      <c r="X64" s="196">
        <f t="shared" ca="1" si="2152"/>
        <v>0</v>
      </c>
      <c r="Y64" s="196">
        <f t="shared" ca="1" si="2152"/>
        <v>0</v>
      </c>
      <c r="Z64" s="196">
        <f t="shared" ca="1" si="2152"/>
        <v>0</v>
      </c>
      <c r="AA64" s="196">
        <f ca="1">IFERROR(IF($H63="No DD",0,IF(OR(ISBLANK(AA63),AA63="N/A"),0,INDEX(INDIRECT(BX64),MATCH(AA63,INDIRECT(BX63),0)))),0)</f>
        <v>0</v>
      </c>
      <c r="AB64" s="196">
        <f ca="1">IFERROR(IF($H63="No DD",0,IF(OR(ISBLANK(AB63),AB63="N/A"),0,INDEX(INDIRECT(BY64),MATCH(AB63,INDIRECT(BY63),0)))),0)</f>
        <v>0</v>
      </c>
      <c r="AC64" s="196">
        <f ca="1">IFERROR(IF($H63="No DD",0,IF(OR(ISBLANK(AC63),AC63="N/A"),0,INDEX(INDIRECT(BX64),MATCH(AC63,INDIRECT(BX63),0)))),0)</f>
        <v>0</v>
      </c>
      <c r="AD64" s="196">
        <f ca="1">IFERROR(IF($H63="No DD",0,IF(OR(ISBLANK(AD63),AD63="N/A"),0,INDEX(INDIRECT(BY64),MATCH(AD63,INDIRECT(BY63),0)))),0)</f>
        <v>0</v>
      </c>
      <c r="AE64" s="196">
        <f ca="1">IFERROR(IF($H63="No DD",0,IF(OR(ISBLANK(AE63),AE63="N/A"),0,INDEX(INDIRECT(BX64),MATCH(AE63,INDIRECT(BX63),0)))),0)</f>
        <v>0</v>
      </c>
      <c r="AF64" s="196">
        <f ca="1">IFERROR(IF($H63="No DD",0,IF(OR(ISBLANK(AF63),AF63="N/A"),0,INDEX(INDIRECT(BY64),MATCH(AF63,INDIRECT(BY63),0)))),0)</f>
        <v>0</v>
      </c>
      <c r="AG64" s="196">
        <f ca="1">IFERROR(IF($H63="No DD",0,IF(OR(ISBLANK(AG63),AG63="N/A"),0,INDEX(INDIRECT(BX64),MATCH(AG63,INDIRECT(BX63),0)))),0)</f>
        <v>0</v>
      </c>
      <c r="AH64" s="196">
        <f ca="1">IFERROR(IF($H63="No DD",0,IF(OR(ISBLANK(AH63),AH63="N/A"),0,INDEX(INDIRECT(BY64),MATCH(AH63,INDIRECT(BY63),0)))),0)</f>
        <v>0</v>
      </c>
      <c r="AI64" s="196">
        <f t="shared" ref="AI64" ca="1" si="2153">IFERROR(IF($H63="No DD",0,IF(OR(ISBLANK(AI63),AI63="N/A"),0,INDEX(INDIRECT(BX64),MATCH(AI63,INDIRECT(BX63),0)))),0)</f>
        <v>0</v>
      </c>
      <c r="AJ64" s="196">
        <f t="shared" ref="AJ64" ca="1" si="2154">IFERROR(IF($H63="No DD",0,IF(OR(ISBLANK(AJ63),AJ63="N/A"),0,INDEX(INDIRECT(BY64),MATCH(AJ63,INDIRECT(BY63),0)))),0)</f>
        <v>0</v>
      </c>
      <c r="AK64" s="196">
        <f t="shared" ref="AK64" ca="1" si="2155">IFERROR(IF($H63="No DD",0,IF(OR(ISBLANK(AK63),AK63="N/A"),0,INDEX(INDIRECT(BZ64),MATCH(AK63,INDIRECT(BZ63),0)))),0)</f>
        <v>0</v>
      </c>
      <c r="AL64" s="196">
        <f t="shared" ref="AL64" ca="1" si="2156">IFERROR(IF($H63="No DD",0,IF(OR(ISBLANK(AL63),AL63="N/A"),0,INDEX(INDIRECT(CA64),MATCH(AL63,INDIRECT(CA63),0)))),0)</f>
        <v>0</v>
      </c>
      <c r="AM64" s="196">
        <f t="shared" ref="AM64" ca="1" si="2157">IFERROR(IF($H63="No DD",0,IF(OR(ISBLANK(AM63),AM63="N/A"),0,INDEX(INDIRECT(CB64),MATCH(AM63,INDIRECT(CB63),0)))),0)</f>
        <v>0</v>
      </c>
      <c r="AN64" s="197" t="str">
        <f>IFERROR(IF(E64="H",INDEX(HybridBonus_Value,MATCH(AN63,HybridBonus_Code,0)),""),"")</f>
        <v/>
      </c>
      <c r="AO64" s="195" t="str">
        <f>IFERROR(IF(J63&lt;&gt;"",SUM(I64:AN64),""),"")</f>
        <v/>
      </c>
      <c r="AP64" s="75"/>
      <c r="AQ64" s="75"/>
      <c r="AR64" s="115"/>
      <c r="AS64" s="115"/>
      <c r="AT64" s="115"/>
      <c r="AU64" s="115"/>
      <c r="AV64" s="115"/>
      <c r="AW64" s="115"/>
      <c r="AX64" s="115"/>
      <c r="AY64" s="115"/>
      <c r="AZ64" s="115"/>
      <c r="BA64" s="115"/>
      <c r="BB64" s="115"/>
      <c r="BC64" s="115"/>
      <c r="BD64" s="115"/>
      <c r="BE64" s="115"/>
      <c r="BF64" s="115"/>
      <c r="BG64" s="104"/>
      <c r="BH64" s="115"/>
      <c r="BI64" s="105" t="str">
        <f t="shared" ref="BI64" si="2158">IF($E64="H","HybridDD_Value",IF($E64=3,"TreDD_Value",IF($E64="PA","AcroPair_Value",IF(LEFT($F63,4)="Acro",CONCATENATE(BI$16,$E64,"_Value"),""))))</f>
        <v/>
      </c>
      <c r="BJ64" s="105" t="str">
        <f t="shared" ref="BJ64:BK64" si="2159">IF($E64="H","HybridDD_Value",IF($E64=3,"",IF(LEFT($F63,4)="Acro",CONCATENATE(BJ$16,$E64,"_Value"),IF($E64="PA","",""))))</f>
        <v/>
      </c>
      <c r="BK64" s="105" t="str">
        <f t="shared" si="2159"/>
        <v/>
      </c>
      <c r="BL64" s="105" t="str">
        <f t="shared" ref="BL64:BQ64" si="2160">IF($E64="H","HybridDD_Value",IF($E64=3,"",IF(LEFT($F63,4)="Acro",CONCATENATE(BL$16,$E64,"_Value"),IF($E64="PA","",""))))</f>
        <v/>
      </c>
      <c r="BM64" s="105" t="str">
        <f t="shared" si="2160"/>
        <v/>
      </c>
      <c r="BN64" s="105" t="str">
        <f t="shared" si="2160"/>
        <v/>
      </c>
      <c r="BO64" s="105" t="str">
        <f t="shared" si="2160"/>
        <v/>
      </c>
      <c r="BP64" s="105" t="str">
        <f t="shared" si="2160"/>
        <v/>
      </c>
      <c r="BQ64" s="105" t="str">
        <f t="shared" si="2160"/>
        <v/>
      </c>
      <c r="BR64" s="104" t="str">
        <f t="shared" ref="BR64" si="2161">IF($E64="H","HybridDD_Value","Data!$BI$1:$BI$5")</f>
        <v>Data!$BI$1:$BI$5</v>
      </c>
      <c r="BS64" s="104" t="str">
        <f t="shared" si="2066"/>
        <v>Data!$BI$1:$BI$5</v>
      </c>
      <c r="BT64" s="104" t="str">
        <f t="shared" si="2066"/>
        <v>Data!$BI$1:$BI$5</v>
      </c>
      <c r="BU64" s="104" t="str">
        <f t="shared" si="2066"/>
        <v>Data!$BI$1:$BI$5</v>
      </c>
      <c r="BV64" s="104" t="str">
        <f t="shared" si="2066"/>
        <v>Data!$BI$1:$BI$5</v>
      </c>
      <c r="BW64" s="104" t="str">
        <f t="shared" si="2066"/>
        <v>Data!$BI$1:$BI$5</v>
      </c>
      <c r="BX64" s="104" t="str">
        <f t="shared" si="2066"/>
        <v>Data!$BI$1:$BI$5</v>
      </c>
      <c r="BY64" s="104" t="str">
        <f t="shared" si="2066"/>
        <v>Data!$BI$1:$BI$5</v>
      </c>
      <c r="BZ64" s="104" t="str">
        <f t="shared" si="2066"/>
        <v>Data!$BI$1:$BI$5</v>
      </c>
      <c r="CA64" s="104" t="str">
        <f t="shared" si="2066"/>
        <v>Data!$BI$1:$BI$5</v>
      </c>
      <c r="CB64" s="104" t="str">
        <f t="shared" si="2066"/>
        <v>Data!$BI$1:$BI$5</v>
      </c>
      <c r="CC64" s="104"/>
      <c r="CD64" s="104"/>
      <c r="CE64" s="104"/>
      <c r="CF64" s="104"/>
      <c r="CG64" s="104"/>
      <c r="CH64" s="104"/>
      <c r="CI64" s="104"/>
      <c r="CJ64" s="104"/>
      <c r="CK64" s="104"/>
      <c r="CL64" s="104"/>
      <c r="CM64" s="115"/>
      <c r="CN64" s="115"/>
      <c r="CO64" s="116" t="str">
        <f>IFERROR(IF(AND($BV$6="T",$BV$8="T",LEFT(F63,4)="Acro",AO64&gt;3),"X",IF($N$7="X",IF(AND(E64="C",AO64&gt;$CN$6),"X",IF(AND(E64="A",AO64&gt;$CN$4),"X",IF(AND(E64="B",AO64&gt;$CN$5),"X",IF(AND(E64="P",AO64&gt;$CN$7),"X","")))),"")),"")</f>
        <v/>
      </c>
      <c r="CP64" s="107"/>
      <c r="CQ64" s="105"/>
      <c r="CS64" s="105"/>
      <c r="CT64" s="105"/>
      <c r="CU64" s="105"/>
      <c r="CV64" s="105"/>
      <c r="CW64" s="105"/>
      <c r="CX64" s="105"/>
      <c r="CY64" s="105"/>
      <c r="CZ64" s="105"/>
      <c r="DD64" s="102" t="str">
        <f t="shared" si="1643"/>
        <v/>
      </c>
      <c r="DE64" s="102" t="str">
        <f t="shared" si="1644"/>
        <v/>
      </c>
      <c r="DF64" s="102" t="str">
        <f t="shared" si="1645"/>
        <v/>
      </c>
      <c r="DG64" s="102" t="str">
        <f t="shared" si="1646"/>
        <v/>
      </c>
      <c r="DO64" s="102">
        <v>46</v>
      </c>
      <c r="EI64" s="102" t="str" cm="1">
        <f t="array" ref="EI64">IFERROR(INDEX(EK64:FD64,MATCH(TRUE,INDEX((EK64:FD64&lt;&gt;""),),0)),"")</f>
        <v/>
      </c>
      <c r="EK64" s="102" t="str">
        <f t="shared" ref="EK64:FD64" si="2162">IF(F63="Hybrid - Thrust + 2 connections",IF(COUNTIF($EK63:$FD63,EK63)&gt;1,EK63,""),IF(COUNTIF($EK63:$FD63,EK63)&gt;5,EK63,""))</f>
        <v/>
      </c>
      <c r="EL64" s="102" t="str">
        <f t="shared" si="2162"/>
        <v/>
      </c>
      <c r="EM64" s="102" t="str">
        <f t="shared" si="2162"/>
        <v/>
      </c>
      <c r="EN64" s="102" t="str">
        <f t="shared" si="2162"/>
        <v/>
      </c>
      <c r="EO64" s="102" t="str">
        <f t="shared" si="2162"/>
        <v/>
      </c>
      <c r="EP64" s="102" t="str">
        <f t="shared" si="2162"/>
        <v/>
      </c>
      <c r="EQ64" s="102" t="str">
        <f t="shared" si="2162"/>
        <v/>
      </c>
      <c r="ER64" s="102" t="str">
        <f t="shared" si="2162"/>
        <v/>
      </c>
      <c r="ES64" s="102" t="str">
        <f t="shared" si="2162"/>
        <v/>
      </c>
      <c r="ET64" s="102" t="str">
        <f t="shared" si="2162"/>
        <v/>
      </c>
      <c r="EU64" s="102" t="str">
        <f t="shared" si="2162"/>
        <v/>
      </c>
      <c r="EV64" s="102" t="str">
        <f t="shared" si="2162"/>
        <v/>
      </c>
      <c r="EW64" s="102" t="str">
        <f t="shared" si="2162"/>
        <v/>
      </c>
      <c r="EX64" s="102" t="str">
        <f t="shared" si="2162"/>
        <v/>
      </c>
      <c r="EY64" s="102" t="str">
        <f t="shared" si="2162"/>
        <v/>
      </c>
      <c r="EZ64" s="102" t="str">
        <f t="shared" si="2162"/>
        <v/>
      </c>
      <c r="FA64" s="102" t="str">
        <f t="shared" si="2162"/>
        <v/>
      </c>
      <c r="FB64" s="102" t="str">
        <f t="shared" si="2162"/>
        <v/>
      </c>
      <c r="FC64" s="102" t="str">
        <f t="shared" si="2162"/>
        <v/>
      </c>
      <c r="FD64" s="102" t="str">
        <f t="shared" si="2162"/>
        <v/>
      </c>
      <c r="FE64" s="102"/>
      <c r="FF64" s="102"/>
      <c r="FG64" s="102"/>
      <c r="FH64" s="102"/>
      <c r="FI64" s="102"/>
      <c r="FJ64" s="102"/>
      <c r="FK64" s="102"/>
      <c r="FL64" s="102"/>
      <c r="FM64" s="102"/>
      <c r="FN64" s="102"/>
      <c r="FO64" s="102"/>
      <c r="FP64" s="102"/>
      <c r="FQ64" s="102" t="str" cm="1">
        <f t="array" ref="FQ64">IFERROR(INDEX(FR64:GK64,MATCH(TRUE,INDEX((FR64:GK64&lt;&gt;""),),0)),"")</f>
        <v/>
      </c>
      <c r="FR64" s="102" t="str">
        <f t="shared" ref="FR64:GK64" si="2163">IF(COUNTIF($FR63:$GK63,FR63)&gt;3,FR63,"")</f>
        <v/>
      </c>
      <c r="FS64" s="102" t="str">
        <f t="shared" si="2163"/>
        <v/>
      </c>
      <c r="FT64" s="102" t="str">
        <f t="shared" si="2163"/>
        <v/>
      </c>
      <c r="FU64" s="102" t="str">
        <f t="shared" si="2163"/>
        <v/>
      </c>
      <c r="FV64" s="102" t="str">
        <f t="shared" si="2163"/>
        <v/>
      </c>
      <c r="FW64" s="102" t="str">
        <f t="shared" si="2163"/>
        <v/>
      </c>
      <c r="FX64" s="102" t="str">
        <f t="shared" si="2163"/>
        <v/>
      </c>
      <c r="FY64" s="102" t="str">
        <f t="shared" si="2163"/>
        <v/>
      </c>
      <c r="FZ64" s="102" t="str">
        <f t="shared" si="2163"/>
        <v/>
      </c>
      <c r="GA64" s="102" t="str">
        <f t="shared" si="2163"/>
        <v/>
      </c>
      <c r="GB64" s="102" t="str">
        <f t="shared" si="2163"/>
        <v/>
      </c>
      <c r="GC64" s="102" t="str">
        <f t="shared" si="2163"/>
        <v/>
      </c>
      <c r="GD64" s="102" t="str">
        <f t="shared" si="2163"/>
        <v/>
      </c>
      <c r="GE64" s="102" t="str">
        <f t="shared" si="2163"/>
        <v/>
      </c>
      <c r="GF64" s="102" t="str">
        <f t="shared" si="2163"/>
        <v/>
      </c>
      <c r="GG64" s="102" t="str">
        <f t="shared" si="2163"/>
        <v/>
      </c>
      <c r="GH64" s="102" t="str">
        <f t="shared" si="2163"/>
        <v/>
      </c>
      <c r="GI64" s="102" t="str">
        <f t="shared" si="2163"/>
        <v/>
      </c>
      <c r="GJ64" s="102" t="str">
        <f t="shared" si="2163"/>
        <v/>
      </c>
      <c r="GK64" s="102" t="str">
        <f t="shared" si="2163"/>
        <v/>
      </c>
      <c r="GL64" s="102"/>
      <c r="GM64" s="102"/>
      <c r="GN64" s="102"/>
      <c r="GO64" s="102"/>
      <c r="GP64" s="102"/>
      <c r="GQ64" s="102"/>
      <c r="GR64" s="102"/>
      <c r="GS64" s="102"/>
      <c r="GT64" s="102"/>
      <c r="GU64" s="102"/>
      <c r="GV64" s="102"/>
      <c r="GW64" s="102"/>
      <c r="GX64" s="102"/>
      <c r="GY64" s="102"/>
      <c r="GZ64" s="102"/>
      <c r="HA64" s="102"/>
      <c r="HB64" s="102"/>
      <c r="HC64" s="102"/>
      <c r="HD64" s="102" t="str">
        <f>IF($F63="Hybrid - Thrust + 2 connections",COUNTBLANK(J63:L63),"")</f>
        <v/>
      </c>
      <c r="HE64" s="102"/>
      <c r="HF64" s="105"/>
      <c r="HG64" s="105"/>
      <c r="HH64" s="105"/>
      <c r="HI64" s="105"/>
    </row>
    <row r="65" spans="1:231" hidden="1" x14ac:dyDescent="0.25">
      <c r="A65" s="39" t="str">
        <f>IF(AND(E63="",A63&lt;&gt;""),IF(CP63=$CP$18,"",IF(C63&lt;&gt;"",IF(D63=59,MINUTE(CP63)+1,MINUTE(CP63)),"")),"")</f>
        <v/>
      </c>
      <c r="B65" s="40" t="str">
        <f>IF(AND(E63="",B63&lt;&gt;""),IF(CP63=$CP$18,"",IF(C63&lt;&gt;"",IF(D63=59,0,SECOND(CP63)+1),"")),"")</f>
        <v/>
      </c>
      <c r="C65" s="50"/>
      <c r="D65" s="50"/>
      <c r="E65" s="9"/>
      <c r="F65" s="51"/>
      <c r="G65" s="42" t="str">
        <f>IF(F65&lt;&gt;"",IF(OR(F65="Transition",F65="Transition - Surface Connection"),0,MAX($G$19:G64)+1),"")</f>
        <v/>
      </c>
      <c r="H65" s="56" t="str">
        <f t="shared" ref="H65" si="2164">IFERROR(IF(E66="3","",IF(OR(F65="Hybrid - min 4 swimmers (no DD)",LEFT(F65,5)="Trans"),"No DD",CONCATENATE("BM = ",I66))),"")</f>
        <v/>
      </c>
      <c r="I65" s="57"/>
      <c r="J65" s="124"/>
      <c r="K65" s="129"/>
      <c r="L65" s="129"/>
      <c r="M65" s="129"/>
      <c r="N65" s="129"/>
      <c r="O65" s="129"/>
      <c r="P65" s="129"/>
      <c r="Q65" s="129"/>
      <c r="R65" s="129"/>
      <c r="S65" s="129"/>
      <c r="T65" s="129"/>
      <c r="U65" s="129"/>
      <c r="V65" s="129"/>
      <c r="W65" s="129"/>
      <c r="X65" s="129"/>
      <c r="Y65" s="129"/>
      <c r="Z65" s="129"/>
      <c r="AA65" s="129"/>
      <c r="AB65" s="129"/>
      <c r="AC65" s="129"/>
      <c r="AD65" s="129"/>
      <c r="AE65" s="129"/>
      <c r="AF65" s="129"/>
      <c r="AG65" s="129"/>
      <c r="AH65" s="129"/>
      <c r="AI65" s="129"/>
      <c r="AJ65" s="129"/>
      <c r="AK65" s="129"/>
      <c r="AL65" s="129"/>
      <c r="AM65" s="129"/>
      <c r="AN65" s="179"/>
      <c r="AO65" s="43"/>
      <c r="AP65" s="74"/>
      <c r="AQ65" s="74"/>
      <c r="AR65" s="104"/>
      <c r="AS65" s="104"/>
      <c r="AT65" s="104"/>
      <c r="AU65" s="104"/>
      <c r="AV65" s="104"/>
      <c r="AW65" s="104"/>
      <c r="AX65" s="104"/>
      <c r="AY65" s="104"/>
      <c r="AZ65" s="104"/>
      <c r="BA65" s="104"/>
      <c r="BB65" s="104"/>
      <c r="BC65" s="104"/>
      <c r="BD65" s="104"/>
      <c r="BE65" s="104"/>
      <c r="BF65" s="104"/>
      <c r="BG65" s="104" t="str">
        <f>IFERROR(IF(F65&lt;&gt;"",INDEX(Parts_Active,MATCH(F65,Parts_Active,0)),""),"No")</f>
        <v/>
      </c>
      <c r="BH65" s="104"/>
      <c r="BI65" s="104" t="str">
        <f t="shared" ref="BI65" si="2165">IF($E66="H",IF($F65="Hybrid - Thrust + 2 connections","Hybrid_Mix_Req","HybridDD_Code"),IF($E66=3,"TreDD_Code",IF($E66="PA","AcroPair_Code",IF(LEFT($F65,4)="Acro",CONCATENATE(BI$16,$E66,"_Code"),"Data!$BI$1:$BI$5"))))</f>
        <v>Data!$BI$1:$BI$5</v>
      </c>
      <c r="BJ65" s="104" t="str">
        <f t="shared" ref="BJ65" si="2166">IF($E66="H",IF($F65="Hybrid - Thrust + 2 connections","Hybrid_Mix_Req","HybridDD_Code"),IF($E66=3,"TreDD_Code",IF($E66="PA","AcroPair_Code",IF(LEFT($F65,4)="Acro",CONCATENATE(BJ$16,$E66,"_Code"),"Data!$BI$1:$BI$5"))))</f>
        <v>Data!$BI$1:$BI$5</v>
      </c>
      <c r="BK65" s="104" t="str">
        <f t="shared" ref="BK65" si="2167">IF($E66="H",IF($F65="Hybrid - Thrust + 2 connections","Hybrid_Mix_Req","HybridDD_Code"),IF($E66=3,"TreDD_Code",IF($E66="PA","AcroPair_Code",IF(LEFT($F65,4)="Acro",CONCATENATE(BK$16,$E66,"_Code"),"Data!$BI$1:$BI$5"))))</f>
        <v>Data!$BI$1:$BI$5</v>
      </c>
      <c r="BL65" s="104" t="str">
        <f t="shared" ref="BL65" si="2168">IF($E66="H",IF($F65="Hybrid - Thrust + 2 connections","Data!$BI$1:$BI$5","HybridDD_Code"),IF($E66=3,"Data!$BI$1:$BI$5",IF(LEFT($F65,4)="Acro",CONCATENATE(BL$16,$E66,"_Code"),IF($E66="PA","","Data!$BI$1:$BI$5"))))</f>
        <v>Data!$BI$1:$BI$5</v>
      </c>
      <c r="BM65" s="104" t="str">
        <f t="shared" ref="BM65" si="2169">IF($E66="H",IF($F65="Hybrid - Thrust + 2 connections","Data!$BI$1:$BI$5","HybridDD_Code"),IF($E66=3,"Data!$BI$1:$BI$5",IF(LEFT($F65,4)="Acro",CONCATENATE(BM$16,$E66,"_Code"),IF($E66="PA","","Data!$BI$1:$BI$5"))))</f>
        <v>Data!$BI$1:$BI$5</v>
      </c>
      <c r="BN65" s="104" t="str">
        <f t="shared" ref="BN65" si="2170">IF($E66="H",IF($F65="Hybrid - Thrust + 2 connections","Data!$BI$1:$BI$5","HybridDD_Code"),IF($E66=3,"Data!$BI$1:$BI$5",IF(LEFT($F65,4)="Acro",CONCATENATE(BN$16,$E66,"_Code"),IF($E66="PA","","Data!$BI$1:$BI$5"))))</f>
        <v>Data!$BI$1:$BI$5</v>
      </c>
      <c r="BO65" s="104" t="str">
        <f t="shared" ref="BO65" si="2171">IF($E66="H",IF($F65="Hybrid - Thrust + 2 connections","Data!$BI$1:$BI$5","HybridDD_Code"),IF($E66=3,"Data!$BI$1:$BI$5",IF(LEFT($F65,4)="Acro",CONCATENATE(BO$16,$E66,"_Code"),IF($E66="PA","","Data!$BI$1:$BI$5"))))</f>
        <v>Data!$BI$1:$BI$5</v>
      </c>
      <c r="BP65" s="104" t="str">
        <f t="shared" ref="BP65" si="2172">IF($E66="H",IF($F65="Hybrid - Thrust + 2 connections","Data!$BI$1:$BI$5","HybridDD_Code"),IF($E66=3,"Data!$BI$1:$BI$5",IF(LEFT($F65,4)="Acro",CONCATENATE(BP$16,$E66,"_Code"),IF($E66="PA","","Data!$BI$1:$BI$5"))))</f>
        <v>Data!$BI$1:$BI$5</v>
      </c>
      <c r="BQ65" s="104" t="str">
        <f t="shared" ref="BQ65" si="2173">IF($E66="H",IF($F65="Hybrid - Thrust + 2 connections","Data!$BI$1:$BI$5","HybridDD_Code"),IF($E66=3,"Data!$BI$1:$BI$5",IF(LEFT($F65,4)="Acro",CONCATENATE(BQ$16,$E66,"_Code"),IF($E66="PA","","Data!$BI$1:$BI$5"))))</f>
        <v>Data!$BI$1:$BI$5</v>
      </c>
      <c r="BR65" s="104" t="str">
        <f t="shared" ref="BR65" si="2174">IF($E66="H",IF($F65="Hybrid - Thrust + 2 connections","Data!$BI$1:$BI$5","HybridDD_Code"),"Data!$BI$1:$BI$5")</f>
        <v>Data!$BI$1:$BI$5</v>
      </c>
      <c r="BS65" s="104" t="str">
        <f t="shared" si="2066"/>
        <v>Data!$BI$1:$BI$5</v>
      </c>
      <c r="BT65" s="104" t="str">
        <f t="shared" si="2066"/>
        <v>Data!$BI$1:$BI$5</v>
      </c>
      <c r="BU65" s="104" t="str">
        <f t="shared" si="2066"/>
        <v>Data!$BI$1:$BI$5</v>
      </c>
      <c r="BV65" s="104" t="str">
        <f t="shared" si="2066"/>
        <v>Data!$BI$1:$BI$5</v>
      </c>
      <c r="BW65" s="104" t="str">
        <f t="shared" si="2066"/>
        <v>Data!$BI$1:$BI$5</v>
      </c>
      <c r="BX65" s="104" t="str">
        <f t="shared" si="2066"/>
        <v>Data!$BI$1:$BI$5</v>
      </c>
      <c r="BY65" s="104" t="str">
        <f t="shared" si="2066"/>
        <v>Data!$BI$1:$BI$5</v>
      </c>
      <c r="BZ65" s="104" t="str">
        <f t="shared" si="2066"/>
        <v>Data!$BI$1:$BI$5</v>
      </c>
      <c r="CA65" s="104" t="str">
        <f t="shared" si="2066"/>
        <v>Data!$BI$1:$BI$5</v>
      </c>
      <c r="CB65" s="104" t="str">
        <f t="shared" si="2066"/>
        <v>Data!$BI$1:$BI$5</v>
      </c>
      <c r="CC65" s="104"/>
      <c r="CD65" s="104"/>
      <c r="CE65" s="104"/>
      <c r="CF65" s="104"/>
      <c r="CG65" s="104"/>
      <c r="CH65" s="104"/>
      <c r="CI65" s="104"/>
      <c r="CJ65" s="104"/>
      <c r="CK65" s="104"/>
      <c r="CL65" s="104"/>
      <c r="CM65" s="104"/>
      <c r="CN65" s="104"/>
      <c r="CO65" s="107" t="str">
        <f>IFERROR(TIME(0,A65,B65),"")</f>
        <v/>
      </c>
      <c r="CP65" s="108">
        <f>IFERROR(TIME(0,C65,D65),"")</f>
        <v>0</v>
      </c>
      <c r="CQ65" s="108" t="str">
        <f t="shared" ref="CQ65" si="2175">IF(CP65&gt;$D$12,"X","")</f>
        <v/>
      </c>
      <c r="CR65" s="102" t="str">
        <f>IF(AND(F65="Hybrid - Thrust + 2 connections",OR(LEFT(J65,1)="T",LEFT(K65,1)="T",LEFT(L65,1)="T",LEFT(PB65,1)="T",LEFT(M65,1)="T",LEFT(N65,1)="T",LEFT(O65,1)="T",LEFT(P65,1)="T",LEFT(Q65,1)="T",LEFT(R65,1)="T",LEFT(S65,1)="T",LEFT(T65,1)="T",LEFT(U65,1)="T",LEFT(V65,1)="T",LEFT(W65,1)="T",LEFT(X65,1)="T",LEFT(AK65,1)="T",LEFT(AL65,1)="T",LEFT(AM65,1)="T")),IF(OR(LEN(J65)=2,LEN(K65)=2,LEN(L65)=2,LEN(M65)=2,LEN(N65)=2,LEN(O65)=2,LEN(P65)=2,LEN(Q65)=2,LEN(R65)=2,LEN(S65)=2,LEN(T65)=2,LEN(U65)=2,LEN(V65)=2,LEN(W65)=2,LEN(X65)=2,LEN(Y65)=2,LEN(Z65)=2,LEN(AK65)=2,LEN(AL65)=2,LEN(AM65)=2),"X",""),"")</f>
        <v/>
      </c>
      <c r="CS65" s="105"/>
      <c r="CT65" s="102" t="str">
        <f>IF(LEFT(F65,4)="Acro",IF(AND(N65&lt;&gt;"",M65=RIGHT(N65,2)),"X","OK"),"")</f>
        <v/>
      </c>
      <c r="CU65" s="104" t="str">
        <f t="shared" ref="CU65:DB65" si="2176">IFERROR(IF(AND(LEFT($F65,4)="Acro",INDEX(Requ_App,MATCH(BI65,Requ_Code,0))="No"),"X",""),"")</f>
        <v/>
      </c>
      <c r="CV65" s="104" t="str">
        <f t="shared" si="2176"/>
        <v/>
      </c>
      <c r="CW65" s="104" t="str">
        <f t="shared" si="2176"/>
        <v/>
      </c>
      <c r="CX65" s="104" t="str">
        <f t="shared" si="2176"/>
        <v/>
      </c>
      <c r="CY65" s="104" t="str">
        <f t="shared" si="2176"/>
        <v/>
      </c>
      <c r="CZ65" s="104" t="str">
        <f t="shared" si="2176"/>
        <v/>
      </c>
      <c r="DA65" s="104" t="str">
        <f t="shared" si="2176"/>
        <v/>
      </c>
      <c r="DB65" s="104" t="str">
        <f t="shared" si="2176"/>
        <v/>
      </c>
      <c r="DC65" s="104" t="str">
        <f>IFERROR(IF(AND(LEFT($F65,4)="Acro",INDEX(Requ_App,MATCH(BP65,Requ_Code,0))="No"),"X",""),"")</f>
        <v/>
      </c>
      <c r="DD65" s="102" t="str">
        <f t="shared" si="1643"/>
        <v/>
      </c>
      <c r="DE65" s="102" t="str">
        <f t="shared" si="1644"/>
        <v/>
      </c>
      <c r="DF65" s="102" t="str">
        <f t="shared" si="1645"/>
        <v/>
      </c>
      <c r="DG65" s="102" t="str">
        <f t="shared" si="1646"/>
        <v/>
      </c>
      <c r="DK65" s="102">
        <f>IF(AND(E66="A",OR(Q65="Grip",Q65="Conn",Q65="Catch")),"A1",IF(AND(E66="A",OR(Q65="Hula",Q65="RetSq",Q65="RetPa")),"A2",IF(AND(E66="B",OR(Q65="Twirl",Q65="RotF")),"B1",IF(AND(E66="B",OR(Q65="Moon",Q65="Mov")),"B2",IF(AND(E66="B",Q65="Hold"),"B3",IF(AND(E66="P",OR(Q65="Porp",Q65="Spich")),"P1",IF(AND(E66="P",OR(Q65="Diva",Q65="Ps1",Q65="Ps1t0.5",Q65="Ps1op",Q65="Ps1t0,5o",Q65="Ps1t1",Q65="CH+")),"P2",IF(AND(E66="P",OR(Q65="Spider",Q65="Climb")),"P3",IF(AND(E66="P",OR(Q65="Fall",Q65="FTurn")),"P4",IF(AND(E66="C",OR(Q65="Jump",Q65="Jump&gt;",Q65="On1Foot",Q65="1F&gt;1F")),"C1",IF(AND(E66="C",OR(Q65="Run",Q65="BRun")),"C2",1)))))))))))</f>
        <v>1</v>
      </c>
      <c r="DL65" s="102">
        <f>IF(AND(E66="A",OR(R65="Grip",R65="Conn",R65="Catch")),"A1",IF(AND(E66="A",OR(R65="Hula",R65="RetSq",R65="RetPa")),"A2",IF(AND(E66="B",OR(R65="Twirl",R65="RotF")),"B1",IF(AND(E66="B",OR(R65="Moon",R65="Mov")),"B3",IF(AND(E66="B",R65="Hold"),"B2",IF(AND(E66="P",OR(R65="Porp",R65="Spich")),"P1",IF(AND(E66="P",OR(R65="Diva",R65="Ps1",R65="Ps1t0.5",R65="Ps1op",R65="Ps1t0,5o",R65="Ps1t1",R65="CH+")),"P2",IF(AND(E66="P",OR(R65="Spider",R65="Climb")),"P3",IF(AND(E66="P",OR(R65="Fall",R65="FTurn")),"P4",IF(AND(E66="C",OR(R65="Jump",R65="Jump&gt;",R65="On1Foot",R65="1F&gt;1F")),"C1",IF(AND(E66="C",OR(R65="Run",R65="BRun")),"C2",2)))))))))))</f>
        <v>2</v>
      </c>
      <c r="DM65" s="102" t="str">
        <f>IF(AND(LEFT(F65,4)="Acro",Q65&lt;&gt;"",OR(Q65=R65,DK65=DL65)),IF(R65="C-Roll","","X"),IF(OR(AND(E66="A",Q65="Catch",R65&lt;&gt;"Dbl"),AND(E66="A",R65="Catch",Q65&lt;&gt;"Dbl")),"X",""))</f>
        <v/>
      </c>
      <c r="DN65" s="102" t="str">
        <f>IF(E66="PA",J65,"")</f>
        <v/>
      </c>
      <c r="DO65" s="102">
        <v>47</v>
      </c>
      <c r="DQ65" s="102" t="str">
        <f>IF(AND($E66="A",COUNTIF($DZ$19:$EA$68,DZ65)&gt;1),DZ65,"")</f>
        <v/>
      </c>
      <c r="DR65" s="102" t="str">
        <f>IF(AND($E66="A",COUNTIF($DZ$19:$EA$68,EA65)&gt;1),EA65,"")</f>
        <v/>
      </c>
      <c r="DS65" s="102" t="str">
        <f ca="1">IF(AND($E66="B",COUNTIF($J$19:$J$68,J65)&gt;1),J65,"")</f>
        <v/>
      </c>
      <c r="DT65" s="102" t="str">
        <f ca="1">IF(AND($E66="B",COUNTIF($K$19:$K$68,K65)&gt;1),K65,"")</f>
        <v/>
      </c>
      <c r="DU65" s="102" t="str">
        <f ca="1">IF(AND($E66="C",COUNTIF($J$19:$J$68,J65)&gt;1),J65,"")</f>
        <v/>
      </c>
      <c r="DV65" s="102" t="str">
        <f ca="1">IF(AND($E66="P",COUNTIF($J$19:$J$68,J65)&gt;1),J65,"")</f>
        <v/>
      </c>
      <c r="DW65" s="102" t="str">
        <f ca="1">IF(AND($E66="P",COUNTIF($K$19:$K$68,K65)&gt;1),K65,"")</f>
        <v/>
      </c>
      <c r="DX65" s="102" t="str">
        <f>IF(AND($E66="P",COUNTIF($DZ$19:$EA$68,DZ65)&gt;1),DZ65,"")</f>
        <v/>
      </c>
      <c r="DY65" s="102" t="str">
        <f>IF(AND($E66="P",COUNTIF($DZ$19:$EA$68,EA65)&gt;1),EA65,"")</f>
        <v/>
      </c>
      <c r="DZ65" s="102" t="str">
        <f>IFERROR(IF(OR(E66="A",E66="P"),M65,""),"")</f>
        <v/>
      </c>
      <c r="EA65" s="102" t="str">
        <f>IFERROR(IF(OR(E66="A",E66="P"),RIGHT(N65,2),""),"")</f>
        <v/>
      </c>
      <c r="EF65" s="102" t="str">
        <f>IF(AND($F$8="Open Team Acrobatic",LEFT(F65,4)="Acro"),E66,"")</f>
        <v/>
      </c>
      <c r="EG65" s="102" t="str">
        <f t="shared" ref="EG65" si="2177">IFERROR(IF(HLOOKUP(EF65,$DQ$12:$DT$13,2,FALSE)&gt;2,"X",""),"")</f>
        <v/>
      </c>
      <c r="EI65" s="102" t="str">
        <f>IF(OR(AND(F65="Hybrid - Thrust + 2 connections",EI66="T"),AND(F65="Hybrid - Free",EI66&lt;&gt;"")),"X","")</f>
        <v/>
      </c>
      <c r="EK65" s="102">
        <f t="shared" ref="EK65:FA65" si="2178">IFERROR(IF(AND($E66="H",J65&lt;&gt;""),IF(OR(LEFT(J65,1)="T",LEFT(J65,1)="S",LEFT(J65,1)="A",LEFT(J65,1)="F",LEFT(J65,1)="C"),LEFT(J65,1),"R"),EK$18),"")</f>
        <v>1</v>
      </c>
      <c r="EL65" s="102">
        <f t="shared" si="2178"/>
        <v>2</v>
      </c>
      <c r="EM65" s="102">
        <f t="shared" si="2178"/>
        <v>3</v>
      </c>
      <c r="EN65" s="102">
        <f t="shared" si="2178"/>
        <v>4</v>
      </c>
      <c r="EO65" s="102">
        <f t="shared" si="2178"/>
        <v>5</v>
      </c>
      <c r="EP65" s="102">
        <f t="shared" si="2178"/>
        <v>6</v>
      </c>
      <c r="EQ65" s="102">
        <f t="shared" si="2178"/>
        <v>7</v>
      </c>
      <c r="ER65" s="102">
        <f t="shared" si="2178"/>
        <v>8</v>
      </c>
      <c r="ES65" s="102">
        <f t="shared" si="2178"/>
        <v>9</v>
      </c>
      <c r="ET65" s="102">
        <f t="shared" si="2178"/>
        <v>10</v>
      </c>
      <c r="EU65" s="102">
        <f t="shared" si="2178"/>
        <v>11</v>
      </c>
      <c r="EV65" s="102">
        <f t="shared" si="2178"/>
        <v>12</v>
      </c>
      <c r="EW65" s="102">
        <f t="shared" si="2178"/>
        <v>13</v>
      </c>
      <c r="EX65" s="102">
        <f t="shared" si="2178"/>
        <v>14</v>
      </c>
      <c r="EY65" s="102">
        <f t="shared" si="2178"/>
        <v>15</v>
      </c>
      <c r="EZ65" s="102">
        <f t="shared" si="2178"/>
        <v>16</v>
      </c>
      <c r="FA65" s="102">
        <f t="shared" si="2178"/>
        <v>17</v>
      </c>
      <c r="FB65" s="102">
        <f t="shared" ref="FB65" si="2179">IFERROR(IF(AND($E66="H",AK65&lt;&gt;""),IF(OR(LEFT(AK65,1)="T",LEFT(AK65,1)="S",LEFT(AK65,1)="A",LEFT(AK65,1)="F",LEFT(AK65,1)="C"),LEFT(AK65,1),"R"),FB$18),"")</f>
        <v>18</v>
      </c>
      <c r="FC65" s="102">
        <f t="shared" ref="FC65" si="2180">IFERROR(IF(AND($E66="H",AL65&lt;&gt;""),IF(OR(LEFT(AL65,1)="T",LEFT(AL65,1)="S",LEFT(AL65,1)="A",LEFT(AL65,1)="F",LEFT(AL65,1)="C"),LEFT(AL65,1),"R"),FC$18),"")</f>
        <v>19</v>
      </c>
      <c r="FD65" s="102">
        <f t="shared" ref="FD65" si="2181">IFERROR(IF(AND($E66="H",AM65&lt;&gt;""),IF(OR(LEFT(AM65,1)="T",LEFT(AM65,1)="S",LEFT(AM65,1)="A",LEFT(AM65,1)="F",LEFT(AM65,1)="C"),LEFT(AM65,1),"R"),FD$18),"")</f>
        <v>20</v>
      </c>
      <c r="FE65" s="102"/>
      <c r="FF65" s="102"/>
      <c r="FG65" s="102"/>
      <c r="FH65" s="102"/>
      <c r="FI65" s="102"/>
      <c r="FJ65" s="102"/>
      <c r="FK65" s="102"/>
      <c r="FL65" s="102"/>
      <c r="FM65" s="102"/>
      <c r="FN65" s="102"/>
      <c r="FO65" s="102"/>
      <c r="FP65" s="102"/>
      <c r="FQ65" s="102"/>
      <c r="FR65" s="102">
        <f t="shared" ref="FR65:GH65" si="2182">IFERROR(IF(J65&lt;&gt;"",UPPER(J65),FR$18),FR$18)</f>
        <v>1</v>
      </c>
      <c r="FS65" s="102">
        <f t="shared" si="2182"/>
        <v>2</v>
      </c>
      <c r="FT65" s="102">
        <f t="shared" si="2182"/>
        <v>3</v>
      </c>
      <c r="FU65" s="102">
        <f t="shared" si="2182"/>
        <v>4</v>
      </c>
      <c r="FV65" s="102">
        <f t="shared" si="2182"/>
        <v>5</v>
      </c>
      <c r="FW65" s="102">
        <f t="shared" si="2182"/>
        <v>6</v>
      </c>
      <c r="FX65" s="102">
        <f t="shared" si="2182"/>
        <v>7</v>
      </c>
      <c r="FY65" s="102">
        <f t="shared" si="2182"/>
        <v>8</v>
      </c>
      <c r="FZ65" s="102">
        <f t="shared" si="2182"/>
        <v>9</v>
      </c>
      <c r="GA65" s="102">
        <f t="shared" si="2182"/>
        <v>10</v>
      </c>
      <c r="GB65" s="102">
        <f t="shared" si="2182"/>
        <v>11</v>
      </c>
      <c r="GC65" s="102">
        <f t="shared" si="2182"/>
        <v>12</v>
      </c>
      <c r="GD65" s="102">
        <f t="shared" si="2182"/>
        <v>13</v>
      </c>
      <c r="GE65" s="102">
        <f t="shared" si="2182"/>
        <v>14</v>
      </c>
      <c r="GF65" s="102">
        <f t="shared" si="2182"/>
        <v>15</v>
      </c>
      <c r="GG65" s="102">
        <f t="shared" si="2182"/>
        <v>16</v>
      </c>
      <c r="GH65" s="102">
        <f t="shared" si="2182"/>
        <v>17</v>
      </c>
      <c r="GI65" s="102">
        <f>IFERROR(IF(AK65&lt;&gt;"",UPPER(AK65),GI$18),GI$18)</f>
        <v>18</v>
      </c>
      <c r="GJ65" s="102">
        <f>IFERROR(IF(AL65&lt;&gt;"",UPPER(AL65),GJ$18),GJ$18)</f>
        <v>19</v>
      </c>
      <c r="GK65" s="102">
        <f>IFERROR(IF(AM65&lt;&gt;"",UPPER(AM65),GK$18),GK$18)</f>
        <v>20</v>
      </c>
      <c r="GL65" s="102"/>
      <c r="GM65" s="102"/>
      <c r="GN65" s="102"/>
      <c r="GO65" s="102"/>
      <c r="GP65" s="102"/>
      <c r="GQ65" s="102"/>
      <c r="GR65" s="102"/>
      <c r="GS65" s="102"/>
      <c r="GT65" s="102"/>
      <c r="GU65" s="102"/>
      <c r="GV65" s="102"/>
      <c r="GW65" s="102">
        <f t="shared" ref="GW65:HB65" si="2183">COUNTIF($EK65:$FD65,GW$18)</f>
        <v>0</v>
      </c>
      <c r="GX65" s="102">
        <f t="shared" si="2183"/>
        <v>0</v>
      </c>
      <c r="GY65" s="102">
        <f t="shared" si="2183"/>
        <v>0</v>
      </c>
      <c r="GZ65" s="102">
        <f t="shared" si="2183"/>
        <v>0</v>
      </c>
      <c r="HA65" s="102">
        <f t="shared" si="2183"/>
        <v>0</v>
      </c>
      <c r="HB65" s="102">
        <f t="shared" si="2183"/>
        <v>0</v>
      </c>
      <c r="HC65" s="102"/>
      <c r="HD65" s="102" t="str">
        <f t="shared" ref="HD65" si="2184">IF(AND($F65="Hybrid - Thrust + 2 connections",HD66=0,LEFT($J65,1)="C",LEFT($K65,1)="C",LEFT($L65,1)="C"),"X","")</f>
        <v/>
      </c>
      <c r="HE65" s="102"/>
      <c r="HF65" s="105"/>
      <c r="HG65" s="114"/>
      <c r="HH65" s="114"/>
      <c r="HI65" s="105" t="str">
        <f>IF(E66=3,_xlfn.NUMBERVALUE(LEFT(J65,1)),"")</f>
        <v/>
      </c>
    </row>
    <row r="66" spans="1:231" hidden="1" x14ac:dyDescent="0.25">
      <c r="A66" s="39"/>
      <c r="B66" s="40"/>
      <c r="C66" s="40"/>
      <c r="D66" s="40"/>
      <c r="E66" s="20" t="str">
        <f t="shared" ref="E66" si="2185">IF(F65="Acrobatic - Pair","PA",IF(F65="Acrobatic Airborn","A",IF(F65="Acrobatic Balance","B",IF(F65="Acrobatic Combined","C",IF(F65="Acrobatic Platform","P",IF(F65="Technical Required Element",3,IF(LEFT(F65,4)="Hybr","H","")))))))</f>
        <v/>
      </c>
      <c r="F66" s="20" t="str">
        <f>IF(AND(F65="Hybrid - Thrust + 2 connections",CR65="X"),"Hybrid - Thrust",IF(OR(E66="A",E66="B",E66="C",E66="P"),"Acrobatic",""))</f>
        <v/>
      </c>
      <c r="G66" s="42"/>
      <c r="H66" s="207" t="str">
        <f t="shared" ref="H66" si="2186">IF(E66="PA",IF(OR(LEFT(J65,1)="L",LEFT(J65,1)="S"),"A-Pair-Lift",IF(OR(LEFT(J65,1)="W",LEFT(J65,1)="T"),"A-Pair-Throw",IF(LEFT(J65,1)="J","A-Pair-Jump","A-Pair"))),IF(OR(E66="A",E66="B",E66="C",E66="P"),CONCATENATE("Acro-",E66),""))</f>
        <v/>
      </c>
      <c r="I66" s="201" t="e">
        <f t="shared" ref="I66" si="2187">IF(OR(F65="Hybrid - min 4 swimmers (no DD)",LEFT(F65,5)="Trans"),0,INDEX($BY$3:$BY$9,MATCH(E66,$BX$3:$BX$9,0)))</f>
        <v>#N/A</v>
      </c>
      <c r="J66" s="196">
        <f t="shared" ref="J66:Z66" ca="1" si="2188">IFERROR(IF($H65="No DD",0,IF(OR(ISBLANK(J65),J65="N/A"),0,INDEX(INDIRECT(BI66),MATCH(J65,INDIRECT(BI65),0)))),0)</f>
        <v>0</v>
      </c>
      <c r="K66" s="196">
        <f t="shared" ca="1" si="2188"/>
        <v>0</v>
      </c>
      <c r="L66" s="196">
        <f t="shared" ca="1" si="2188"/>
        <v>0</v>
      </c>
      <c r="M66" s="196">
        <f t="shared" ca="1" si="2188"/>
        <v>0</v>
      </c>
      <c r="N66" s="196">
        <f t="shared" ca="1" si="2188"/>
        <v>0</v>
      </c>
      <c r="O66" s="196">
        <f t="shared" ca="1" si="2188"/>
        <v>0</v>
      </c>
      <c r="P66" s="196">
        <f t="shared" ca="1" si="2188"/>
        <v>0</v>
      </c>
      <c r="Q66" s="196">
        <f t="shared" ca="1" si="2188"/>
        <v>0</v>
      </c>
      <c r="R66" s="196">
        <f t="shared" ca="1" si="2188"/>
        <v>0</v>
      </c>
      <c r="S66" s="196">
        <f t="shared" ca="1" si="2188"/>
        <v>0</v>
      </c>
      <c r="T66" s="196">
        <f t="shared" ca="1" si="2188"/>
        <v>0</v>
      </c>
      <c r="U66" s="196">
        <f t="shared" ca="1" si="2188"/>
        <v>0</v>
      </c>
      <c r="V66" s="196">
        <f t="shared" ca="1" si="2188"/>
        <v>0</v>
      </c>
      <c r="W66" s="196">
        <f t="shared" ca="1" si="2188"/>
        <v>0</v>
      </c>
      <c r="X66" s="196">
        <f t="shared" ca="1" si="2188"/>
        <v>0</v>
      </c>
      <c r="Y66" s="196">
        <f t="shared" ca="1" si="2188"/>
        <v>0</v>
      </c>
      <c r="Z66" s="196">
        <f t="shared" ca="1" si="2188"/>
        <v>0</v>
      </c>
      <c r="AA66" s="196">
        <f ca="1">IFERROR(IF($H65="No DD",0,IF(OR(ISBLANK(AA65),AA65="N/A"),0,INDEX(INDIRECT(BX66),MATCH(AA65,INDIRECT(BX65),0)))),0)</f>
        <v>0</v>
      </c>
      <c r="AB66" s="196">
        <f ca="1">IFERROR(IF($H65="No DD",0,IF(OR(ISBLANK(AB65),AB65="N/A"),0,INDEX(INDIRECT(BY66),MATCH(AB65,INDIRECT(BY65),0)))),0)</f>
        <v>0</v>
      </c>
      <c r="AC66" s="196">
        <f ca="1">IFERROR(IF($H65="No DD",0,IF(OR(ISBLANK(AC65),AC65="N/A"),0,INDEX(INDIRECT(BX66),MATCH(AC65,INDIRECT(BX65),0)))),0)</f>
        <v>0</v>
      </c>
      <c r="AD66" s="196">
        <f ca="1">IFERROR(IF($H65="No DD",0,IF(OR(ISBLANK(AD65),AD65="N/A"),0,INDEX(INDIRECT(BY66),MATCH(AD65,INDIRECT(BY65),0)))),0)</f>
        <v>0</v>
      </c>
      <c r="AE66" s="196">
        <f ca="1">IFERROR(IF($H65="No DD",0,IF(OR(ISBLANK(AE65),AE65="N/A"),0,INDEX(INDIRECT(BX66),MATCH(AE65,INDIRECT(BX65),0)))),0)</f>
        <v>0</v>
      </c>
      <c r="AF66" s="196">
        <f ca="1">IFERROR(IF($H65="No DD",0,IF(OR(ISBLANK(AF65),AF65="N/A"),0,INDEX(INDIRECT(BY66),MATCH(AF65,INDIRECT(BY65),0)))),0)</f>
        <v>0</v>
      </c>
      <c r="AG66" s="196">
        <f ca="1">IFERROR(IF($H65="No DD",0,IF(OR(ISBLANK(AG65),AG65="N/A"),0,INDEX(INDIRECT(BX66),MATCH(AG65,INDIRECT(BX65),0)))),0)</f>
        <v>0</v>
      </c>
      <c r="AH66" s="196">
        <f ca="1">IFERROR(IF($H65="No DD",0,IF(OR(ISBLANK(AH65),AH65="N/A"),0,INDEX(INDIRECT(BY66),MATCH(AH65,INDIRECT(BY65),0)))),0)</f>
        <v>0</v>
      </c>
      <c r="AI66" s="196">
        <f t="shared" ref="AI66" ca="1" si="2189">IFERROR(IF($H65="No DD",0,IF(OR(ISBLANK(AI65),AI65="N/A"),0,INDEX(INDIRECT(BX66),MATCH(AI65,INDIRECT(BX65),0)))),0)</f>
        <v>0</v>
      </c>
      <c r="AJ66" s="196">
        <f t="shared" ref="AJ66" ca="1" si="2190">IFERROR(IF($H65="No DD",0,IF(OR(ISBLANK(AJ65),AJ65="N/A"),0,INDEX(INDIRECT(BY66),MATCH(AJ65,INDIRECT(BY65),0)))),0)</f>
        <v>0</v>
      </c>
      <c r="AK66" s="196">
        <f t="shared" ref="AK66" ca="1" si="2191">IFERROR(IF($H65="No DD",0,IF(OR(ISBLANK(AK65),AK65="N/A"),0,INDEX(INDIRECT(BZ66),MATCH(AK65,INDIRECT(BZ65),0)))),0)</f>
        <v>0</v>
      </c>
      <c r="AL66" s="196">
        <f t="shared" ref="AL66" ca="1" si="2192">IFERROR(IF($H65="No DD",0,IF(OR(ISBLANK(AL65),AL65="N/A"),0,INDEX(INDIRECT(CA66),MATCH(AL65,INDIRECT(CA65),0)))),0)</f>
        <v>0</v>
      </c>
      <c r="AM66" s="196">
        <f t="shared" ref="AM66" ca="1" si="2193">IFERROR(IF($H65="No DD",0,IF(OR(ISBLANK(AM65),AM65="N/A"),0,INDEX(INDIRECT(CB66),MATCH(AM65,INDIRECT(CB65),0)))),0)</f>
        <v>0</v>
      </c>
      <c r="AN66" s="197" t="str">
        <f>IFERROR(IF(E66="H",INDEX(HybridBonus_Value,MATCH(AN65,HybridBonus_Code,0)),""),"")</f>
        <v/>
      </c>
      <c r="AO66" s="195" t="str">
        <f>IFERROR(IF(J65&lt;&gt;"",SUM(I66:AN66),""),"")</f>
        <v/>
      </c>
      <c r="AP66" s="75"/>
      <c r="AQ66" s="75"/>
      <c r="AR66" s="115"/>
      <c r="AS66" s="115"/>
      <c r="AT66" s="115"/>
      <c r="AU66" s="115"/>
      <c r="AV66" s="115"/>
      <c r="AW66" s="115"/>
      <c r="AX66" s="115"/>
      <c r="AY66" s="115"/>
      <c r="AZ66" s="115"/>
      <c r="BA66" s="115"/>
      <c r="BB66" s="115"/>
      <c r="BC66" s="115"/>
      <c r="BD66" s="115"/>
      <c r="BE66" s="115"/>
      <c r="BF66" s="115"/>
      <c r="BG66" s="104"/>
      <c r="BH66" s="115"/>
      <c r="BI66" s="105" t="str">
        <f t="shared" ref="BI66" si="2194">IF($E66="H","HybridDD_Value",IF($E66=3,"TreDD_Value",IF($E66="PA","AcroPair_Value",IF(LEFT($F65,4)="Acro",CONCATENATE(BI$16,$E66,"_Value"),""))))</f>
        <v/>
      </c>
      <c r="BJ66" s="105" t="str">
        <f t="shared" ref="BJ66:BK66" si="2195">IF($E66="H","HybridDD_Value",IF($E66=3,"",IF(LEFT($F65,4)="Acro",CONCATENATE(BJ$16,$E66,"_Value"),IF($E66="PA","",""))))</f>
        <v/>
      </c>
      <c r="BK66" s="105" t="str">
        <f t="shared" si="2195"/>
        <v/>
      </c>
      <c r="BL66" s="105" t="str">
        <f t="shared" ref="BL66:BQ66" si="2196">IF($E66="H","HybridDD_Value",IF($E66=3,"",IF(LEFT($F65,4)="Acro",CONCATENATE(BL$16,$E66,"_Value"),IF($E66="PA","",""))))</f>
        <v/>
      </c>
      <c r="BM66" s="105" t="str">
        <f t="shared" si="2196"/>
        <v/>
      </c>
      <c r="BN66" s="105" t="str">
        <f t="shared" si="2196"/>
        <v/>
      </c>
      <c r="BO66" s="105" t="str">
        <f t="shared" si="2196"/>
        <v/>
      </c>
      <c r="BP66" s="105" t="str">
        <f t="shared" si="2196"/>
        <v/>
      </c>
      <c r="BQ66" s="105" t="str">
        <f t="shared" si="2196"/>
        <v/>
      </c>
      <c r="BR66" s="104" t="str">
        <f t="shared" ref="BR66" si="2197">IF($E66="H","HybridDD_Value","Data!$BI$1:$BI$5")</f>
        <v>Data!$BI$1:$BI$5</v>
      </c>
      <c r="BS66" s="104" t="str">
        <f t="shared" si="2066"/>
        <v>Data!$BI$1:$BI$5</v>
      </c>
      <c r="BT66" s="104" t="str">
        <f t="shared" si="2066"/>
        <v>Data!$BI$1:$BI$5</v>
      </c>
      <c r="BU66" s="104" t="str">
        <f t="shared" si="2066"/>
        <v>Data!$BI$1:$BI$5</v>
      </c>
      <c r="BV66" s="104" t="str">
        <f t="shared" si="2066"/>
        <v>Data!$BI$1:$BI$5</v>
      </c>
      <c r="BW66" s="104" t="str">
        <f t="shared" si="2066"/>
        <v>Data!$BI$1:$BI$5</v>
      </c>
      <c r="BX66" s="104" t="str">
        <f t="shared" si="2066"/>
        <v>Data!$BI$1:$BI$5</v>
      </c>
      <c r="BY66" s="104" t="str">
        <f t="shared" si="2066"/>
        <v>Data!$BI$1:$BI$5</v>
      </c>
      <c r="BZ66" s="104" t="str">
        <f t="shared" si="2066"/>
        <v>Data!$BI$1:$BI$5</v>
      </c>
      <c r="CA66" s="104" t="str">
        <f t="shared" si="2066"/>
        <v>Data!$BI$1:$BI$5</v>
      </c>
      <c r="CB66" s="104" t="str">
        <f t="shared" si="2066"/>
        <v>Data!$BI$1:$BI$5</v>
      </c>
      <c r="CC66" s="104"/>
      <c r="CD66" s="104"/>
      <c r="CE66" s="104"/>
      <c r="CF66" s="104"/>
      <c r="CG66" s="104"/>
      <c r="CH66" s="104"/>
      <c r="CI66" s="104"/>
      <c r="CJ66" s="104"/>
      <c r="CK66" s="104"/>
      <c r="CL66" s="104"/>
      <c r="CM66" s="115"/>
      <c r="CN66" s="115"/>
      <c r="CO66" s="116" t="str">
        <f>IFERROR(IF(AND($BV$6="T",$BV$8="T",LEFT(F65,4)="Acro",AO66&gt;3),"X",IF($N$7="X",IF(AND(E66="C",AO66&gt;$CN$6),"X",IF(AND(E66="A",AO66&gt;$CN$4),"X",IF(AND(E66="B",AO66&gt;$CN$5),"X",IF(AND(E66="P",AO66&gt;$CN$7),"X","")))),"")),"")</f>
        <v/>
      </c>
      <c r="CP66" s="107"/>
      <c r="CQ66" s="105"/>
      <c r="CS66" s="105"/>
      <c r="CT66" s="105"/>
      <c r="CU66" s="105"/>
      <c r="CV66" s="105"/>
      <c r="CW66" s="105"/>
      <c r="CX66" s="105"/>
      <c r="CY66" s="105"/>
      <c r="CZ66" s="105"/>
      <c r="DD66" s="102" t="str">
        <f t="shared" si="1643"/>
        <v/>
      </c>
      <c r="DE66" s="102" t="str">
        <f t="shared" si="1644"/>
        <v/>
      </c>
      <c r="DF66" s="102" t="str">
        <f t="shared" si="1645"/>
        <v/>
      </c>
      <c r="DG66" s="102" t="str">
        <f t="shared" si="1646"/>
        <v/>
      </c>
      <c r="DO66" s="102">
        <v>48</v>
      </c>
      <c r="EI66" s="102" t="str" cm="1">
        <f t="array" ref="EI66">IFERROR(INDEX(EK66:FD66,MATCH(TRUE,INDEX((EK66:FD66&lt;&gt;""),),0)),"")</f>
        <v/>
      </c>
      <c r="EK66" s="102" t="str">
        <f t="shared" ref="EK66:FD66" si="2198">IF(F65="Hybrid - Thrust + 2 connections",IF(COUNTIF($EK65:$FD65,EK65)&gt;1,EK65,""),IF(COUNTIF($EK65:$FD65,EK65)&gt;5,EK65,""))</f>
        <v/>
      </c>
      <c r="EL66" s="102" t="str">
        <f t="shared" si="2198"/>
        <v/>
      </c>
      <c r="EM66" s="102" t="str">
        <f t="shared" si="2198"/>
        <v/>
      </c>
      <c r="EN66" s="102" t="str">
        <f t="shared" si="2198"/>
        <v/>
      </c>
      <c r="EO66" s="102" t="str">
        <f t="shared" si="2198"/>
        <v/>
      </c>
      <c r="EP66" s="102" t="str">
        <f t="shared" si="2198"/>
        <v/>
      </c>
      <c r="EQ66" s="102" t="str">
        <f t="shared" si="2198"/>
        <v/>
      </c>
      <c r="ER66" s="102" t="str">
        <f t="shared" si="2198"/>
        <v/>
      </c>
      <c r="ES66" s="102" t="str">
        <f t="shared" si="2198"/>
        <v/>
      </c>
      <c r="ET66" s="102" t="str">
        <f t="shared" si="2198"/>
        <v/>
      </c>
      <c r="EU66" s="102" t="str">
        <f t="shared" si="2198"/>
        <v/>
      </c>
      <c r="EV66" s="102" t="str">
        <f t="shared" si="2198"/>
        <v/>
      </c>
      <c r="EW66" s="102" t="str">
        <f t="shared" si="2198"/>
        <v/>
      </c>
      <c r="EX66" s="102" t="str">
        <f t="shared" si="2198"/>
        <v/>
      </c>
      <c r="EY66" s="102" t="str">
        <f t="shared" si="2198"/>
        <v/>
      </c>
      <c r="EZ66" s="102" t="str">
        <f t="shared" si="2198"/>
        <v/>
      </c>
      <c r="FA66" s="102" t="str">
        <f t="shared" si="2198"/>
        <v/>
      </c>
      <c r="FB66" s="102" t="str">
        <f t="shared" si="2198"/>
        <v/>
      </c>
      <c r="FC66" s="102" t="str">
        <f t="shared" si="2198"/>
        <v/>
      </c>
      <c r="FD66" s="102" t="str">
        <f t="shared" si="2198"/>
        <v/>
      </c>
      <c r="FE66" s="102"/>
      <c r="FF66" s="102"/>
      <c r="FG66" s="102"/>
      <c r="FH66" s="102"/>
      <c r="FI66" s="102"/>
      <c r="FJ66" s="102"/>
      <c r="FK66" s="102"/>
      <c r="FL66" s="102"/>
      <c r="FM66" s="102"/>
      <c r="FN66" s="102"/>
      <c r="FO66" s="102"/>
      <c r="FP66" s="102"/>
      <c r="FQ66" s="102" t="str" cm="1">
        <f t="array" ref="FQ66">IFERROR(INDEX(FR66:GK66,MATCH(TRUE,INDEX((FR66:GK66&lt;&gt;""),),0)),"")</f>
        <v/>
      </c>
      <c r="FR66" s="102" t="str">
        <f t="shared" ref="FR66:GK66" si="2199">IF(COUNTIF($FR65:$GK65,FR65)&gt;3,FR65,"")</f>
        <v/>
      </c>
      <c r="FS66" s="102" t="str">
        <f t="shared" si="2199"/>
        <v/>
      </c>
      <c r="FT66" s="102" t="str">
        <f t="shared" si="2199"/>
        <v/>
      </c>
      <c r="FU66" s="102" t="str">
        <f t="shared" si="2199"/>
        <v/>
      </c>
      <c r="FV66" s="102" t="str">
        <f t="shared" si="2199"/>
        <v/>
      </c>
      <c r="FW66" s="102" t="str">
        <f t="shared" si="2199"/>
        <v/>
      </c>
      <c r="FX66" s="102" t="str">
        <f t="shared" si="2199"/>
        <v/>
      </c>
      <c r="FY66" s="102" t="str">
        <f t="shared" si="2199"/>
        <v/>
      </c>
      <c r="FZ66" s="102" t="str">
        <f t="shared" si="2199"/>
        <v/>
      </c>
      <c r="GA66" s="102" t="str">
        <f t="shared" si="2199"/>
        <v/>
      </c>
      <c r="GB66" s="102" t="str">
        <f t="shared" si="2199"/>
        <v/>
      </c>
      <c r="GC66" s="102" t="str">
        <f t="shared" si="2199"/>
        <v/>
      </c>
      <c r="GD66" s="102" t="str">
        <f t="shared" si="2199"/>
        <v/>
      </c>
      <c r="GE66" s="102" t="str">
        <f t="shared" si="2199"/>
        <v/>
      </c>
      <c r="GF66" s="102" t="str">
        <f t="shared" si="2199"/>
        <v/>
      </c>
      <c r="GG66" s="102" t="str">
        <f t="shared" si="2199"/>
        <v/>
      </c>
      <c r="GH66" s="102" t="str">
        <f t="shared" si="2199"/>
        <v/>
      </c>
      <c r="GI66" s="102" t="str">
        <f t="shared" si="2199"/>
        <v/>
      </c>
      <c r="GJ66" s="102" t="str">
        <f t="shared" si="2199"/>
        <v/>
      </c>
      <c r="GK66" s="102" t="str">
        <f t="shared" si="2199"/>
        <v/>
      </c>
      <c r="GL66" s="102"/>
      <c r="GM66" s="102"/>
      <c r="GN66" s="102"/>
      <c r="GO66" s="102"/>
      <c r="GP66" s="102"/>
      <c r="GQ66" s="102"/>
      <c r="GR66" s="102"/>
      <c r="GS66" s="102"/>
      <c r="GT66" s="102"/>
      <c r="GU66" s="102"/>
      <c r="GV66" s="102"/>
      <c r="GW66" s="102"/>
      <c r="GX66" s="102"/>
      <c r="GY66" s="102"/>
      <c r="GZ66" s="102"/>
      <c r="HA66" s="102"/>
      <c r="HB66" s="102"/>
      <c r="HC66" s="102"/>
      <c r="HD66" s="102" t="str">
        <f>IF($F65="Hybrid - Thrust + 2 connections",COUNTBLANK(J65:L65),"")</f>
        <v/>
      </c>
      <c r="HE66" s="102"/>
      <c r="HF66" s="105"/>
      <c r="HG66" s="105"/>
      <c r="HH66" s="105"/>
      <c r="HI66" s="105"/>
    </row>
    <row r="67" spans="1:231" hidden="1" x14ac:dyDescent="0.25">
      <c r="A67" s="39" t="str">
        <f>IF(AND(E65="",A65&lt;&gt;""),IF(CP65=$CP$18,"",IF(C65&lt;&gt;"",IF(D65=59,MINUTE(CP65)+1,MINUTE(CP65)),"")),"")</f>
        <v/>
      </c>
      <c r="B67" s="40" t="str">
        <f>IF(AND(E65="",B65&lt;&gt;""),IF(CP65=$CP$18,"",IF(C65&lt;&gt;"",IF(D65=59,0,SECOND(CP65)+1),"")),"")</f>
        <v/>
      </c>
      <c r="C67" s="50"/>
      <c r="D67" s="50"/>
      <c r="E67" s="9"/>
      <c r="F67" s="51"/>
      <c r="G67" s="42" t="str">
        <f>IF(F67&lt;&gt;"",IF(OR(F67="Transition",F67="Transition - Surface Connection"),0,MAX($G$19:G66)+1),"")</f>
        <v/>
      </c>
      <c r="H67" s="56" t="str">
        <f t="shared" ref="H67" si="2200">IFERROR(IF(E68="3","",IF(OR(F67="Hybrid - min 4 swimmers (no DD)",LEFT(F67,5)="Trans"),"No DD",CONCATENATE("BM = ",I68))),"")</f>
        <v/>
      </c>
      <c r="I67" s="57"/>
      <c r="J67" s="124"/>
      <c r="K67" s="129"/>
      <c r="L67" s="129"/>
      <c r="M67" s="129"/>
      <c r="N67" s="129"/>
      <c r="O67" s="129"/>
      <c r="P67" s="129"/>
      <c r="Q67" s="129"/>
      <c r="R67" s="129"/>
      <c r="S67" s="129"/>
      <c r="T67" s="129"/>
      <c r="U67" s="129"/>
      <c r="V67" s="129"/>
      <c r="W67" s="129"/>
      <c r="X67" s="129"/>
      <c r="Y67" s="129"/>
      <c r="Z67" s="129"/>
      <c r="AA67" s="129"/>
      <c r="AB67" s="129"/>
      <c r="AC67" s="129"/>
      <c r="AD67" s="129"/>
      <c r="AE67" s="129"/>
      <c r="AF67" s="129"/>
      <c r="AG67" s="129"/>
      <c r="AH67" s="129"/>
      <c r="AI67" s="129"/>
      <c r="AJ67" s="129"/>
      <c r="AK67" s="129"/>
      <c r="AL67" s="129"/>
      <c r="AM67" s="129"/>
      <c r="AN67" s="179"/>
      <c r="AO67" s="43"/>
      <c r="AP67" s="74"/>
      <c r="AQ67" s="74"/>
      <c r="AR67" s="104"/>
      <c r="AS67" s="104"/>
      <c r="AT67" s="104"/>
      <c r="AU67" s="104"/>
      <c r="AV67" s="104"/>
      <c r="AW67" s="104"/>
      <c r="AX67" s="104"/>
      <c r="AY67" s="104"/>
      <c r="AZ67" s="104"/>
      <c r="BA67" s="104"/>
      <c r="BB67" s="104"/>
      <c r="BC67" s="104"/>
      <c r="BD67" s="104"/>
      <c r="BE67" s="104"/>
      <c r="BF67" s="104"/>
      <c r="BG67" s="104" t="str">
        <f>IFERROR(IF(F67&lt;&gt;"",INDEX(Parts_Active,MATCH(F67,Parts_Active,0)),""),"No")</f>
        <v/>
      </c>
      <c r="BH67" s="104"/>
      <c r="BI67" s="104" t="str">
        <f t="shared" ref="BI67" si="2201">IF($E68="H",IF($F67="Hybrid - Thrust + 2 connections","Hybrid_Mix_Req","HybridDD_Code"),IF($E68=3,"TreDD_Code",IF($E68="PA","AcroPair_Code",IF(LEFT($F67,4)="Acro",CONCATENATE(BI$16,$E68,"_Code"),"Data!$BI$1:$BI$5"))))</f>
        <v>Data!$BI$1:$BI$5</v>
      </c>
      <c r="BJ67" s="104" t="str">
        <f t="shared" ref="BJ67" si="2202">IF($E68="H",IF($F67="Hybrid - Thrust + 2 connections","Hybrid_Mix_Req","HybridDD_Code"),IF($E68=3,"TreDD_Code",IF($E68="PA","AcroPair_Code",IF(LEFT($F67,4)="Acro",CONCATENATE(BJ$16,$E68,"_Code"),"Data!$BI$1:$BI$5"))))</f>
        <v>Data!$BI$1:$BI$5</v>
      </c>
      <c r="BK67" s="104" t="str">
        <f t="shared" ref="BK67" si="2203">IF($E68="H",IF($F67="Hybrid - Thrust + 2 connections","Hybrid_Mix_Req","HybridDD_Code"),IF($E68=3,"TreDD_Code",IF($E68="PA","AcroPair_Code",IF(LEFT($F67,4)="Acro",CONCATENATE(BK$16,$E68,"_Code"),"Data!$BI$1:$BI$5"))))</f>
        <v>Data!$BI$1:$BI$5</v>
      </c>
      <c r="BL67" s="104" t="str">
        <f t="shared" ref="BL67" si="2204">IF($E68="H",IF($F67="Hybrid - Thrust + 2 connections","Data!$BI$1:$BI$5","HybridDD_Code"),IF($E68=3,"Data!$BI$1:$BI$5",IF(LEFT($F67,4)="Acro",CONCATENATE(BL$16,$E68,"_Code"),IF($E68="PA","","Data!$BI$1:$BI$5"))))</f>
        <v>Data!$BI$1:$BI$5</v>
      </c>
      <c r="BM67" s="104" t="str">
        <f t="shared" ref="BM67" si="2205">IF($E68="H",IF($F67="Hybrid - Thrust + 2 connections","Data!$BI$1:$BI$5","HybridDD_Code"),IF($E68=3,"Data!$BI$1:$BI$5",IF(LEFT($F67,4)="Acro",CONCATENATE(BM$16,$E68,"_Code"),IF($E68="PA","","Data!$BI$1:$BI$5"))))</f>
        <v>Data!$BI$1:$BI$5</v>
      </c>
      <c r="BN67" s="104" t="str">
        <f t="shared" ref="BN67" si="2206">IF($E68="H",IF($F67="Hybrid - Thrust + 2 connections","Data!$BI$1:$BI$5","HybridDD_Code"),IF($E68=3,"Data!$BI$1:$BI$5",IF(LEFT($F67,4)="Acro",CONCATENATE(BN$16,$E68,"_Code"),IF($E68="PA","","Data!$BI$1:$BI$5"))))</f>
        <v>Data!$BI$1:$BI$5</v>
      </c>
      <c r="BO67" s="104" t="str">
        <f t="shared" ref="BO67" si="2207">IF($E68="H",IF($F67="Hybrid - Thrust + 2 connections","Data!$BI$1:$BI$5","HybridDD_Code"),IF($E68=3,"Data!$BI$1:$BI$5",IF(LEFT($F67,4)="Acro",CONCATENATE(BO$16,$E68,"_Code"),IF($E68="PA","","Data!$BI$1:$BI$5"))))</f>
        <v>Data!$BI$1:$BI$5</v>
      </c>
      <c r="BP67" s="104" t="str">
        <f t="shared" ref="BP67" si="2208">IF($E68="H",IF($F67="Hybrid - Thrust + 2 connections","Data!$BI$1:$BI$5","HybridDD_Code"),IF($E68=3,"Data!$BI$1:$BI$5",IF(LEFT($F67,4)="Acro",CONCATENATE(BP$16,$E68,"_Code"),IF($E68="PA","","Data!$BI$1:$BI$5"))))</f>
        <v>Data!$BI$1:$BI$5</v>
      </c>
      <c r="BQ67" s="104" t="str">
        <f t="shared" ref="BQ67" si="2209">IF($E68="H",IF($F67="Hybrid - Thrust + 2 connections","Data!$BI$1:$BI$5","HybridDD_Code"),IF($E68=3,"Data!$BI$1:$BI$5",IF(LEFT($F67,4)="Acro",CONCATENATE(BQ$16,$E68,"_Code"),IF($E68="PA","","Data!$BI$1:$BI$5"))))</f>
        <v>Data!$BI$1:$BI$5</v>
      </c>
      <c r="BR67" s="104" t="str">
        <f t="shared" ref="BR67" si="2210">IF($E68="H",IF($F67="Hybrid - Thrust + 2 connections","Data!$BI$1:$BI$5","HybridDD_Code"),"Data!$BI$1:$BI$5")</f>
        <v>Data!$BI$1:$BI$5</v>
      </c>
      <c r="BS67" s="104" t="str">
        <f t="shared" si="2066"/>
        <v>Data!$BI$1:$BI$5</v>
      </c>
      <c r="BT67" s="104" t="str">
        <f t="shared" si="2066"/>
        <v>Data!$BI$1:$BI$5</v>
      </c>
      <c r="BU67" s="104" t="str">
        <f t="shared" si="2066"/>
        <v>Data!$BI$1:$BI$5</v>
      </c>
      <c r="BV67" s="104" t="str">
        <f t="shared" si="2066"/>
        <v>Data!$BI$1:$BI$5</v>
      </c>
      <c r="BW67" s="104" t="str">
        <f t="shared" si="2066"/>
        <v>Data!$BI$1:$BI$5</v>
      </c>
      <c r="BX67" s="104" t="str">
        <f t="shared" si="2066"/>
        <v>Data!$BI$1:$BI$5</v>
      </c>
      <c r="BY67" s="104" t="str">
        <f t="shared" si="2066"/>
        <v>Data!$BI$1:$BI$5</v>
      </c>
      <c r="BZ67" s="104" t="str">
        <f t="shared" si="2066"/>
        <v>Data!$BI$1:$BI$5</v>
      </c>
      <c r="CA67" s="104" t="str">
        <f t="shared" si="2066"/>
        <v>Data!$BI$1:$BI$5</v>
      </c>
      <c r="CB67" s="104" t="str">
        <f t="shared" si="2066"/>
        <v>Data!$BI$1:$BI$5</v>
      </c>
      <c r="CC67" s="104"/>
      <c r="CD67" s="104"/>
      <c r="CE67" s="104"/>
      <c r="CF67" s="104"/>
      <c r="CG67" s="104"/>
      <c r="CH67" s="104"/>
      <c r="CI67" s="104"/>
      <c r="CJ67" s="104"/>
      <c r="CK67" s="104"/>
      <c r="CL67" s="104"/>
      <c r="CM67" s="104"/>
      <c r="CN67" s="104"/>
      <c r="CO67" s="107" t="str">
        <f>IFERROR(TIME(0,A67,B67),"")</f>
        <v/>
      </c>
      <c r="CP67" s="108">
        <f>IFERROR(TIME(0,C67,D67),"")</f>
        <v>0</v>
      </c>
      <c r="CQ67" s="108" t="str">
        <f t="shared" ref="CQ67" si="2211">IF(CP67&gt;$D$12,"X","")</f>
        <v/>
      </c>
      <c r="CR67" s="102" t="str">
        <f>IF(AND(F67="Hybrid - Thrust + 2 connections",OR(LEFT(J67,1)="T",LEFT(K67,1)="T",LEFT(L67,1)="T",LEFT(PB67,1)="T",LEFT(M67,1)="T",LEFT(N67,1)="T",LEFT(O67,1)="T",LEFT(P67,1)="T",LEFT(Q67,1)="T",LEFT(R67,1)="T",LEFT(S67,1)="T",LEFT(T67,1)="T",LEFT(U67,1)="T",LEFT(V67,1)="T",LEFT(W67,1)="T",LEFT(X67,1)="T",LEFT(AK67,1)="T",LEFT(AL67,1)="T",LEFT(AM67,1)="T")),IF(OR(LEN(J67)=2,LEN(K67)=2,LEN(L67)=2,LEN(M67)=2,LEN(N67)=2,LEN(O67)=2,LEN(P67)=2,LEN(Q67)=2,LEN(R67)=2,LEN(S67)=2,LEN(T67)=2,LEN(U67)=2,LEN(V67)=2,LEN(W67)=2,LEN(X67)=2,LEN(Y67)=2,LEN(Z67)=2,LEN(AK67)=2,LEN(AL67)=2,LEN(AM67)=2),"X",""),"")</f>
        <v/>
      </c>
      <c r="CS67" s="105"/>
      <c r="CT67" s="102" t="str">
        <f>IF(LEFT(F67,4)="Acro",IF(AND(N67&lt;&gt;"",M67=RIGHT(N67,2)),"X","OK"),"")</f>
        <v/>
      </c>
      <c r="CU67" s="104" t="str">
        <f t="shared" ref="CU67:DB67" si="2212">IFERROR(IF(AND(LEFT($F67,4)="Acro",INDEX(Requ_App,MATCH(BI67,Requ_Code,0))="No"),"X",""),"")</f>
        <v/>
      </c>
      <c r="CV67" s="104" t="str">
        <f t="shared" si="2212"/>
        <v/>
      </c>
      <c r="CW67" s="104" t="str">
        <f t="shared" si="2212"/>
        <v/>
      </c>
      <c r="CX67" s="104" t="str">
        <f t="shared" si="2212"/>
        <v/>
      </c>
      <c r="CY67" s="104" t="str">
        <f t="shared" si="2212"/>
        <v/>
      </c>
      <c r="CZ67" s="104" t="str">
        <f t="shared" si="2212"/>
        <v/>
      </c>
      <c r="DA67" s="104" t="str">
        <f t="shared" si="2212"/>
        <v/>
      </c>
      <c r="DB67" s="104" t="str">
        <f t="shared" si="2212"/>
        <v/>
      </c>
      <c r="DC67" s="104" t="str">
        <f>IFERROR(IF(AND(LEFT($F67,4)="Acro",INDEX(Requ_App,MATCH(BP67,Requ_Code,0))="No"),"X",""),"")</f>
        <v/>
      </c>
      <c r="DD67" s="102" t="str">
        <f t="shared" si="1643"/>
        <v/>
      </c>
      <c r="DE67" s="102" t="str">
        <f t="shared" si="1644"/>
        <v/>
      </c>
      <c r="DF67" s="102" t="str">
        <f t="shared" si="1645"/>
        <v/>
      </c>
      <c r="DG67" s="102" t="str">
        <f t="shared" si="1646"/>
        <v/>
      </c>
      <c r="DK67" s="102">
        <f>IF(AND(E68="A",OR(Q67="Grip",Q67="Conn",Q67="Catch")),"A1",IF(AND(E68="A",OR(Q67="Hula",Q67="RetSq",Q67="RetPa")),"A2",IF(AND(E68="B",OR(Q67="Twirl",Q67="RotF")),"B1",IF(AND(E68="B",OR(Q67="Moon",Q67="Mov")),"B2",IF(AND(E68="B",Q67="Hold"),"B3",IF(AND(E68="P",OR(Q67="Porp",Q67="Spich")),"P1",IF(AND(E68="P",OR(Q67="Diva",Q67="Ps1",Q67="Ps1t0.5",Q67="Ps1op",Q67="Ps1t0,5o",Q67="Ps1t1",Q67="CH+")),"P2",IF(AND(E68="P",OR(Q67="Spider",Q67="Climb")),"P3",IF(AND(E68="P",OR(Q67="Fall",Q67="FTurn")),"P4",IF(AND(E68="C",OR(Q67="Jump",Q67="Jump&gt;",Q67="On1Foot",Q67="1F&gt;1F")),"C1",IF(AND(E68="C",OR(Q67="Run",Q67="BRun")),"C2",1)))))))))))</f>
        <v>1</v>
      </c>
      <c r="DL67" s="102">
        <f>IF(AND(E68="A",OR(R67="Grip",R67="Conn",R67="Catch")),"A1",IF(AND(E68="A",OR(R67="Hula",R67="RetSq",R67="RetPa")),"A2",IF(AND(E68="B",OR(R67="Twirl",R67="RotF")),"B1",IF(AND(E68="B",OR(R67="Moon",R67="Mov")),"B3",IF(AND(E68="B",R67="Hold"),"B2",IF(AND(E68="P",OR(R67="Porp",R67="Spich")),"P1",IF(AND(E68="P",OR(R67="Diva",R67="Ps1",R67="Ps1t0.5",R67="Ps1op",R67="Ps1t0,5o",R67="Ps1t1",R67="CH+")),"P2",IF(AND(E68="P",OR(R67="Spider",R67="Climb")),"P3",IF(AND(E68="P",OR(R67="Fall",R67="FTurn")),"P4",IF(AND(E68="C",OR(R67="Jump",R67="Jump&gt;",R67="On1Foot",R67="1F&gt;1F")),"C1",IF(AND(E68="C",OR(R67="Run",R67="BRun")),"C2",2)))))))))))</f>
        <v>2</v>
      </c>
      <c r="DM67" s="102" t="str">
        <f>IF(AND(LEFT(F67,4)="Acro",Q67&lt;&gt;"",OR(Q67=R67,DK67=DL67)),IF(R67="C-Roll","","X"),IF(OR(AND(E68="A",Q67="Catch",R67&lt;&gt;"Dbl"),AND(E68="A",R67="Catch",Q67&lt;&gt;"Dbl")),"X",""))</f>
        <v/>
      </c>
      <c r="DN67" s="102" t="str">
        <f>IF(E68="PA",J67,"")</f>
        <v/>
      </c>
      <c r="DO67" s="102">
        <v>49</v>
      </c>
      <c r="DQ67" s="102" t="str">
        <f>IF(AND($E68="A",COUNTIF($DZ$19:$EA$68,DZ67)&gt;1),DZ67,"")</f>
        <v/>
      </c>
      <c r="DR67" s="102" t="str">
        <f>IF(AND($E68="A",COUNTIF($DZ$19:$EA$68,EA67)&gt;1),EA67,"")</f>
        <v/>
      </c>
      <c r="DS67" s="102" t="str">
        <f ca="1">IF(AND($E68="B",COUNTIF($J$19:$J$68,J67)&gt;1),J67,"")</f>
        <v/>
      </c>
      <c r="DT67" s="102" t="str">
        <f ca="1">IF(AND($E68="B",COUNTIF($K$19:$K$68,K67)&gt;1),K67,"")</f>
        <v/>
      </c>
      <c r="DU67" s="102" t="str">
        <f ca="1">IF(AND($E68="C",COUNTIF($J$19:$J$68,J67)&gt;1),J67,"")</f>
        <v/>
      </c>
      <c r="DV67" s="102" t="str">
        <f ca="1">IF(AND($E68="P",COUNTIF($J$19:$J$68,J67)&gt;1),J67,"")</f>
        <v/>
      </c>
      <c r="DW67" s="102" t="str">
        <f ca="1">IF(AND($E68="P",COUNTIF($K$19:$K$68,K67)&gt;1),K67,"")</f>
        <v/>
      </c>
      <c r="DX67" s="102" t="str">
        <f>IF(AND($E68="P",COUNTIF($DZ$19:$EA$68,DZ67)&gt;1),DZ67,"")</f>
        <v/>
      </c>
      <c r="DY67" s="102" t="str">
        <f>IF(AND($E68="P",COUNTIF($DZ$19:$EA$68,EA67)&gt;1),EA67,"")</f>
        <v/>
      </c>
      <c r="DZ67" s="102" t="str">
        <f>IFERROR(IF(OR(E68="A",E68="P"),M67,""),"")</f>
        <v/>
      </c>
      <c r="EA67" s="102" t="str">
        <f>IFERROR(IF(OR(E68="A",E68="P"),RIGHT(N67,2),""),"")</f>
        <v/>
      </c>
      <c r="EF67" s="102" t="str">
        <f>IF(AND($F$8="Open Team Acrobatic",LEFT(F67,4)="Acro"),E68,"")</f>
        <v/>
      </c>
      <c r="EG67" s="102" t="str">
        <f t="shared" ref="EG67" si="2213">IFERROR(IF(HLOOKUP(EF67,$DQ$12:$DT$13,2,FALSE)&gt;2,"X",""),"")</f>
        <v/>
      </c>
      <c r="EI67" s="102" t="str">
        <f>IF(OR(AND(F67="Hybrid - Thrust + 2 connections",EI68="T"),AND(F67="Hybrid - Free",EI68&lt;&gt;"")),"X","")</f>
        <v/>
      </c>
      <c r="EK67" s="102">
        <f t="shared" ref="EK67:FA67" si="2214">IFERROR(IF(AND($E68="H",J67&lt;&gt;""),IF(OR(LEFT(J67,1)="T",LEFT(J67,1)="S",LEFT(J67,1)="A",LEFT(J67,1)="F",LEFT(J67,1)="C"),LEFT(J67,1),"R"),EK$18),"")</f>
        <v>1</v>
      </c>
      <c r="EL67" s="102">
        <f t="shared" si="2214"/>
        <v>2</v>
      </c>
      <c r="EM67" s="102">
        <f t="shared" si="2214"/>
        <v>3</v>
      </c>
      <c r="EN67" s="102">
        <f t="shared" si="2214"/>
        <v>4</v>
      </c>
      <c r="EO67" s="102">
        <f t="shared" si="2214"/>
        <v>5</v>
      </c>
      <c r="EP67" s="102">
        <f t="shared" si="2214"/>
        <v>6</v>
      </c>
      <c r="EQ67" s="102">
        <f t="shared" si="2214"/>
        <v>7</v>
      </c>
      <c r="ER67" s="102">
        <f t="shared" si="2214"/>
        <v>8</v>
      </c>
      <c r="ES67" s="102">
        <f t="shared" si="2214"/>
        <v>9</v>
      </c>
      <c r="ET67" s="102">
        <f t="shared" si="2214"/>
        <v>10</v>
      </c>
      <c r="EU67" s="102">
        <f t="shared" si="2214"/>
        <v>11</v>
      </c>
      <c r="EV67" s="102">
        <f t="shared" si="2214"/>
        <v>12</v>
      </c>
      <c r="EW67" s="102">
        <f t="shared" si="2214"/>
        <v>13</v>
      </c>
      <c r="EX67" s="102">
        <f t="shared" si="2214"/>
        <v>14</v>
      </c>
      <c r="EY67" s="102">
        <f t="shared" si="2214"/>
        <v>15</v>
      </c>
      <c r="EZ67" s="102">
        <f t="shared" si="2214"/>
        <v>16</v>
      </c>
      <c r="FA67" s="102">
        <f t="shared" si="2214"/>
        <v>17</v>
      </c>
      <c r="FB67" s="102">
        <f t="shared" ref="FB67" si="2215">IFERROR(IF(AND($E68="H",AK67&lt;&gt;""),IF(OR(LEFT(AK67,1)="T",LEFT(AK67,1)="S",LEFT(AK67,1)="A",LEFT(AK67,1)="F",LEFT(AK67,1)="C"),LEFT(AK67,1),"R"),FB$18),"")</f>
        <v>18</v>
      </c>
      <c r="FC67" s="102">
        <f t="shared" ref="FC67" si="2216">IFERROR(IF(AND($E68="H",AL67&lt;&gt;""),IF(OR(LEFT(AL67,1)="T",LEFT(AL67,1)="S",LEFT(AL67,1)="A",LEFT(AL67,1)="F",LEFT(AL67,1)="C"),LEFT(AL67,1),"R"),FC$18),"")</f>
        <v>19</v>
      </c>
      <c r="FD67" s="102">
        <f t="shared" ref="FD67" si="2217">IFERROR(IF(AND($E68="H",AM67&lt;&gt;""),IF(OR(LEFT(AM67,1)="T",LEFT(AM67,1)="S",LEFT(AM67,1)="A",LEFT(AM67,1)="F",LEFT(AM67,1)="C"),LEFT(AM67,1),"R"),FD$18),"")</f>
        <v>20</v>
      </c>
      <c r="FE67" s="102"/>
      <c r="FF67" s="102"/>
      <c r="FG67" s="102"/>
      <c r="FH67" s="102"/>
      <c r="FI67" s="102"/>
      <c r="FJ67" s="102"/>
      <c r="FK67" s="102"/>
      <c r="FL67" s="102"/>
      <c r="FM67" s="102"/>
      <c r="FN67" s="102"/>
      <c r="FO67" s="102"/>
      <c r="FP67" s="102"/>
      <c r="FQ67" s="102"/>
      <c r="FR67" s="102">
        <f t="shared" ref="FR67:GH67" si="2218">IFERROR(IF(J67&lt;&gt;"",UPPER(J67),FR$18),FR$18)</f>
        <v>1</v>
      </c>
      <c r="FS67" s="102">
        <f t="shared" si="2218"/>
        <v>2</v>
      </c>
      <c r="FT67" s="102">
        <f t="shared" si="2218"/>
        <v>3</v>
      </c>
      <c r="FU67" s="102">
        <f t="shared" si="2218"/>
        <v>4</v>
      </c>
      <c r="FV67" s="102">
        <f t="shared" si="2218"/>
        <v>5</v>
      </c>
      <c r="FW67" s="102">
        <f t="shared" si="2218"/>
        <v>6</v>
      </c>
      <c r="FX67" s="102">
        <f t="shared" si="2218"/>
        <v>7</v>
      </c>
      <c r="FY67" s="102">
        <f t="shared" si="2218"/>
        <v>8</v>
      </c>
      <c r="FZ67" s="102">
        <f t="shared" si="2218"/>
        <v>9</v>
      </c>
      <c r="GA67" s="102">
        <f t="shared" si="2218"/>
        <v>10</v>
      </c>
      <c r="GB67" s="102">
        <f t="shared" si="2218"/>
        <v>11</v>
      </c>
      <c r="GC67" s="102">
        <f t="shared" si="2218"/>
        <v>12</v>
      </c>
      <c r="GD67" s="102">
        <f t="shared" si="2218"/>
        <v>13</v>
      </c>
      <c r="GE67" s="102">
        <f t="shared" si="2218"/>
        <v>14</v>
      </c>
      <c r="GF67" s="102">
        <f t="shared" si="2218"/>
        <v>15</v>
      </c>
      <c r="GG67" s="102">
        <f t="shared" si="2218"/>
        <v>16</v>
      </c>
      <c r="GH67" s="102">
        <f t="shared" si="2218"/>
        <v>17</v>
      </c>
      <c r="GI67" s="102">
        <f>IFERROR(IF(AK67&lt;&gt;"",UPPER(AK67),GI$18),GI$18)</f>
        <v>18</v>
      </c>
      <c r="GJ67" s="102">
        <f>IFERROR(IF(AL67&lt;&gt;"",UPPER(AL67),GJ$18),GJ$18)</f>
        <v>19</v>
      </c>
      <c r="GK67" s="102">
        <f>IFERROR(IF(AM67&lt;&gt;"",UPPER(AM67),GK$18),GK$18)</f>
        <v>20</v>
      </c>
      <c r="GL67" s="102"/>
      <c r="GM67" s="102"/>
      <c r="GN67" s="102"/>
      <c r="GO67" s="102"/>
      <c r="GP67" s="102"/>
      <c r="GQ67" s="102"/>
      <c r="GR67" s="102"/>
      <c r="GS67" s="102"/>
      <c r="GT67" s="102"/>
      <c r="GU67" s="102"/>
      <c r="GV67" s="102"/>
      <c r="GW67" s="102">
        <f t="shared" ref="GW67:HB67" si="2219">COUNTIF($EK67:$FD67,GW$18)</f>
        <v>0</v>
      </c>
      <c r="GX67" s="102">
        <f t="shared" si="2219"/>
        <v>0</v>
      </c>
      <c r="GY67" s="102">
        <f t="shared" si="2219"/>
        <v>0</v>
      </c>
      <c r="GZ67" s="102">
        <f t="shared" si="2219"/>
        <v>0</v>
      </c>
      <c r="HA67" s="102">
        <f t="shared" si="2219"/>
        <v>0</v>
      </c>
      <c r="HB67" s="102">
        <f t="shared" si="2219"/>
        <v>0</v>
      </c>
      <c r="HC67" s="102"/>
      <c r="HD67" s="102" t="str">
        <f t="shared" ref="HD67" si="2220">IF(AND($F67="Hybrid - Thrust + 2 connections",HD68=0,LEFT($J67,1)="C",LEFT($K67,1)="C",LEFT($L67,1)="C"),"X","")</f>
        <v/>
      </c>
      <c r="HE67" s="102"/>
      <c r="HF67" s="105"/>
      <c r="HG67" s="114"/>
      <c r="HH67" s="114"/>
      <c r="HI67" s="105" t="str">
        <f>IF(E68=3,_xlfn.NUMBERVALUE(LEFT(J67,1)),"")</f>
        <v/>
      </c>
    </row>
    <row r="68" spans="1:231" ht="13.5" hidden="1" thickBot="1" x14ac:dyDescent="0.3">
      <c r="A68" s="44"/>
      <c r="B68" s="45"/>
      <c r="C68" s="45"/>
      <c r="D68" s="45"/>
      <c r="E68" s="202" t="str">
        <f t="shared" ref="E68" si="2221">IF(F67="Acrobatic - Pair","PA",IF(F67="Acrobatic Airborn","A",IF(F67="Acrobatic Balance","B",IF(F67="Acrobatic Combined","C",IF(F67="Acrobatic Platform","P",IF(F67="Technical Required Element",3,IF(LEFT(F67,4)="Hybr","H","")))))))</f>
        <v/>
      </c>
      <c r="F68" s="224" t="str">
        <f>IF(AND(F67="Hybrid - Thrust + 2 connections",CR67="X"),"Hybrid - Thrust",IF(OR(E68="A",E68="B",E68="C",E68="P"),"Acrobatic",""))</f>
        <v/>
      </c>
      <c r="G68" s="203"/>
      <c r="H68" s="208" t="str">
        <f t="shared" ref="H68" si="2222">IF(E68="PA",IF(OR(LEFT(J67,1)="L",LEFT(J67,1)="S"),"A-Pair-Lift",IF(OR(LEFT(J67,1)="W",LEFT(J67,1)="T"),"A-Pair-Throw",IF(LEFT(J67,1)="J","A-Pair-Jump","A-Pair"))),IF(OR(E68="A",E68="B",E68="C",E68="P"),CONCATENATE("Acro-",E68),""))</f>
        <v/>
      </c>
      <c r="I68" s="204" t="e">
        <f t="shared" ref="I68" si="2223">IF(OR(F67="Hybrid - min 4 swimmers (no DD)",LEFT(F67,5)="Trans"),0,INDEX($BY$3:$BY$9,MATCH(E68,$BX$3:$BX$9,0)))</f>
        <v>#N/A</v>
      </c>
      <c r="J68" s="216">
        <f t="shared" ref="J68:Z68" ca="1" si="2224">IFERROR(IF($H67="No DD",0,IF(OR(ISBLANK(J67),J67="N/A"),0,INDEX(INDIRECT(BI68),MATCH(J67,INDIRECT(BI67),0)))),0)</f>
        <v>0</v>
      </c>
      <c r="K68" s="205">
        <f t="shared" ca="1" si="2224"/>
        <v>0</v>
      </c>
      <c r="L68" s="205">
        <f t="shared" ca="1" si="2224"/>
        <v>0</v>
      </c>
      <c r="M68" s="205">
        <f t="shared" ca="1" si="2224"/>
        <v>0</v>
      </c>
      <c r="N68" s="205">
        <f t="shared" ca="1" si="2224"/>
        <v>0</v>
      </c>
      <c r="O68" s="205">
        <f t="shared" ca="1" si="2224"/>
        <v>0</v>
      </c>
      <c r="P68" s="205">
        <f t="shared" ca="1" si="2224"/>
        <v>0</v>
      </c>
      <c r="Q68" s="205">
        <f t="shared" ca="1" si="2224"/>
        <v>0</v>
      </c>
      <c r="R68" s="205">
        <f t="shared" ca="1" si="2224"/>
        <v>0</v>
      </c>
      <c r="S68" s="205">
        <f t="shared" ca="1" si="2224"/>
        <v>0</v>
      </c>
      <c r="T68" s="205">
        <f t="shared" ca="1" si="2224"/>
        <v>0</v>
      </c>
      <c r="U68" s="205">
        <f t="shared" ca="1" si="2224"/>
        <v>0</v>
      </c>
      <c r="V68" s="205">
        <f t="shared" ca="1" si="2224"/>
        <v>0</v>
      </c>
      <c r="W68" s="205">
        <f t="shared" ca="1" si="2224"/>
        <v>0</v>
      </c>
      <c r="X68" s="205">
        <f t="shared" ca="1" si="2224"/>
        <v>0</v>
      </c>
      <c r="Y68" s="205">
        <f t="shared" ca="1" si="2224"/>
        <v>0</v>
      </c>
      <c r="Z68" s="205">
        <f t="shared" ca="1" si="2224"/>
        <v>0</v>
      </c>
      <c r="AA68" s="205">
        <f ca="1">IFERROR(IF($H67="No DD",0,IF(OR(ISBLANK(AA67),AA67="N/A"),0,INDEX(INDIRECT(BX68),MATCH(AA67,INDIRECT(BX67),0)))),0)</f>
        <v>0</v>
      </c>
      <c r="AB68" s="205">
        <f ca="1">IFERROR(IF($H67="No DD",0,IF(OR(ISBLANK(AB67),AB67="N/A"),0,INDEX(INDIRECT(BY68),MATCH(AB67,INDIRECT(BY67),0)))),0)</f>
        <v>0</v>
      </c>
      <c r="AC68" s="205">
        <f ca="1">IFERROR(IF($H67="No DD",0,IF(OR(ISBLANK(AC67),AC67="N/A"),0,INDEX(INDIRECT(BX68),MATCH(AC67,INDIRECT(BX67),0)))),0)</f>
        <v>0</v>
      </c>
      <c r="AD68" s="205">
        <f ca="1">IFERROR(IF($H67="No DD",0,IF(OR(ISBLANK(AD67),AD67="N/A"),0,INDEX(INDIRECT(BY68),MATCH(AD67,INDIRECT(BY67),0)))),0)</f>
        <v>0</v>
      </c>
      <c r="AE68" s="205">
        <f ca="1">IFERROR(IF($H67="No DD",0,IF(OR(ISBLANK(AE67),AE67="N/A"),0,INDEX(INDIRECT(BX68),MATCH(AE67,INDIRECT(BX67),0)))),0)</f>
        <v>0</v>
      </c>
      <c r="AF68" s="205">
        <f ca="1">IFERROR(IF($H67="No DD",0,IF(OR(ISBLANK(AF67),AF67="N/A"),0,INDEX(INDIRECT(BY68),MATCH(AF67,INDIRECT(BY67),0)))),0)</f>
        <v>0</v>
      </c>
      <c r="AG68" s="205">
        <f ca="1">IFERROR(IF($H67="No DD",0,IF(OR(ISBLANK(AG67),AG67="N/A"),0,INDEX(INDIRECT(BX68),MATCH(AG67,INDIRECT(BX67),0)))),0)</f>
        <v>0</v>
      </c>
      <c r="AH68" s="205">
        <f ca="1">IFERROR(IF($H67="No DD",0,IF(OR(ISBLANK(AH67),AH67="N/A"),0,INDEX(INDIRECT(BY68),MATCH(AH67,INDIRECT(BY67),0)))),0)</f>
        <v>0</v>
      </c>
      <c r="AI68" s="205">
        <f t="shared" ref="AI68" ca="1" si="2225">IFERROR(IF($H67="No DD",0,IF(OR(ISBLANK(AI67),AI67="N/A"),0,INDEX(INDIRECT(BX68),MATCH(AI67,INDIRECT(BX67),0)))),0)</f>
        <v>0</v>
      </c>
      <c r="AJ68" s="205">
        <f t="shared" ref="AJ68" ca="1" si="2226">IFERROR(IF($H67="No DD",0,IF(OR(ISBLANK(AJ67),AJ67="N/A"),0,INDEX(INDIRECT(BY68),MATCH(AJ67,INDIRECT(BY67),0)))),0)</f>
        <v>0</v>
      </c>
      <c r="AK68" s="205">
        <f t="shared" ref="AK68" ca="1" si="2227">IFERROR(IF($H67="No DD",0,IF(OR(ISBLANK(AK67),AK67="N/A"),0,INDEX(INDIRECT(BZ68),MATCH(AK67,INDIRECT(BZ67),0)))),0)</f>
        <v>0</v>
      </c>
      <c r="AL68" s="205">
        <f t="shared" ref="AL68" ca="1" si="2228">IFERROR(IF($H67="No DD",0,IF(OR(ISBLANK(AL67),AL67="N/A"),0,INDEX(INDIRECT(CA68),MATCH(AL67,INDIRECT(CA67),0)))),0)</f>
        <v>0</v>
      </c>
      <c r="AM68" s="205">
        <f t="shared" ref="AM68" ca="1" si="2229">IFERROR(IF($H67="No DD",0,IF(OR(ISBLANK(AM67),AM67="N/A"),0,INDEX(INDIRECT(CB68),MATCH(AM67,INDIRECT(CB67),0)))),0)</f>
        <v>0</v>
      </c>
      <c r="AN68" s="206" t="str">
        <f>IFERROR(IF(E68="H",INDEX(HybridBonus_Value,MATCH(AN67,HybridBonus_Code,0)),""),"")</f>
        <v/>
      </c>
      <c r="AO68" s="230" t="str">
        <f>IFERROR(IF(J67&lt;&gt;"",SUM(I68:AN68),""),"")</f>
        <v/>
      </c>
      <c r="AP68" s="75"/>
      <c r="AQ68" s="75"/>
      <c r="AR68" s="115"/>
      <c r="AS68" s="115"/>
      <c r="AT68" s="115"/>
      <c r="AU68" s="115"/>
      <c r="AV68" s="115"/>
      <c r="AW68" s="115"/>
      <c r="AX68" s="115"/>
      <c r="AY68" s="115"/>
      <c r="AZ68" s="115"/>
      <c r="BA68" s="115"/>
      <c r="BB68" s="115"/>
      <c r="BC68" s="115"/>
      <c r="BD68" s="115"/>
      <c r="BE68" s="115"/>
      <c r="BF68" s="115"/>
      <c r="BG68" s="104"/>
      <c r="BH68" s="115"/>
      <c r="BI68" s="105" t="str">
        <f t="shared" ref="BI68" si="2230">IF($E68="H","HybridDD_Value",IF($E68=3,"TreDD_Value",IF($E68="PA","AcroPair_Value",IF(LEFT($F67,4)="Acro",CONCATENATE(BI$16,$E68,"_Value"),""))))</f>
        <v/>
      </c>
      <c r="BJ68" s="105" t="str">
        <f t="shared" ref="BJ68:BK68" si="2231">IF($E68="H","HybridDD_Value",IF($E68=3,"",IF(LEFT($F67,4)="Acro",CONCATENATE(BJ$16,$E68,"_Value"),IF($E68="PA","",""))))</f>
        <v/>
      </c>
      <c r="BK68" s="105" t="str">
        <f t="shared" si="2231"/>
        <v/>
      </c>
      <c r="BL68" s="105" t="str">
        <f t="shared" ref="BL68:BQ68" si="2232">IF($E68="H","HybridDD_Value",IF($E68=3,"",IF(LEFT($F67,4)="Acro",CONCATENATE(BL$16,$E68,"_Value"),IF($E68="PA","",""))))</f>
        <v/>
      </c>
      <c r="BM68" s="105" t="str">
        <f t="shared" si="2232"/>
        <v/>
      </c>
      <c r="BN68" s="105" t="str">
        <f t="shared" si="2232"/>
        <v/>
      </c>
      <c r="BO68" s="105" t="str">
        <f t="shared" si="2232"/>
        <v/>
      </c>
      <c r="BP68" s="105" t="str">
        <f t="shared" si="2232"/>
        <v/>
      </c>
      <c r="BQ68" s="105" t="str">
        <f t="shared" si="2232"/>
        <v/>
      </c>
      <c r="BR68" s="104" t="str">
        <f t="shared" ref="BR68" si="2233">IF($E68="H","HybridDD_Value","Data!$BI$1:$BI$5")</f>
        <v>Data!$BI$1:$BI$5</v>
      </c>
      <c r="BS68" s="104" t="str">
        <f t="shared" si="2066"/>
        <v>Data!$BI$1:$BI$5</v>
      </c>
      <c r="BT68" s="104" t="str">
        <f t="shared" si="2066"/>
        <v>Data!$BI$1:$BI$5</v>
      </c>
      <c r="BU68" s="104" t="str">
        <f t="shared" si="2066"/>
        <v>Data!$BI$1:$BI$5</v>
      </c>
      <c r="BV68" s="104" t="str">
        <f t="shared" si="2066"/>
        <v>Data!$BI$1:$BI$5</v>
      </c>
      <c r="BW68" s="104" t="str">
        <f t="shared" si="2066"/>
        <v>Data!$BI$1:$BI$5</v>
      </c>
      <c r="BX68" s="104" t="str">
        <f t="shared" si="2066"/>
        <v>Data!$BI$1:$BI$5</v>
      </c>
      <c r="BY68" s="104" t="str">
        <f t="shared" si="2066"/>
        <v>Data!$BI$1:$BI$5</v>
      </c>
      <c r="BZ68" s="104" t="str">
        <f t="shared" si="2066"/>
        <v>Data!$BI$1:$BI$5</v>
      </c>
      <c r="CA68" s="104" t="str">
        <f t="shared" si="2066"/>
        <v>Data!$BI$1:$BI$5</v>
      </c>
      <c r="CB68" s="104" t="str">
        <f t="shared" si="2066"/>
        <v>Data!$BI$1:$BI$5</v>
      </c>
      <c r="CC68" s="104"/>
      <c r="CD68" s="104"/>
      <c r="CE68" s="104"/>
      <c r="CF68" s="104"/>
      <c r="CG68" s="104"/>
      <c r="CH68" s="104"/>
      <c r="CI68" s="104"/>
      <c r="CJ68" s="104"/>
      <c r="CK68" s="104"/>
      <c r="CL68" s="104"/>
      <c r="CM68" s="115"/>
      <c r="CN68" s="115"/>
      <c r="CO68" s="116" t="str">
        <f>IFERROR(IF(AND($BV$6="T",$BV$8="T",LEFT(F67,4)="Acro",AO68&gt;3),"X",IF($N$7="X",IF(AND(E68="C",AO68&gt;$CN$6),"X",IF(AND(E68="A",AO68&gt;$CN$4),"X",IF(AND(E68="B",AO68&gt;$CN$5),"X",IF(AND(E68="P",AO68&gt;$CN$7),"X","")))),"")),"")</f>
        <v/>
      </c>
      <c r="CP68" s="107"/>
      <c r="CQ68" s="105"/>
      <c r="CS68" s="105"/>
      <c r="CT68" s="105"/>
      <c r="CU68" s="105"/>
      <c r="CV68" s="105"/>
      <c r="CW68" s="105"/>
      <c r="CX68" s="105"/>
      <c r="CY68" s="105"/>
      <c r="CZ68" s="105"/>
      <c r="DD68" s="102" t="str">
        <f t="shared" si="1643"/>
        <v/>
      </c>
      <c r="DE68" s="102" t="str">
        <f t="shared" si="1644"/>
        <v/>
      </c>
      <c r="DF68" s="102" t="str">
        <f t="shared" si="1645"/>
        <v/>
      </c>
      <c r="DG68" s="102" t="str">
        <f t="shared" si="1646"/>
        <v/>
      </c>
      <c r="DO68" s="102">
        <v>50</v>
      </c>
      <c r="EI68" s="102" t="str" cm="1">
        <f t="array" ref="EI68">IFERROR(INDEX(EK68:FD68,MATCH(TRUE,INDEX((EK68:FD68&lt;&gt;""),),0)),"")</f>
        <v/>
      </c>
      <c r="EK68" s="102" t="str">
        <f t="shared" ref="EK68:FD68" si="2234">IF(F67="Hybrid - Thrust + 2 connections",IF(COUNTIF($EK67:$FD67,EK67)&gt;1,EK67,""),IF(COUNTIF($EK67:$FD67,EK67)&gt;5,EK67,""))</f>
        <v/>
      </c>
      <c r="EL68" s="102" t="str">
        <f t="shared" si="2234"/>
        <v/>
      </c>
      <c r="EM68" s="102" t="str">
        <f t="shared" si="2234"/>
        <v/>
      </c>
      <c r="EN68" s="102" t="str">
        <f t="shared" si="2234"/>
        <v/>
      </c>
      <c r="EO68" s="102" t="str">
        <f t="shared" si="2234"/>
        <v/>
      </c>
      <c r="EP68" s="102" t="str">
        <f t="shared" si="2234"/>
        <v/>
      </c>
      <c r="EQ68" s="102" t="str">
        <f t="shared" si="2234"/>
        <v/>
      </c>
      <c r="ER68" s="102" t="str">
        <f t="shared" si="2234"/>
        <v/>
      </c>
      <c r="ES68" s="102" t="str">
        <f t="shared" si="2234"/>
        <v/>
      </c>
      <c r="ET68" s="102" t="str">
        <f t="shared" si="2234"/>
        <v/>
      </c>
      <c r="EU68" s="102" t="str">
        <f t="shared" si="2234"/>
        <v/>
      </c>
      <c r="EV68" s="102" t="str">
        <f t="shared" si="2234"/>
        <v/>
      </c>
      <c r="EW68" s="102" t="str">
        <f t="shared" si="2234"/>
        <v/>
      </c>
      <c r="EX68" s="102" t="str">
        <f t="shared" si="2234"/>
        <v/>
      </c>
      <c r="EY68" s="102" t="str">
        <f t="shared" si="2234"/>
        <v/>
      </c>
      <c r="EZ68" s="102" t="str">
        <f t="shared" si="2234"/>
        <v/>
      </c>
      <c r="FA68" s="102" t="str">
        <f t="shared" si="2234"/>
        <v/>
      </c>
      <c r="FB68" s="102" t="str">
        <f t="shared" si="2234"/>
        <v/>
      </c>
      <c r="FC68" s="102" t="str">
        <f t="shared" si="2234"/>
        <v/>
      </c>
      <c r="FD68" s="102" t="str">
        <f t="shared" si="2234"/>
        <v/>
      </c>
      <c r="FE68" s="102"/>
      <c r="FF68" s="102"/>
      <c r="FG68" s="102"/>
      <c r="FH68" s="102"/>
      <c r="FI68" s="102"/>
      <c r="FJ68" s="102"/>
      <c r="FK68" s="102"/>
      <c r="FL68" s="102"/>
      <c r="FM68" s="102"/>
      <c r="FN68" s="102"/>
      <c r="FO68" s="102"/>
      <c r="FP68" s="102"/>
      <c r="FQ68" s="102" t="str" cm="1">
        <f t="array" ref="FQ68">IFERROR(INDEX(FR68:GK68,MATCH(TRUE,INDEX((FR68:GK68&lt;&gt;""),),0)),"")</f>
        <v/>
      </c>
      <c r="FR68" s="102" t="str">
        <f t="shared" ref="FR68:GK68" si="2235">IF(COUNTIF($FR67:$GK67,FR67)&gt;3,FR67,"")</f>
        <v/>
      </c>
      <c r="FS68" s="102" t="str">
        <f t="shared" si="2235"/>
        <v/>
      </c>
      <c r="FT68" s="102" t="str">
        <f t="shared" si="2235"/>
        <v/>
      </c>
      <c r="FU68" s="102" t="str">
        <f t="shared" si="2235"/>
        <v/>
      </c>
      <c r="FV68" s="102" t="str">
        <f t="shared" si="2235"/>
        <v/>
      </c>
      <c r="FW68" s="102" t="str">
        <f t="shared" si="2235"/>
        <v/>
      </c>
      <c r="FX68" s="102" t="str">
        <f t="shared" si="2235"/>
        <v/>
      </c>
      <c r="FY68" s="102" t="str">
        <f t="shared" si="2235"/>
        <v/>
      </c>
      <c r="FZ68" s="102" t="str">
        <f t="shared" si="2235"/>
        <v/>
      </c>
      <c r="GA68" s="102" t="str">
        <f t="shared" si="2235"/>
        <v/>
      </c>
      <c r="GB68" s="102" t="str">
        <f t="shared" si="2235"/>
        <v/>
      </c>
      <c r="GC68" s="102" t="str">
        <f t="shared" si="2235"/>
        <v/>
      </c>
      <c r="GD68" s="102" t="str">
        <f t="shared" si="2235"/>
        <v/>
      </c>
      <c r="GE68" s="102" t="str">
        <f t="shared" si="2235"/>
        <v/>
      </c>
      <c r="GF68" s="102" t="str">
        <f t="shared" si="2235"/>
        <v/>
      </c>
      <c r="GG68" s="102" t="str">
        <f t="shared" si="2235"/>
        <v/>
      </c>
      <c r="GH68" s="102" t="str">
        <f t="shared" si="2235"/>
        <v/>
      </c>
      <c r="GI68" s="102" t="str">
        <f t="shared" si="2235"/>
        <v/>
      </c>
      <c r="GJ68" s="102" t="str">
        <f t="shared" si="2235"/>
        <v/>
      </c>
      <c r="GK68" s="102" t="str">
        <f t="shared" si="2235"/>
        <v/>
      </c>
      <c r="GL68" s="102"/>
      <c r="GM68" s="102"/>
      <c r="GN68" s="102"/>
      <c r="GO68" s="102"/>
      <c r="GP68" s="102"/>
      <c r="GQ68" s="102"/>
      <c r="GR68" s="102"/>
      <c r="GS68" s="102"/>
      <c r="GT68" s="102"/>
      <c r="GU68" s="102"/>
      <c r="GV68" s="102"/>
      <c r="GW68" s="102"/>
      <c r="GX68" s="102"/>
      <c r="GY68" s="102"/>
      <c r="GZ68" s="102"/>
      <c r="HA68" s="102"/>
      <c r="HB68" s="102"/>
      <c r="HC68" s="102"/>
      <c r="HD68" s="102" t="str">
        <f>IF($F67="Hybrid - Thrust + 2 connections",COUNTBLANK(J67:L67),"")</f>
        <v/>
      </c>
      <c r="HE68" s="102"/>
      <c r="HF68" s="105"/>
      <c r="HG68" s="105"/>
      <c r="HH68" s="105"/>
      <c r="HI68" s="105"/>
    </row>
    <row r="69" spans="1:231" s="48" customFormat="1" hidden="1" x14ac:dyDescent="0.25">
      <c r="A69" s="46"/>
      <c r="B69" s="46"/>
      <c r="C69" s="50"/>
      <c r="D69" s="50"/>
      <c r="E69" s="9"/>
      <c r="F69" s="47"/>
      <c r="G69" s="42"/>
      <c r="H69" s="56"/>
      <c r="I69" s="57"/>
      <c r="J69" s="124"/>
      <c r="K69" s="129"/>
      <c r="L69" s="124"/>
      <c r="M69" s="124"/>
      <c r="N69" s="128"/>
      <c r="O69" s="124"/>
      <c r="P69" s="124"/>
      <c r="Q69" s="124"/>
      <c r="R69" s="124"/>
      <c r="S69" s="124"/>
      <c r="T69" s="124"/>
      <c r="U69" s="124"/>
      <c r="V69" s="124"/>
      <c r="W69" s="124"/>
      <c r="X69" s="124"/>
      <c r="Y69" s="124"/>
      <c r="Z69" s="124"/>
      <c r="AA69" s="124"/>
      <c r="AB69" s="124"/>
      <c r="AC69" s="124"/>
      <c r="AD69" s="43"/>
      <c r="AE69" s="12"/>
      <c r="AG69" s="105"/>
      <c r="AH69" s="105"/>
      <c r="AI69" s="117"/>
      <c r="AJ69" s="117"/>
      <c r="AK69" s="117"/>
      <c r="AL69" s="117"/>
      <c r="AM69" s="117"/>
      <c r="AN69" s="117"/>
      <c r="AO69" s="117"/>
      <c r="AP69" s="117"/>
      <c r="AQ69" s="117"/>
      <c r="AR69" s="117"/>
      <c r="AS69" s="117"/>
      <c r="AT69" s="117"/>
      <c r="AU69" s="117"/>
      <c r="AV69" s="117"/>
      <c r="AW69" s="117"/>
      <c r="AX69" s="117"/>
      <c r="AY69" s="117"/>
      <c r="AZ69" s="117"/>
      <c r="BA69" s="117"/>
      <c r="BB69" s="117"/>
      <c r="BC69" s="117"/>
      <c r="BD69" s="117"/>
      <c r="BE69" s="117"/>
      <c r="BF69" s="117"/>
      <c r="BG69" s="117"/>
      <c r="BH69" s="117"/>
      <c r="BI69" s="117"/>
      <c r="BJ69" s="117"/>
      <c r="BK69" s="117"/>
      <c r="BL69" s="117"/>
      <c r="BM69" s="117"/>
      <c r="BN69" s="117"/>
      <c r="BO69" s="117"/>
      <c r="BP69" s="117"/>
      <c r="BQ69" s="117"/>
      <c r="BR69" s="117"/>
      <c r="BS69" s="117"/>
      <c r="BT69" s="117"/>
      <c r="BU69" s="117"/>
      <c r="BV69" s="117"/>
      <c r="BW69" s="117"/>
      <c r="BX69" s="117"/>
      <c r="BY69" s="105"/>
      <c r="BZ69" s="105"/>
      <c r="CA69" s="105"/>
      <c r="CB69" s="105"/>
      <c r="CC69" s="105"/>
      <c r="CD69" s="105"/>
      <c r="CE69" s="105"/>
      <c r="CF69" s="105"/>
      <c r="CG69" s="105"/>
      <c r="CH69" s="105"/>
      <c r="CI69" s="105"/>
      <c r="CJ69" s="105"/>
      <c r="CK69" s="105"/>
      <c r="CL69" s="105"/>
      <c r="CM69" s="105"/>
      <c r="CN69" s="105"/>
      <c r="CO69" s="105"/>
      <c r="CP69" s="102"/>
      <c r="CQ69" s="102"/>
      <c r="CR69" s="102"/>
      <c r="CS69" s="102"/>
      <c r="CT69" s="102"/>
      <c r="CU69" s="102"/>
      <c r="CV69" s="102"/>
      <c r="CW69" s="102"/>
      <c r="CX69" s="102"/>
      <c r="CY69" s="102"/>
      <c r="CZ69" s="102"/>
      <c r="DA69" s="102"/>
      <c r="DB69" s="102"/>
      <c r="DC69" s="102"/>
      <c r="DD69" s="102"/>
      <c r="DE69" s="102"/>
      <c r="DF69" s="102"/>
      <c r="DG69" s="102"/>
      <c r="DH69" s="102"/>
      <c r="DI69" s="102"/>
      <c r="DJ69" s="102"/>
      <c r="DK69" s="102"/>
      <c r="DL69" s="102"/>
      <c r="DM69" s="102"/>
      <c r="DN69" s="102"/>
      <c r="DO69" s="102"/>
      <c r="DP69" s="102"/>
      <c r="DQ69" s="102"/>
      <c r="DR69" s="102"/>
      <c r="DS69" s="102"/>
      <c r="DT69" s="102"/>
      <c r="DU69" s="102"/>
      <c r="DV69" s="102"/>
      <c r="DW69" s="102"/>
      <c r="DX69" s="102"/>
      <c r="DY69" s="102"/>
      <c r="DZ69" s="102"/>
      <c r="EA69" s="102"/>
      <c r="EB69" s="102"/>
      <c r="EC69" s="102"/>
      <c r="ED69" s="102"/>
      <c r="EE69" s="102"/>
      <c r="EF69" s="102"/>
      <c r="EG69" s="102"/>
      <c r="EH69" s="102"/>
      <c r="EI69" s="102"/>
      <c r="EJ69" s="102"/>
      <c r="EK69" s="102"/>
      <c r="EL69" s="102"/>
      <c r="EM69" s="102"/>
      <c r="EN69" s="102"/>
      <c r="EO69" s="102"/>
      <c r="EP69" s="102"/>
      <c r="EQ69" s="102"/>
      <c r="ER69" s="102"/>
      <c r="ES69" s="102"/>
      <c r="ET69" s="102"/>
      <c r="EU69" s="117"/>
      <c r="EV69" s="117"/>
      <c r="EW69" s="117"/>
      <c r="EX69" s="117"/>
      <c r="EY69" s="117"/>
      <c r="EZ69" s="117"/>
      <c r="FA69" s="117"/>
      <c r="FB69" s="117"/>
      <c r="FC69" s="117"/>
      <c r="FD69" s="117"/>
      <c r="FE69" s="117"/>
      <c r="FF69" s="117"/>
      <c r="FG69" s="117"/>
      <c r="FH69" s="117"/>
      <c r="FI69" s="117"/>
      <c r="FJ69" s="117"/>
      <c r="FK69" s="117"/>
      <c r="FL69" s="117"/>
      <c r="FM69" s="117"/>
      <c r="FN69" s="117"/>
      <c r="FO69" s="117"/>
      <c r="FP69" s="117"/>
      <c r="FQ69" s="117"/>
      <c r="FR69" s="117"/>
      <c r="FS69" s="117"/>
      <c r="FT69" s="117"/>
      <c r="FU69" s="117"/>
      <c r="FV69" s="117"/>
      <c r="FW69" s="117"/>
      <c r="FX69" s="117"/>
      <c r="FY69" s="117"/>
      <c r="FZ69" s="117"/>
      <c r="GA69" s="117"/>
      <c r="GB69" s="117"/>
      <c r="GC69" s="117"/>
      <c r="GD69" s="117"/>
      <c r="GE69" s="117"/>
      <c r="GF69" s="117"/>
      <c r="GG69" s="117"/>
      <c r="GH69" s="117"/>
      <c r="GI69" s="117"/>
      <c r="GJ69" s="117"/>
      <c r="GK69" s="117"/>
      <c r="GL69" s="117"/>
      <c r="GM69" s="117"/>
      <c r="GN69" s="117"/>
      <c r="GO69" s="117"/>
      <c r="GP69" s="117"/>
      <c r="GQ69" s="117"/>
      <c r="GR69" s="117"/>
      <c r="GS69" s="117"/>
      <c r="GT69" s="117"/>
      <c r="GU69" s="117"/>
      <c r="GV69" s="117"/>
      <c r="GW69" s="117"/>
      <c r="GX69" s="117"/>
      <c r="HJ69" s="117"/>
      <c r="HK69" s="117"/>
      <c r="HL69" s="117"/>
      <c r="HM69" s="117"/>
      <c r="HN69" s="117"/>
      <c r="HO69" s="117"/>
      <c r="HP69" s="117"/>
      <c r="HQ69" s="117"/>
      <c r="HR69" s="117"/>
      <c r="HS69" s="117"/>
      <c r="HT69" s="117"/>
      <c r="HU69" s="117"/>
      <c r="HV69" s="117"/>
      <c r="HW69" s="117"/>
    </row>
    <row r="70" spans="1:231" x14ac:dyDescent="0.25">
      <c r="A70" s="40"/>
      <c r="B70" s="40"/>
      <c r="C70" s="40"/>
      <c r="D70" s="40"/>
      <c r="E70" s="41"/>
      <c r="F70" s="16"/>
      <c r="AG70" s="105"/>
      <c r="AH70" s="105"/>
      <c r="AI70" s="105"/>
      <c r="AJ70" s="105"/>
      <c r="AK70" s="105"/>
      <c r="AW70" s="117"/>
      <c r="AX70" s="117"/>
      <c r="AY70" s="117"/>
      <c r="AZ70" s="117"/>
      <c r="BA70" s="117"/>
      <c r="BB70" s="117"/>
      <c r="BC70" s="117"/>
      <c r="BD70" s="117"/>
      <c r="BE70" s="117"/>
      <c r="BF70" s="117"/>
      <c r="BG70" s="117"/>
      <c r="BH70" s="117"/>
      <c r="BI70" s="117"/>
      <c r="BJ70" s="117"/>
      <c r="BK70" s="117"/>
      <c r="BL70" s="117"/>
      <c r="BM70" s="117"/>
      <c r="BN70" s="117"/>
      <c r="BO70" s="117"/>
      <c r="BP70" s="117"/>
      <c r="BQ70" s="117"/>
      <c r="BR70" s="117"/>
      <c r="BS70" s="117"/>
      <c r="BT70" s="117"/>
      <c r="BU70" s="117"/>
      <c r="BV70" s="117"/>
      <c r="BW70" s="117"/>
      <c r="BX70" s="117"/>
      <c r="BY70" s="117"/>
      <c r="BZ70" s="117"/>
      <c r="CA70" s="117"/>
      <c r="CB70" s="117"/>
      <c r="CC70" s="117"/>
      <c r="CD70" s="117"/>
      <c r="CE70" s="117"/>
      <c r="CF70" s="117"/>
      <c r="CG70" s="117"/>
      <c r="CH70" s="117"/>
      <c r="CI70" s="117"/>
      <c r="CJ70" s="117"/>
      <c r="CK70" s="117"/>
      <c r="CL70" s="117"/>
      <c r="CM70" s="117"/>
      <c r="CN70" s="117"/>
      <c r="CO70" s="117"/>
      <c r="CP70" s="172"/>
      <c r="CQ70" s="172"/>
      <c r="CR70" s="172"/>
      <c r="CS70" s="172"/>
      <c r="CT70" s="172"/>
      <c r="CU70" s="172"/>
      <c r="CV70" s="172"/>
      <c r="CW70" s="172"/>
      <c r="CX70" s="172"/>
      <c r="CY70" s="172"/>
      <c r="CZ70" s="172"/>
      <c r="DA70" s="172"/>
      <c r="DB70" s="172"/>
      <c r="DC70" s="172"/>
      <c r="DD70" s="172"/>
      <c r="DE70" s="172"/>
      <c r="DF70" s="172"/>
      <c r="DG70" s="172"/>
      <c r="DH70" s="172"/>
      <c r="DI70" s="172"/>
      <c r="DJ70" s="172"/>
      <c r="DK70" s="172"/>
      <c r="DL70" s="172"/>
      <c r="DM70" s="172"/>
      <c r="DN70" s="172"/>
      <c r="DO70" s="172"/>
      <c r="DP70" s="172"/>
      <c r="DQ70" s="172"/>
      <c r="DR70" s="172"/>
      <c r="DS70" s="172"/>
      <c r="DT70" s="172"/>
      <c r="DU70" s="172"/>
      <c r="DV70" s="172"/>
      <c r="DW70" s="172"/>
      <c r="DX70" s="172"/>
      <c r="DY70" s="172"/>
      <c r="DZ70" s="172"/>
      <c r="EA70" s="172"/>
      <c r="EB70" s="172"/>
      <c r="EC70" s="172"/>
      <c r="ED70" s="172"/>
      <c r="EE70" s="172"/>
      <c r="EF70" s="172"/>
      <c r="EG70" s="172"/>
      <c r="EH70" s="172"/>
      <c r="EI70" s="172"/>
      <c r="EJ70" s="172"/>
      <c r="EK70" s="172"/>
      <c r="EL70" s="172"/>
      <c r="EM70" s="172"/>
      <c r="EN70" s="172"/>
      <c r="EO70" s="172"/>
      <c r="EP70" s="172"/>
      <c r="EQ70" s="172"/>
      <c r="ER70" s="172"/>
      <c r="ES70" s="172"/>
      <c r="ET70" s="172"/>
      <c r="EU70" s="117"/>
      <c r="EV70" s="117"/>
      <c r="EW70" s="117"/>
      <c r="EX70" s="117"/>
      <c r="EY70" s="117"/>
      <c r="EZ70" s="117"/>
      <c r="FA70" s="117"/>
      <c r="FB70" s="117"/>
      <c r="FC70" s="117"/>
      <c r="FD70" s="117"/>
      <c r="FE70" s="117"/>
      <c r="FF70" s="117"/>
      <c r="FG70" s="117"/>
      <c r="FH70" s="117"/>
      <c r="FI70" s="117"/>
      <c r="FJ70" s="117"/>
      <c r="FK70" s="117"/>
      <c r="FL70" s="117"/>
      <c r="FM70" s="117"/>
      <c r="FN70" s="117"/>
      <c r="FO70" s="117"/>
      <c r="FP70" s="117"/>
      <c r="FQ70" s="117"/>
      <c r="FR70" s="117"/>
      <c r="FS70" s="117"/>
      <c r="FT70" s="117"/>
      <c r="FU70" s="117"/>
      <c r="FV70" s="117"/>
      <c r="FW70" s="117"/>
      <c r="FX70" s="117"/>
      <c r="FY70" s="117"/>
      <c r="FZ70" s="117"/>
      <c r="GA70" s="117"/>
      <c r="GB70" s="117"/>
      <c r="GC70" s="117"/>
      <c r="GD70" s="117"/>
      <c r="GE70" s="117"/>
      <c r="GF70" s="117"/>
      <c r="GG70" s="117"/>
      <c r="GH70" s="117"/>
      <c r="GI70" s="117"/>
      <c r="GJ70" s="117"/>
      <c r="GK70" s="117"/>
      <c r="GL70" s="117"/>
      <c r="GM70" s="117"/>
      <c r="GN70" s="117"/>
      <c r="GO70" s="117"/>
      <c r="GP70" s="117"/>
      <c r="GQ70" s="117"/>
      <c r="GR70" s="117"/>
      <c r="GS70" s="117"/>
      <c r="GT70" s="117"/>
      <c r="GU70" s="117"/>
      <c r="GV70" s="117"/>
      <c r="GW70" s="117"/>
      <c r="GX70" s="117"/>
      <c r="GY70" s="48"/>
      <c r="GZ70" s="48"/>
      <c r="HA70" s="48"/>
      <c r="HB70" s="48"/>
      <c r="HC70" s="48"/>
      <c r="HD70" s="48"/>
      <c r="HE70" s="48"/>
      <c r="HF70" s="48"/>
      <c r="HG70" s="48"/>
    </row>
    <row r="71" spans="1:231" x14ac:dyDescent="0.25">
      <c r="A71" s="40"/>
      <c r="B71" s="40"/>
      <c r="C71" s="40"/>
      <c r="D71" s="40"/>
      <c r="E71" s="40"/>
      <c r="F71" s="16"/>
      <c r="AG71" s="105"/>
      <c r="AH71" s="105"/>
      <c r="AI71" s="105"/>
      <c r="AJ71" s="105"/>
      <c r="AK71" s="105"/>
      <c r="CN71" s="105"/>
      <c r="CO71" s="105"/>
      <c r="EO71" s="102"/>
      <c r="EP71" s="102"/>
      <c r="EQ71" s="102"/>
      <c r="ER71" s="102"/>
      <c r="ES71" s="102"/>
      <c r="ET71" s="102"/>
    </row>
    <row r="72" spans="1:231" x14ac:dyDescent="0.25">
      <c r="A72" s="40"/>
      <c r="B72" s="40"/>
      <c r="C72" s="40"/>
      <c r="D72" s="40"/>
      <c r="E72" s="41"/>
      <c r="F72" s="16"/>
      <c r="FR72" s="102">
        <v>1</v>
      </c>
      <c r="FS72" s="102">
        <v>2</v>
      </c>
      <c r="FT72" s="102">
        <v>3</v>
      </c>
      <c r="FU72" s="102">
        <v>4</v>
      </c>
      <c r="FV72" s="102">
        <v>5</v>
      </c>
      <c r="FW72" s="102">
        <v>6</v>
      </c>
      <c r="FX72" s="102">
        <v>7</v>
      </c>
      <c r="FY72" s="102">
        <v>8</v>
      </c>
      <c r="FZ72" s="102">
        <v>9</v>
      </c>
      <c r="GA72" s="102">
        <v>10</v>
      </c>
      <c r="GB72" s="102">
        <v>11</v>
      </c>
      <c r="GC72" s="102">
        <v>12</v>
      </c>
      <c r="GD72" s="102">
        <v>13</v>
      </c>
      <c r="GE72" s="102">
        <v>14</v>
      </c>
      <c r="GF72" s="102">
        <v>15</v>
      </c>
      <c r="GG72" s="102">
        <v>16</v>
      </c>
      <c r="GH72" s="102">
        <v>17</v>
      </c>
      <c r="GI72" s="102">
        <v>18</v>
      </c>
      <c r="GJ72" s="102">
        <v>19</v>
      </c>
      <c r="GK72" s="102">
        <v>20</v>
      </c>
      <c r="GL72" s="102">
        <v>21</v>
      </c>
      <c r="GM72" s="102">
        <v>22</v>
      </c>
      <c r="GN72" s="102">
        <v>23</v>
      </c>
      <c r="GO72" s="102">
        <v>24</v>
      </c>
      <c r="GP72" s="102">
        <v>25</v>
      </c>
      <c r="GQ72" s="102">
        <v>26</v>
      </c>
      <c r="GR72" s="102">
        <v>27</v>
      </c>
      <c r="GS72" s="102">
        <v>28</v>
      </c>
      <c r="GT72" s="102">
        <v>29</v>
      </c>
      <c r="GU72" s="102">
        <v>30</v>
      </c>
    </row>
    <row r="73" spans="1:231" x14ac:dyDescent="0.25">
      <c r="A73" s="40"/>
      <c r="B73" s="40"/>
      <c r="C73" s="40"/>
      <c r="D73" s="40"/>
      <c r="E73" s="40"/>
      <c r="G73" s="12" t="s">
        <v>584</v>
      </c>
      <c r="H73" s="16">
        <v>1</v>
      </c>
      <c r="K73" s="12" t="s">
        <v>588</v>
      </c>
      <c r="L73" s="16">
        <v>2</v>
      </c>
      <c r="O73" s="12" t="s">
        <v>589</v>
      </c>
      <c r="P73" s="16">
        <v>3</v>
      </c>
      <c r="S73" s="12" t="s">
        <v>590</v>
      </c>
      <c r="T73" s="16">
        <v>4</v>
      </c>
      <c r="W73" s="12" t="s">
        <v>591</v>
      </c>
      <c r="X73" s="16">
        <v>5</v>
      </c>
      <c r="AA73" s="12" t="s">
        <v>592</v>
      </c>
      <c r="AB73" s="16">
        <v>6</v>
      </c>
      <c r="AE73" s="12" t="s">
        <v>593</v>
      </c>
      <c r="AF73" s="16">
        <v>7</v>
      </c>
      <c r="AI73" s="12" t="s">
        <v>594</v>
      </c>
      <c r="AJ73" s="119">
        <v>8</v>
      </c>
      <c r="AK73" s="120"/>
      <c r="AL73" s="120"/>
      <c r="AM73" s="120" t="s">
        <v>595</v>
      </c>
      <c r="AN73" s="119">
        <v>9</v>
      </c>
      <c r="AO73" s="120"/>
      <c r="AP73" s="120"/>
      <c r="AQ73" s="120"/>
      <c r="AR73" s="120"/>
      <c r="AS73" s="120"/>
      <c r="AT73" s="120"/>
      <c r="AU73" s="120"/>
      <c r="AV73" s="120"/>
      <c r="AY73" s="120"/>
      <c r="AZ73" s="120"/>
      <c r="BA73" s="120"/>
      <c r="BB73" s="120"/>
      <c r="BC73" s="120"/>
      <c r="BD73" s="120"/>
      <c r="BE73" s="120"/>
      <c r="BF73" s="120"/>
      <c r="BG73" s="120"/>
      <c r="BH73" s="120"/>
      <c r="BI73" s="120"/>
      <c r="BJ73" s="120"/>
      <c r="BK73" s="120"/>
      <c r="BL73" s="120"/>
      <c r="BM73" s="120"/>
      <c r="BN73" s="120"/>
      <c r="BP73" s="102"/>
      <c r="BS73" s="102"/>
      <c r="CB73" s="102"/>
      <c r="CC73" s="102"/>
      <c r="CD73" s="102"/>
      <c r="CE73" s="102"/>
      <c r="CF73" s="102"/>
      <c r="CG73" s="102"/>
      <c r="CH73" s="102"/>
      <c r="CI73" s="102"/>
      <c r="CJ73" s="102"/>
      <c r="CK73" s="102"/>
      <c r="CL73" s="102"/>
      <c r="CM73" s="102"/>
      <c r="EI73" s="102" t="str">
        <f>IF(SUM(EK73:FN73)&gt;5,"X","")</f>
        <v/>
      </c>
      <c r="EK73" s="102" t="str">
        <f t="shared" ref="EK73:FN73" si="2236">IF(EK20&lt;&gt;"",IF(OR(RIGHT(J19,4)="*0,5",RIGHT(J19,4)="*0,3"),0.5,1),"")</f>
        <v/>
      </c>
      <c r="EL73" s="102" t="str">
        <f t="shared" si="2236"/>
        <v/>
      </c>
      <c r="EM73" s="102" t="str">
        <f t="shared" si="2236"/>
        <v/>
      </c>
      <c r="EN73" s="102" t="str">
        <f t="shared" si="2236"/>
        <v/>
      </c>
      <c r="EO73" s="102" t="str">
        <f t="shared" si="2236"/>
        <v/>
      </c>
      <c r="EP73" s="102" t="str">
        <f t="shared" si="2236"/>
        <v/>
      </c>
      <c r="EQ73" s="102" t="str">
        <f t="shared" si="2236"/>
        <v/>
      </c>
      <c r="ER73" s="102" t="str">
        <f t="shared" si="2236"/>
        <v/>
      </c>
      <c r="ES73" s="102" t="str">
        <f t="shared" si="2236"/>
        <v/>
      </c>
      <c r="ET73" s="102" t="str">
        <f t="shared" si="2236"/>
        <v/>
      </c>
      <c r="EU73" s="102" t="str">
        <f t="shared" si="2236"/>
        <v/>
      </c>
      <c r="EV73" s="102" t="str">
        <f t="shared" si="2236"/>
        <v/>
      </c>
      <c r="EW73" s="102" t="str">
        <f t="shared" si="2236"/>
        <v/>
      </c>
      <c r="EX73" s="102" t="str">
        <f t="shared" si="2236"/>
        <v/>
      </c>
      <c r="EY73" s="102" t="str">
        <f t="shared" si="2236"/>
        <v/>
      </c>
      <c r="EZ73" s="102" t="str">
        <f t="shared" si="2236"/>
        <v/>
      </c>
      <c r="FA73" s="102" t="str">
        <f t="shared" si="2236"/>
        <v/>
      </c>
      <c r="FB73" s="102" t="str">
        <f t="shared" si="2236"/>
        <v/>
      </c>
      <c r="FC73" s="102" t="str">
        <f t="shared" si="2236"/>
        <v/>
      </c>
      <c r="FD73" s="102" t="str">
        <f t="shared" si="2236"/>
        <v/>
      </c>
      <c r="FE73" s="102" t="str">
        <f t="shared" si="2236"/>
        <v/>
      </c>
      <c r="FF73" s="102" t="str">
        <f t="shared" si="2236"/>
        <v/>
      </c>
      <c r="FG73" s="102" t="str">
        <f t="shared" si="2236"/>
        <v/>
      </c>
      <c r="FH73" s="102" t="str">
        <f t="shared" si="2236"/>
        <v/>
      </c>
      <c r="FI73" s="102" t="str">
        <f t="shared" si="2236"/>
        <v/>
      </c>
      <c r="FJ73" s="102" t="str">
        <f t="shared" si="2236"/>
        <v/>
      </c>
      <c r="FK73" s="102" t="str">
        <f t="shared" si="2236"/>
        <v/>
      </c>
      <c r="FL73" s="102" t="str">
        <f t="shared" si="2236"/>
        <v/>
      </c>
      <c r="FM73" s="102" t="str">
        <f t="shared" si="2236"/>
        <v/>
      </c>
      <c r="FN73" s="102" t="str">
        <f t="shared" si="2236"/>
        <v/>
      </c>
      <c r="FO73" s="105">
        <v>0</v>
      </c>
      <c r="FP73" s="102"/>
      <c r="FQ73" s="102"/>
      <c r="FR73" s="102">
        <f t="shared" ref="FR73:GU73" ca="1" si="2237">IFERROR(IF(AND(OFFSET($E$20,$FO73,0)="H",OFFSET(J$19,$FO73,0)&lt;&gt;""),UPPER(OFFSET(J$19,$FO73,0)),FR$18),FR$18)</f>
        <v>1</v>
      </c>
      <c r="FS73" s="102">
        <f t="shared" ca="1" si="2237"/>
        <v>2</v>
      </c>
      <c r="FT73" s="102">
        <f t="shared" ca="1" si="2237"/>
        <v>3</v>
      </c>
      <c r="FU73" s="102">
        <f t="shared" ca="1" si="2237"/>
        <v>4</v>
      </c>
      <c r="FV73" s="102">
        <f t="shared" ca="1" si="2237"/>
        <v>5</v>
      </c>
      <c r="FW73" s="102">
        <f t="shared" ca="1" si="2237"/>
        <v>6</v>
      </c>
      <c r="FX73" s="102">
        <f t="shared" ca="1" si="2237"/>
        <v>7</v>
      </c>
      <c r="FY73" s="102">
        <f t="shared" ca="1" si="2237"/>
        <v>8</v>
      </c>
      <c r="FZ73" s="102">
        <f t="shared" ca="1" si="2237"/>
        <v>9</v>
      </c>
      <c r="GA73" s="102">
        <f t="shared" ca="1" si="2237"/>
        <v>10</v>
      </c>
      <c r="GB73" s="102">
        <f t="shared" ca="1" si="2237"/>
        <v>11</v>
      </c>
      <c r="GC73" s="102">
        <f t="shared" ca="1" si="2237"/>
        <v>12</v>
      </c>
      <c r="GD73" s="102">
        <f t="shared" ca="1" si="2237"/>
        <v>13</v>
      </c>
      <c r="GE73" s="102">
        <f t="shared" ca="1" si="2237"/>
        <v>14</v>
      </c>
      <c r="GF73" s="102">
        <f t="shared" ca="1" si="2237"/>
        <v>15</v>
      </c>
      <c r="GG73" s="102">
        <f t="shared" ca="1" si="2237"/>
        <v>16</v>
      </c>
      <c r="GH73" s="102">
        <f t="shared" ca="1" si="2237"/>
        <v>17</v>
      </c>
      <c r="GI73" s="102">
        <f t="shared" ca="1" si="2237"/>
        <v>18</v>
      </c>
      <c r="GJ73" s="102">
        <f t="shared" ca="1" si="2237"/>
        <v>19</v>
      </c>
      <c r="GK73" s="102">
        <f t="shared" ca="1" si="2237"/>
        <v>20</v>
      </c>
      <c r="GL73" s="102">
        <f t="shared" ca="1" si="2237"/>
        <v>21</v>
      </c>
      <c r="GM73" s="102">
        <f t="shared" ca="1" si="2237"/>
        <v>22</v>
      </c>
      <c r="GN73" s="102">
        <f t="shared" ca="1" si="2237"/>
        <v>23</v>
      </c>
      <c r="GO73" s="102">
        <f t="shared" ca="1" si="2237"/>
        <v>24</v>
      </c>
      <c r="GP73" s="102">
        <f t="shared" ca="1" si="2237"/>
        <v>25</v>
      </c>
      <c r="GQ73" s="102">
        <f t="shared" ca="1" si="2237"/>
        <v>26</v>
      </c>
      <c r="GR73" s="102">
        <f t="shared" ca="1" si="2237"/>
        <v>27</v>
      </c>
      <c r="GS73" s="102">
        <f t="shared" ca="1" si="2237"/>
        <v>28</v>
      </c>
      <c r="GT73" s="102">
        <f t="shared" ca="1" si="2237"/>
        <v>29</v>
      </c>
      <c r="GU73" s="102">
        <f t="shared" ca="1" si="2237"/>
        <v>30</v>
      </c>
    </row>
    <row r="74" spans="1:231" x14ac:dyDescent="0.25">
      <c r="A74" s="40"/>
      <c r="B74" s="40"/>
      <c r="C74" s="40"/>
      <c r="D74" s="40"/>
      <c r="E74" s="41"/>
      <c r="G74" s="12" t="s">
        <v>585</v>
      </c>
      <c r="H74" s="16" t="s">
        <v>20</v>
      </c>
      <c r="I74" s="12" t="s">
        <v>586</v>
      </c>
      <c r="J74" s="12" t="s">
        <v>587</v>
      </c>
      <c r="K74" s="12" t="s">
        <v>585</v>
      </c>
      <c r="L74" s="16" t="s">
        <v>20</v>
      </c>
      <c r="M74" s="12" t="s">
        <v>586</v>
      </c>
      <c r="N74" s="12" t="s">
        <v>587</v>
      </c>
      <c r="O74" s="12" t="s">
        <v>585</v>
      </c>
      <c r="P74" s="16" t="s">
        <v>20</v>
      </c>
      <c r="Q74" s="12" t="s">
        <v>586</v>
      </c>
      <c r="R74" s="12" t="s">
        <v>587</v>
      </c>
      <c r="S74" s="12" t="s">
        <v>585</v>
      </c>
      <c r="T74" s="16" t="s">
        <v>20</v>
      </c>
      <c r="U74" s="12" t="s">
        <v>586</v>
      </c>
      <c r="V74" s="12" t="s">
        <v>587</v>
      </c>
      <c r="W74" s="12" t="s">
        <v>585</v>
      </c>
      <c r="X74" s="16" t="s">
        <v>20</v>
      </c>
      <c r="Y74" s="12" t="s">
        <v>586</v>
      </c>
      <c r="Z74" s="12" t="s">
        <v>587</v>
      </c>
      <c r="AA74" s="12" t="s">
        <v>585</v>
      </c>
      <c r="AB74" s="16" t="s">
        <v>20</v>
      </c>
      <c r="AC74" s="12" t="s">
        <v>586</v>
      </c>
      <c r="AD74" s="12" t="s">
        <v>587</v>
      </c>
      <c r="AE74" s="12" t="s">
        <v>585</v>
      </c>
      <c r="AF74" s="16" t="s">
        <v>20</v>
      </c>
      <c r="AG74" s="12" t="s">
        <v>586</v>
      </c>
      <c r="AH74" s="12" t="s">
        <v>587</v>
      </c>
      <c r="AI74" s="12" t="s">
        <v>585</v>
      </c>
      <c r="AJ74" s="16" t="s">
        <v>20</v>
      </c>
      <c r="AK74" s="12" t="s">
        <v>586</v>
      </c>
      <c r="AL74" s="12" t="s">
        <v>587</v>
      </c>
      <c r="AM74" s="12" t="s">
        <v>585</v>
      </c>
      <c r="AN74" s="16" t="s">
        <v>20</v>
      </c>
      <c r="AO74" s="12" t="s">
        <v>586</v>
      </c>
      <c r="AP74" s="12" t="s">
        <v>587</v>
      </c>
      <c r="AQ74" s="12"/>
      <c r="AR74" s="12"/>
      <c r="AS74" s="12"/>
      <c r="AT74" s="12"/>
      <c r="AU74" s="12"/>
      <c r="AV74" s="12"/>
      <c r="AY74" s="12"/>
      <c r="AZ74" s="12"/>
      <c r="BA74" s="12"/>
      <c r="BB74" s="12"/>
      <c r="BC74" s="12"/>
      <c r="BD74" s="12"/>
      <c r="BE74" s="12"/>
      <c r="BF74" s="12"/>
      <c r="BG74" s="12"/>
      <c r="BH74" s="12"/>
      <c r="BI74" s="12"/>
      <c r="BJ74" s="12"/>
      <c r="BK74" s="12"/>
      <c r="BL74" s="12"/>
      <c r="BM74" s="12"/>
      <c r="BN74" s="12"/>
      <c r="BP74" s="102"/>
      <c r="BS74" s="102"/>
      <c r="CB74" s="102"/>
      <c r="CC74" s="102"/>
      <c r="CD74" s="102"/>
      <c r="CE74" s="102"/>
      <c r="CF74" s="102"/>
      <c r="CG74" s="102"/>
      <c r="CH74" s="102"/>
      <c r="CI74" s="102"/>
      <c r="CJ74" s="102"/>
      <c r="CK74" s="102"/>
      <c r="CL74" s="102"/>
      <c r="CM74" s="102"/>
      <c r="EM74" s="105"/>
      <c r="EN74" s="105"/>
      <c r="FR74" s="102">
        <f t="shared" ref="FR74:GU74" ca="1" si="2238">IFERROR(IF(AND(OFFSET($E$20,$FO73,0)="H",OFFSET(J$19,$FO73,0)&lt;&gt;"",OFFSET($F19,$FO73,0)&lt;&gt;"Hybrid - Thrust + 2 connections"),INDEX(Hyb_Tech,MATCH(OFFSET(J$19,$FO73,0),Hyb_Code,0)),FR$72),FR$72)</f>
        <v>1</v>
      </c>
      <c r="FS74" s="102">
        <f t="shared" ca="1" si="2238"/>
        <v>2</v>
      </c>
      <c r="FT74" s="102">
        <f t="shared" ca="1" si="2238"/>
        <v>3</v>
      </c>
      <c r="FU74" s="102">
        <f t="shared" ca="1" si="2238"/>
        <v>4</v>
      </c>
      <c r="FV74" s="102">
        <f t="shared" ca="1" si="2238"/>
        <v>5</v>
      </c>
      <c r="FW74" s="102">
        <f t="shared" ca="1" si="2238"/>
        <v>6</v>
      </c>
      <c r="FX74" s="102">
        <f t="shared" ca="1" si="2238"/>
        <v>7</v>
      </c>
      <c r="FY74" s="102">
        <f t="shared" ca="1" si="2238"/>
        <v>8</v>
      </c>
      <c r="FZ74" s="102">
        <f t="shared" ca="1" si="2238"/>
        <v>9</v>
      </c>
      <c r="GA74" s="102">
        <f t="shared" ca="1" si="2238"/>
        <v>10</v>
      </c>
      <c r="GB74" s="102">
        <f t="shared" ca="1" si="2238"/>
        <v>11</v>
      </c>
      <c r="GC74" s="102">
        <f t="shared" ca="1" si="2238"/>
        <v>12</v>
      </c>
      <c r="GD74" s="102">
        <f t="shared" ca="1" si="2238"/>
        <v>13</v>
      </c>
      <c r="GE74" s="102">
        <f t="shared" ca="1" si="2238"/>
        <v>14</v>
      </c>
      <c r="GF74" s="102">
        <f t="shared" ca="1" si="2238"/>
        <v>15</v>
      </c>
      <c r="GG74" s="102">
        <f t="shared" ca="1" si="2238"/>
        <v>16</v>
      </c>
      <c r="GH74" s="102">
        <f t="shared" ca="1" si="2238"/>
        <v>17</v>
      </c>
      <c r="GI74" s="102">
        <f t="shared" ca="1" si="2238"/>
        <v>18</v>
      </c>
      <c r="GJ74" s="102">
        <f t="shared" ca="1" si="2238"/>
        <v>19</v>
      </c>
      <c r="GK74" s="102">
        <f t="shared" ca="1" si="2238"/>
        <v>20</v>
      </c>
      <c r="GL74" s="102">
        <f t="shared" ca="1" si="2238"/>
        <v>21</v>
      </c>
      <c r="GM74" s="102">
        <f t="shared" ca="1" si="2238"/>
        <v>22</v>
      </c>
      <c r="GN74" s="102">
        <f t="shared" ca="1" si="2238"/>
        <v>23</v>
      </c>
      <c r="GO74" s="102">
        <f t="shared" ca="1" si="2238"/>
        <v>24</v>
      </c>
      <c r="GP74" s="102">
        <f t="shared" ca="1" si="2238"/>
        <v>25</v>
      </c>
      <c r="GQ74" s="102">
        <f t="shared" ca="1" si="2238"/>
        <v>26</v>
      </c>
      <c r="GR74" s="102">
        <f t="shared" ca="1" si="2238"/>
        <v>27</v>
      </c>
      <c r="GS74" s="102">
        <f t="shared" ca="1" si="2238"/>
        <v>28</v>
      </c>
      <c r="GT74" s="102">
        <f t="shared" ca="1" si="2238"/>
        <v>29</v>
      </c>
      <c r="GU74" s="102">
        <f t="shared" ca="1" si="2238"/>
        <v>30</v>
      </c>
    </row>
    <row r="75" spans="1:231" x14ac:dyDescent="0.25">
      <c r="A75" s="40"/>
      <c r="B75" s="40"/>
      <c r="C75" s="40"/>
      <c r="D75" s="40"/>
      <c r="E75" s="40"/>
      <c r="G75" s="12"/>
      <c r="AL75" s="12"/>
      <c r="AM75" s="12"/>
      <c r="AN75" s="12"/>
      <c r="AO75" s="12"/>
      <c r="AP75" s="12"/>
      <c r="AQ75" s="78"/>
      <c r="AR75" s="78"/>
      <c r="AS75" s="78"/>
      <c r="AT75" s="78"/>
      <c r="AU75" s="78"/>
      <c r="AV75" s="78"/>
      <c r="AW75" s="275"/>
      <c r="AX75" s="275"/>
      <c r="AY75" s="78"/>
      <c r="AZ75" s="78"/>
      <c r="BA75" s="78"/>
      <c r="BB75" s="78"/>
      <c r="BC75" s="78"/>
      <c r="BD75" s="78"/>
      <c r="BE75" s="78"/>
      <c r="BF75" s="78"/>
      <c r="BG75" s="78"/>
      <c r="BH75" s="78"/>
      <c r="BI75" s="78"/>
      <c r="BJ75" s="78"/>
      <c r="BK75" s="78"/>
      <c r="BL75" s="78"/>
      <c r="BM75" s="78"/>
      <c r="BN75" s="78"/>
      <c r="CB75" s="102"/>
      <c r="CC75" s="102"/>
      <c r="CD75" s="102"/>
      <c r="CE75" s="102"/>
      <c r="CF75" s="102"/>
      <c r="CG75" s="102"/>
      <c r="CH75" s="102"/>
      <c r="CI75" s="102"/>
      <c r="CJ75" s="102"/>
      <c r="CK75" s="102"/>
      <c r="CL75" s="102"/>
      <c r="CM75" s="102"/>
      <c r="EI75" s="102" t="str">
        <f t="shared" ref="EI75" si="2239">IF(SUM(EK75:FN75)&gt;5,"X","")</f>
        <v/>
      </c>
      <c r="EK75" s="102" t="str">
        <f t="shared" ref="EK75" si="2240">IF(EK22&lt;&gt;"",IF(OR(RIGHT(J21,4)="*0,5",RIGHT(J21,4)="*0,3"),0.5,1),"")</f>
        <v/>
      </c>
      <c r="EL75" s="102" t="str">
        <f t="shared" ref="EL75" si="2241">IF(EL22&lt;&gt;"",IF(OR(RIGHT(K21,4)="*0,5",RIGHT(K21,4)="*0,3"),0.5,1),"")</f>
        <v/>
      </c>
      <c r="EM75" s="102" t="str">
        <f t="shared" ref="EM75" si="2242">IF(EM22&lt;&gt;"",IF(OR(RIGHT(L21,4)="*0,5",RIGHT(L21,4)="*0,3"),0.5,1),"")</f>
        <v/>
      </c>
      <c r="EN75" s="102" t="str">
        <f t="shared" ref="EN75" si="2243">IF(EN22&lt;&gt;"",IF(OR(RIGHT(M21,4)="*0,5",RIGHT(M21,4)="*0,3"),0.5,1),"")</f>
        <v/>
      </c>
      <c r="EO75" s="102" t="str">
        <f t="shared" ref="EO75" si="2244">IF(EO22&lt;&gt;"",IF(OR(RIGHT(N21,4)="*0,5",RIGHT(N21,4)="*0,3"),0.5,1),"")</f>
        <v/>
      </c>
      <c r="EP75" s="102" t="str">
        <f t="shared" ref="EP75" si="2245">IF(EP22&lt;&gt;"",IF(OR(RIGHT(O21,4)="*0,5",RIGHT(O21,4)="*0,3"),0.5,1),"")</f>
        <v/>
      </c>
      <c r="EQ75" s="102" t="str">
        <f t="shared" ref="EQ75" si="2246">IF(EQ22&lt;&gt;"",IF(OR(RIGHT(P21,4)="*0,5",RIGHT(P21,4)="*0,3"),0.5,1),"")</f>
        <v/>
      </c>
      <c r="ER75" s="102" t="str">
        <f t="shared" ref="ER75" si="2247">IF(ER22&lt;&gt;"",IF(OR(RIGHT(Q21,4)="*0,5",RIGHT(Q21,4)="*0,3"),0.5,1),"")</f>
        <v/>
      </c>
      <c r="ES75" s="102" t="str">
        <f t="shared" ref="ES75" si="2248">IF(ES22&lt;&gt;"",IF(OR(RIGHT(R21,4)="*0,5",RIGHT(R21,4)="*0,3"),0.5,1),"")</f>
        <v/>
      </c>
      <c r="ET75" s="102" t="str">
        <f t="shared" ref="ET75" si="2249">IF(ET22&lt;&gt;"",IF(OR(RIGHT(S21,4)="*0,5",RIGHT(S21,4)="*0,3"),0.5,1),"")</f>
        <v/>
      </c>
      <c r="EU75" s="102" t="str">
        <f t="shared" ref="EU75" si="2250">IF(EU22&lt;&gt;"",IF(OR(RIGHT(T21,4)="*0,5",RIGHT(T21,4)="*0,3"),0.5,1),"")</f>
        <v/>
      </c>
      <c r="EV75" s="102" t="str">
        <f t="shared" ref="EV75" si="2251">IF(EV22&lt;&gt;"",IF(OR(RIGHT(U21,4)="*0,5",RIGHT(U21,4)="*0,3"),0.5,1),"")</f>
        <v/>
      </c>
      <c r="EW75" s="102" t="str">
        <f t="shared" ref="EW75" si="2252">IF(EW22&lt;&gt;"",IF(OR(RIGHT(V21,4)="*0,5",RIGHT(V21,4)="*0,3"),0.5,1),"")</f>
        <v/>
      </c>
      <c r="EX75" s="102" t="str">
        <f t="shared" ref="EX75" si="2253">IF(EX22&lt;&gt;"",IF(OR(RIGHT(W21,4)="*0,5",RIGHT(W21,4)="*0,3"),0.5,1),"")</f>
        <v/>
      </c>
      <c r="EY75" s="102" t="str">
        <f t="shared" ref="EY75" si="2254">IF(EY22&lt;&gt;"",IF(OR(RIGHT(X21,4)="*0,5",RIGHT(X21,4)="*0,3"),0.5,1),"")</f>
        <v/>
      </c>
      <c r="EZ75" s="102" t="str">
        <f t="shared" ref="EZ75" si="2255">IF(EZ22&lt;&gt;"",IF(OR(RIGHT(Y21,4)="*0,5",RIGHT(Y21,4)="*0,3"),0.5,1),"")</f>
        <v/>
      </c>
      <c r="FA75" s="102" t="str">
        <f t="shared" ref="FA75" si="2256">IF(FA22&lt;&gt;"",IF(OR(RIGHT(Z21,4)="*0,5",RIGHT(Z21,4)="*0,3"),0.5,1),"")</f>
        <v/>
      </c>
      <c r="FB75" s="102" t="str">
        <f t="shared" ref="FB75" si="2257">IF(FB22&lt;&gt;"",IF(OR(RIGHT(AA21,4)="*0,5",RIGHT(AA21,4)="*0,3"),0.5,1),"")</f>
        <v/>
      </c>
      <c r="FC75" s="102" t="str">
        <f t="shared" ref="FC75" si="2258">IF(FC22&lt;&gt;"",IF(OR(RIGHT(AB21,4)="*0,5",RIGHT(AB21,4)="*0,3"),0.5,1),"")</f>
        <v/>
      </c>
      <c r="FD75" s="102" t="str">
        <f t="shared" ref="FD75" si="2259">IF(FD22&lt;&gt;"",IF(OR(RIGHT(AC21,4)="*0,5",RIGHT(AC21,4)="*0,3"),0.5,1),"")</f>
        <v/>
      </c>
      <c r="FE75" s="102" t="str">
        <f t="shared" ref="FE75" si="2260">IF(FE22&lt;&gt;"",IF(OR(RIGHT(AD21,4)="*0,5",RIGHT(AD21,4)="*0,3"),0.5,1),"")</f>
        <v/>
      </c>
      <c r="FF75" s="102" t="str">
        <f t="shared" ref="FF75" si="2261">IF(FF22&lt;&gt;"",IF(OR(RIGHT(AE21,4)="*0,5",RIGHT(AE21,4)="*0,3"),0.5,1),"")</f>
        <v/>
      </c>
      <c r="FG75" s="102" t="str">
        <f t="shared" ref="FG75" si="2262">IF(FG22&lt;&gt;"",IF(OR(RIGHT(AF21,4)="*0,5",RIGHT(AF21,4)="*0,3"),0.5,1),"")</f>
        <v/>
      </c>
      <c r="FH75" s="102" t="str">
        <f t="shared" ref="FH75" si="2263">IF(FH22&lt;&gt;"",IF(OR(RIGHT(AG21,4)="*0,5",RIGHT(AG21,4)="*0,3"),0.5,1),"")</f>
        <v/>
      </c>
      <c r="FI75" s="102" t="str">
        <f t="shared" ref="FI75" si="2264">IF(FI22&lt;&gt;"",IF(OR(RIGHT(AH21,4)="*0,5",RIGHT(AH21,4)="*0,3"),0.5,1),"")</f>
        <v/>
      </c>
      <c r="FJ75" s="102" t="str">
        <f t="shared" ref="FJ75" si="2265">IF(FJ22&lt;&gt;"",IF(OR(RIGHT(AI21,4)="*0,5",RIGHT(AI21,4)="*0,3"),0.5,1),"")</f>
        <v/>
      </c>
      <c r="FK75" s="102" t="str">
        <f t="shared" ref="FK75" si="2266">IF(FK22&lt;&gt;"",IF(OR(RIGHT(AJ21,4)="*0,5",RIGHT(AJ21,4)="*0,3"),0.5,1),"")</f>
        <v/>
      </c>
      <c r="FL75" s="102" t="str">
        <f t="shared" ref="FL75" si="2267">IF(FL22&lt;&gt;"",IF(OR(RIGHT(AK21,4)="*0,5",RIGHT(AK21,4)="*0,3"),0.5,1),"")</f>
        <v/>
      </c>
      <c r="FM75" s="102" t="str">
        <f t="shared" ref="FM75" si="2268">IF(FM22&lt;&gt;"",IF(OR(RIGHT(AL21,4)="*0,5",RIGHT(AL21,4)="*0,3"),0.5,1),"")</f>
        <v/>
      </c>
      <c r="FN75" s="102" t="str">
        <f t="shared" ref="FN75" si="2269">IF(FN22&lt;&gt;"",IF(OR(RIGHT(AM21,4)="*0,5",RIGHT(AM21,4)="*0,3"),0.5,1),"")</f>
        <v/>
      </c>
      <c r="FP75" s="105" t="str">
        <f ca="1">IFERROR(IF(SUM(FR75:GU75)&gt;2,OFFSET($FR$73,$FO73*5/2,MATCH(1,FR75:GU75,0)-1),""),"")</f>
        <v/>
      </c>
      <c r="FQ75" s="102" t="str">
        <f ca="1">IFERROR(IF(LEFT(FP75,1)="C",IF(RIGHT(FP75,1)="+",LEFT(FP75,LEN(FP75)-1),CONCATENATE(FP75,"+")),IF(SUM($FR75:$GU75)&gt;$FP$18,OFFSET($FR$73,$FO73*5/2,MATCH(0.5,FR75:GU75,0)),"")),"")</f>
        <v/>
      </c>
      <c r="FR75" s="102" t="str">
        <f t="shared" ref="FR75:GU75" ca="1" si="2270">IF(AND($BV$6="D",LEFT(FR73,1)="C"),IF(COUNTIF($FR74:$GU74,FR74)&gt;$FP$18-1,INDEX(Hyb_Tech_Value,MATCH(FR73,Hyb_Code,0)),""),IF(COUNTIF($FR74:$GU74,FR74)&gt;$FP$18,INDEX(Hyb_Tech_Value,MATCH(FR73,Hyb_Code,0)),""))</f>
        <v/>
      </c>
      <c r="FS75" s="102" t="str">
        <f t="shared" ca="1" si="2270"/>
        <v/>
      </c>
      <c r="FT75" s="102" t="str">
        <f t="shared" ca="1" si="2270"/>
        <v/>
      </c>
      <c r="FU75" s="102" t="str">
        <f t="shared" ca="1" si="2270"/>
        <v/>
      </c>
      <c r="FV75" s="102" t="str">
        <f t="shared" ca="1" si="2270"/>
        <v/>
      </c>
      <c r="FW75" s="102" t="str">
        <f t="shared" ca="1" si="2270"/>
        <v/>
      </c>
      <c r="FX75" s="102" t="str">
        <f t="shared" ca="1" si="2270"/>
        <v/>
      </c>
      <c r="FY75" s="102" t="str">
        <f t="shared" ca="1" si="2270"/>
        <v/>
      </c>
      <c r="FZ75" s="102" t="str">
        <f t="shared" ca="1" si="2270"/>
        <v/>
      </c>
      <c r="GA75" s="102" t="str">
        <f t="shared" ca="1" si="2270"/>
        <v/>
      </c>
      <c r="GB75" s="102" t="str">
        <f t="shared" ca="1" si="2270"/>
        <v/>
      </c>
      <c r="GC75" s="102" t="str">
        <f t="shared" ca="1" si="2270"/>
        <v/>
      </c>
      <c r="GD75" s="102" t="str">
        <f t="shared" ca="1" si="2270"/>
        <v/>
      </c>
      <c r="GE75" s="102" t="str">
        <f t="shared" ca="1" si="2270"/>
        <v/>
      </c>
      <c r="GF75" s="102" t="str">
        <f t="shared" ca="1" si="2270"/>
        <v/>
      </c>
      <c r="GG75" s="102" t="str">
        <f t="shared" ca="1" si="2270"/>
        <v/>
      </c>
      <c r="GH75" s="102" t="str">
        <f t="shared" ca="1" si="2270"/>
        <v/>
      </c>
      <c r="GI75" s="102" t="str">
        <f t="shared" ca="1" si="2270"/>
        <v/>
      </c>
      <c r="GJ75" s="102" t="str">
        <f t="shared" ca="1" si="2270"/>
        <v/>
      </c>
      <c r="GK75" s="102" t="str">
        <f t="shared" ca="1" si="2270"/>
        <v/>
      </c>
      <c r="GL75" s="102" t="str">
        <f t="shared" ca="1" si="2270"/>
        <v/>
      </c>
      <c r="GM75" s="102" t="str">
        <f t="shared" ca="1" si="2270"/>
        <v/>
      </c>
      <c r="GN75" s="102" t="str">
        <f t="shared" ca="1" si="2270"/>
        <v/>
      </c>
      <c r="GO75" s="102" t="str">
        <f t="shared" ca="1" si="2270"/>
        <v/>
      </c>
      <c r="GP75" s="102" t="str">
        <f t="shared" ca="1" si="2270"/>
        <v/>
      </c>
      <c r="GQ75" s="102" t="str">
        <f t="shared" ca="1" si="2270"/>
        <v/>
      </c>
      <c r="GR75" s="102" t="str">
        <f t="shared" ca="1" si="2270"/>
        <v/>
      </c>
      <c r="GS75" s="102" t="str">
        <f t="shared" ca="1" si="2270"/>
        <v/>
      </c>
      <c r="GT75" s="102" t="str">
        <f t="shared" ca="1" si="2270"/>
        <v/>
      </c>
      <c r="GU75" s="102" t="str">
        <f t="shared" ca="1" si="2270"/>
        <v/>
      </c>
    </row>
    <row r="76" spans="1:231" x14ac:dyDescent="0.25">
      <c r="A76" s="40"/>
      <c r="B76" s="40"/>
      <c r="C76" s="40"/>
      <c r="D76" s="40"/>
      <c r="E76" s="24" t="str">
        <f>IF(G76&lt;&gt;"","Copy green area &gt;&gt;&gt;","")</f>
        <v/>
      </c>
      <c r="F76" s="73" t="s">
        <v>582</v>
      </c>
      <c r="G76" s="77" t="str">
        <f>IFERROR(IF($BV$8="T",IF(OR(INDEX($E$20:$E$68,MATCH(H73,$G$19:$G$67,0))="H",INDEX($E$20:$E$68,MATCH(H73,$G$19:$G$67,0))="T"),INDEX($E$20:$E$68,MATCH(H73,$G$19:$G$67,0)),IF(INDEX($E$20:$E$68,MATCH(H73,$G$19:$G$67,0))=3,"T",IF(OR(INDEX($E$20:$E$68,MATCH(H73,$G$19:$G$67,0))="A",INDEX($E$20:$E$68,MATCH(H73,$G$19:$G$67,0))="B",INDEX($E$20:$E$68,MATCH(H73,$G$19:$G$67,0))="C",INDEX($E$20:$E$68,MATCH(H73,$G$19:$G$67,0))="P"),CONCATENATE("A",RIGHT(INDEX($H$20:$H$68,MATCH(H73,$G$19:$G$67,0)),1)),IF(INDEX($E$20:$E$68,MATCH(H73,$G$19:$G$67,0))="PA",IF(MID(INDEX($H$20:$H$68,MATCH(H73,$G$19:$G$67,0)),8,1)="W","AT",CONCATENATE("A",MID(INDEX($H$20:$H$68,MATCH(H73,$G$19:$G$67,0)),8,1))),"")))),""),"")</f>
        <v/>
      </c>
      <c r="H76" s="77" t="str">
        <f>IFERROR(IF($BV$8="T",IF(G76="T",INDEX($J$19:$J$67,MATCH(H73,$G$19:$G$67,0)),""),""),"")</f>
        <v/>
      </c>
      <c r="I76" s="78" t="str">
        <f>IFERROR(IF($BV$8="T",IF(OR(G76="H",LEFT(G76,1)="A"),IF($BV$6="D",IF(G76="H",0.5,0.1),0.5),""),""),"")</f>
        <v/>
      </c>
      <c r="J76" s="210" t="str">
        <f>IFERROR(IF($BV$8="T",INDEX($AO$20:$AO$68,MATCH(H73,$G$19:$G$67,0)),""),"")</f>
        <v/>
      </c>
      <c r="K76" s="77" t="str">
        <f>IFERROR(IF($BV$8="T",IF(OR(INDEX($E$20:$E$68,MATCH(L73,$G$19:$G$67,0))="H",INDEX($E$20:$E$68,MATCH(L73,$G$19:$G$67,0))="T"),INDEX($E$20:$E$68,MATCH(L73,$G$19:$G$67,0)),IF(INDEX($E$20:$E$68,MATCH(L73,$G$19:$G$67,0))=3,"T",IF(OR(INDEX($E$20:$E$68,MATCH(L73,$G$19:$G$67,0))="A",INDEX($E$20:$E$68,MATCH(L73,$G$19:$G$67,0))="B",INDEX($E$20:$E$68,MATCH(L73,$G$19:$G$67,0))="C",INDEX($E$20:$E$68,MATCH(L73,$G$19:$G$67,0))="P"),CONCATENATE("A",RIGHT(INDEX($H$20:$H$68,MATCH(L73,$G$19:$G$67,0)),1)),IF(INDEX($E$20:$E$68,MATCH(L73,$G$19:$G$67,0))="PA",IF(MID(INDEX($H$20:$H$68,MATCH(L73,$G$19:$G$67,0)),8,1)="W","AT",CONCATENATE("A",MID(INDEX($H$20:$H$68,MATCH(L73,$G$19:$G$67,0)),8,1))),"")))),""),"")</f>
        <v/>
      </c>
      <c r="L76" s="77" t="str">
        <f>IFERROR(IF($BV$8="T",IF(K76="T",INDEX($J$19:$J$67,MATCH(L73,$G$19:$G$67,0)),""),""),"")</f>
        <v/>
      </c>
      <c r="M76" s="78" t="str">
        <f>IFERROR(IF($BV$8="T",IF(OR(K76="H",LEFT(K76,1)="A"),IF($BV$6="D",IF(K76="H",0.5,0.1),0.5),""),""),"")</f>
        <v/>
      </c>
      <c r="N76" s="210" t="str">
        <f>IFERROR(IF($BV$8="T",INDEX($AO$20:$AO$68,MATCH(L73,$G$19:$G$67,0)),""),"")</f>
        <v/>
      </c>
      <c r="O76" s="77" t="str">
        <f>IFERROR(IF($BV$8="T",IF(OR(INDEX($E$20:$E$68,MATCH(P73,$G$19:$G$67,0))="H",INDEX($E$20:$E$68,MATCH(P73,$G$19:$G$67,0))="T"),INDEX($E$20:$E$68,MATCH(P73,$G$19:$G$67,0)),IF(INDEX($E$20:$E$68,MATCH(P73,$G$19:$G$67,0))=3,"T",IF(OR(INDEX($E$20:$E$68,MATCH(P73,$G$19:$G$67,0))="A",INDEX($E$20:$E$68,MATCH(P73,$G$19:$G$67,0))="B",INDEX($E$20:$E$68,MATCH(P73,$G$19:$G$67,0))="C",INDEX($E$20:$E$68,MATCH(P73,$G$19:$G$67,0))="P"),CONCATENATE("A",RIGHT(INDEX($H$20:$H$68,MATCH(P73,$G$19:$G$67,0)),1)),IF(INDEX($E$20:$E$68,MATCH(P73,$G$19:$G$67,0))="PA",IF(MID(INDEX($H$20:$H$68,MATCH(P73,$G$19:$G$67,0)),8,1)="W","AT",CONCATENATE("A",MID(INDEX($H$20:$H$68,MATCH(P73,$G$19:$G$67,0)),8,1))),"")))),""),"")</f>
        <v/>
      </c>
      <c r="P76" s="77" t="str">
        <f>IFERROR(IF($BV$8="T",IF(O76="T",INDEX($J$19:$J$67,MATCH(P73,$G$19:$G$67,0)),""),""),"")</f>
        <v/>
      </c>
      <c r="Q76" s="78" t="str">
        <f>IFERROR(IF($BV$8="T",IF(OR(O76="H",LEFT(O76,1)="A"),IF($BV$6="D",IF(O76="H",0.5,0.1),0.5),""),""),"")</f>
        <v/>
      </c>
      <c r="R76" s="210" t="str">
        <f>IFERROR(IF($BV$8="T",INDEX($AO$20:$AO$68,MATCH(P73,$G$19:$G$67,0)),""),"")</f>
        <v/>
      </c>
      <c r="S76" s="77" t="str">
        <f>IFERROR(IF($BV$8="T",IF(OR(INDEX($E$20:$E$68,MATCH(T73,$G$19:$G$67,0))="H",INDEX($E$20:$E$68,MATCH(T73,$G$19:$G$67,0))="T"),INDEX($E$20:$E$68,MATCH(T73,$G$19:$G$67,0)),IF(INDEX($E$20:$E$68,MATCH(T73,$G$19:$G$67,0))=3,"T",IF(OR(INDEX($E$20:$E$68,MATCH(T73,$G$19:$G$67,0))="A",INDEX($E$20:$E$68,MATCH(T73,$G$19:$G$67,0))="B",INDEX($E$20:$E$68,MATCH(T73,$G$19:$G$67,0))="C",INDEX($E$20:$E$68,MATCH(T73,$G$19:$G$67,0))="P"),CONCATENATE("A",RIGHT(INDEX($H$20:$H$68,MATCH(T73,$G$19:$G$67,0)),1)),IF(INDEX($E$20:$E$68,MATCH(T73,$G$19:$G$67,0))="PA",IF(MID(INDEX($H$20:$H$68,MATCH(T73,$G$19:$G$67,0)),8,1)="W","AT",CONCATENATE("A",MID(INDEX($H$20:$H$68,MATCH(T73,$G$19:$G$67,0)),8,1))),"")))),""),"")</f>
        <v/>
      </c>
      <c r="T76" s="77" t="str">
        <f>IFERROR(IF($BV$8="T",IF(S76="T",INDEX($J$19:$J$67,MATCH(T73,$G$19:$G$67,0)),""),""),"")</f>
        <v/>
      </c>
      <c r="U76" s="78" t="str">
        <f>IFERROR(IF($BV$8="T",IF(OR(S76="H",LEFT(S76,1)="A"),IF($BV$6="D",IF(S76="H",0.5,0.1),0.5),""),""),"")</f>
        <v/>
      </c>
      <c r="V76" s="210" t="str">
        <f>IFERROR(IF($BV$8="T",INDEX($AO$20:$AO$68,MATCH(T73,$G$19:$G$67,0)),""),"")</f>
        <v/>
      </c>
      <c r="W76" s="77" t="str">
        <f>IFERROR(IF($BV$8="T",IF(OR(INDEX($E$20:$E$68,MATCH(X73,$G$19:$G$67,0))="H",INDEX($E$20:$E$68,MATCH(X73,$G$19:$G$67,0))="T"),INDEX($E$20:$E$68,MATCH(X73,$G$19:$G$67,0)),IF(INDEX($E$20:$E$68,MATCH(X73,$G$19:$G$67,0))=3,"T",IF(OR(INDEX($E$20:$E$68,MATCH(X73,$G$19:$G$67,0))="A",INDEX($E$20:$E$68,MATCH(X73,$G$19:$G$67,0))="B",INDEX($E$20:$E$68,MATCH(X73,$G$19:$G$67,0))="C",INDEX($E$20:$E$68,MATCH(X73,$G$19:$G$67,0))="P"),CONCATENATE("A",RIGHT(INDEX($H$20:$H$68,MATCH(X73,$G$19:$G$67,0)),1)),IF(INDEX($E$20:$E$68,MATCH(X73,$G$19:$G$67,0))="PA",IF(MID(INDEX($H$20:$H$68,MATCH(X73,$G$19:$G$67,0)),8,1)="W","AT",CONCATENATE("A",MID(INDEX($H$20:$H$68,MATCH(X73,$G$19:$G$67,0)),8,1))),"")))),""),"")</f>
        <v/>
      </c>
      <c r="X76" s="77" t="str">
        <f>IFERROR(IF($BV$8="T",IF(W76="T",INDEX($J$19:$J$67,MATCH(X73,$G$19:$G$67,0)),""),""),"")</f>
        <v/>
      </c>
      <c r="Y76" s="78" t="str">
        <f>IFERROR(IF($BV$8="T",IF(OR(W76="H",LEFT(W76,1)="A"),IF($BV$6="D",IF(W76="H",0.5,0.1),0.5),""),""),"")</f>
        <v/>
      </c>
      <c r="Z76" s="210" t="str">
        <f>IFERROR(IF($BV$8="T",INDEX($AO$20:$AO$68,MATCH(X73,$G$19:$G$67,0)),""),"")</f>
        <v/>
      </c>
      <c r="AA76" s="77" t="str">
        <f>IFERROR(IF($BV$8="T",IF(OR(INDEX($E$20:$E$68,MATCH(AB73,$G$19:$G$67,0))="H",INDEX($E$20:$E$68,MATCH(AB73,$G$19:$G$67,0))="T"),INDEX($E$20:$E$68,MATCH(AB73,$G$19:$G$67,0)),IF(INDEX($E$20:$E$68,MATCH(AB73,$G$19:$G$67,0))=3,"T",IF(OR(INDEX($E$20:$E$68,MATCH(AB73,$G$19:$G$67,0))="A",INDEX($E$20:$E$68,MATCH(AB73,$G$19:$G$67,0))="B",INDEX($E$20:$E$68,MATCH(AB73,$G$19:$G$67,0))="C",INDEX($E$20:$E$68,MATCH(AB73,$G$19:$G$67,0))="P"),CONCATENATE("A",RIGHT(INDEX($H$20:$H$68,MATCH(AB73,$G$19:$G$67,0)),1)),IF(INDEX($E$20:$E$68,MATCH(AB73,$G$19:$G$67,0))="PA",IF(MID(INDEX($H$20:$H$68,MATCH(AB73,$G$19:$G$67,0)),8,1)="W","AT",CONCATENATE("A",MID(INDEX($H$20:$H$68,MATCH(AB73,$G$19:$G$67,0)),8,1))),"")))),""),"")</f>
        <v/>
      </c>
      <c r="AB76" s="77" t="str">
        <f>IFERROR(IF($BV$8="T",IF(AA76="T",INDEX($J$19:$J$67,MATCH(AB73,$G$19:$G$67,0)),""),""),"")</f>
        <v/>
      </c>
      <c r="AC76" s="78" t="str">
        <f>IFERROR(IF($BV$8="T",IF(OR(AA76="H",LEFT(AA76,1)="A"),IF($BV$6="D",IF(AA76="H",0.5,0.1),0.5),""),""),"")</f>
        <v/>
      </c>
      <c r="AD76" s="210" t="str">
        <f>IFERROR(IF($BV$8="T",INDEX($AO$20:$AO$68,MATCH(AB73,$G$19:$G$67,0)),""),"")</f>
        <v/>
      </c>
      <c r="AE76" s="77" t="str">
        <f>IFERROR(IF($BV$8="T",IF(OR(INDEX($E$20:$E$68,MATCH(AF73,$G$19:$G$67,0))="H",INDEX($E$20:$E$68,MATCH(AF73,$G$19:$G$67,0))="T"),INDEX($E$20:$E$68,MATCH(AF73,$G$19:$G$67,0)),IF(INDEX($E$20:$E$68,MATCH(AF73,$G$19:$G$67,0))=3,"T",IF(OR(INDEX($E$20:$E$68,MATCH(AF73,$G$19:$G$67,0))="A",INDEX($E$20:$E$68,MATCH(AF73,$G$19:$G$67,0))="B",INDEX($E$20:$E$68,MATCH(AF73,$G$19:$G$67,0))="C",INDEX($E$20:$E$68,MATCH(AF73,$G$19:$G$67,0))="P"),CONCATENATE("A",RIGHT(INDEX($H$20:$H$68,MATCH(AF73,$G$19:$G$67,0)),1)),IF(INDEX($E$20:$E$68,MATCH(AF73,$G$19:$G$67,0))="PA",IF(MID(INDEX($H$20:$H$68,MATCH(AF73,$G$19:$G$67,0)),8,1)="W","AT",CONCATENATE("A",MID(INDEX($H$20:$H$68,MATCH(AF73,$G$19:$G$67,0)),8,1))),"")))),""),"")</f>
        <v/>
      </c>
      <c r="AF76" s="77" t="str">
        <f>IFERROR(IF($BV$8="T",IF(AE76="T",INDEX($J$19:$J$67,MATCH(AF73,$G$19:$G$67,0)),""),""),"")</f>
        <v/>
      </c>
      <c r="AG76" s="78" t="str">
        <f>IFERROR(IF($BV$8="T",IF(OR(AE76="H",LEFT(AE76,1)="A"),IF($BV$6="D",IF(AE76="H",0.5,0.1),0.5),""),""),"")</f>
        <v/>
      </c>
      <c r="AH76" s="210" t="str">
        <f>IFERROR(IF($BV$8="T",INDEX($AO$20:$AO$68,MATCH(AF73,$G$19:$G$67,0)),""),"")</f>
        <v/>
      </c>
      <c r="AI76" s="77" t="str">
        <f>IFERROR(IF($BV$8="T",IF(OR(INDEX($E$20:$E$68,MATCH(AJ73,$G$19:$G$67,0))="H",INDEX($E$20:$E$68,MATCH(AJ73,$G$19:$G$67,0))="T"),INDEX($E$20:$E$68,MATCH(AJ73,$G$19:$G$67,0)),IF(INDEX($E$20:$E$68,MATCH(AJ73,$G$19:$G$67,0))=3,"T",IF(OR(INDEX($E$20:$E$68,MATCH(AJ73,$G$19:$G$67,0))="A",INDEX($E$20:$E$68,MATCH(AJ73,$G$19:$G$67,0))="B",INDEX($E$20:$E$68,MATCH(AJ73,$G$19:$G$67,0))="C",INDEX($E$20:$E$68,MATCH(AJ73,$G$19:$G$67,0))="P"),CONCATENATE("A",RIGHT(INDEX($H$20:$H$68,MATCH(AJ73,$G$19:$G$67,0)),1)),IF(INDEX($E$20:$E$68,MATCH(AJ73,$G$19:$G$67,0))="PA",IF(MID(INDEX($H$20:$H$68,MATCH(AJ73,$G$19:$G$67,0)),8,1)="W","AT",CONCATENATE("A",MID(INDEX($H$20:$H$68,MATCH(AJ73,$G$19:$G$67,0)),8,1))),"")))),""),"")</f>
        <v/>
      </c>
      <c r="AJ76" s="77" t="str">
        <f>IFERROR(IF($BV$8="T",IF(AI76="T",INDEX($J$19:$J$67,MATCH(AJ73,$G$19:$G$67,0)),""),""),"")</f>
        <v/>
      </c>
      <c r="AK76" s="78" t="str">
        <f>IFERROR(IF($BV$8="T",IF(OR(AI76="H",LEFT(AI76,1)="A"),IF($BV$6="D",IF(AI76="H",0.5,0.1),0.5),""),""),"")</f>
        <v/>
      </c>
      <c r="AL76" s="210" t="str">
        <f>IFERROR(IF($BV$8="T",INDEX($AO$20:$AO$68,MATCH(AJ73,$G$19:$G$67,0)),""),"")</f>
        <v/>
      </c>
      <c r="AM76" s="77" t="str">
        <f>IFERROR(IF($BV$8="T",IF(OR(INDEX($E$20:$E$68,MATCH(AN73,$G$19:$G$67,0))="H",INDEX($E$20:$E$68,MATCH(AN73,$G$19:$G$67,0))="T"),INDEX($E$20:$E$68,MATCH(AN73,$G$19:$G$67,0)),IF(INDEX($E$20:$E$68,MATCH(AN73,$G$19:$G$67,0))=3,"T",IF(OR(INDEX($E$20:$E$68,MATCH(AN73,$G$19:$G$67,0))="A",INDEX($E$20:$E$68,MATCH(AN73,$G$19:$G$67,0))="B",INDEX($E$20:$E$68,MATCH(AN73,$G$19:$G$67,0))="C",INDEX($E$20:$E$68,MATCH(AN73,$G$19:$G$67,0))="P"),CONCATENATE("A",RIGHT(INDEX($H$20:$H$68,MATCH(AN73,$G$19:$G$67,0)),1)),IF(INDEX($E$20:$E$68,MATCH(AN73,$G$19:$G$67,0))="PA",IF(MID(INDEX($H$20:$H$68,MATCH(AN73,$G$19:$G$67,0)),8,1)="W","AT",CONCATENATE("A",MID(INDEX($H$20:$H$68,MATCH(AN73,$G$19:$G$67,0)),8,1))),"")))),""),"")</f>
        <v/>
      </c>
      <c r="AN76" s="77" t="str">
        <f>IFERROR(IF($BV$8="T",IF(AM76="T",INDEX($J$19:$J$67,MATCH(AN73,$G$19:$G$67,0)),""),""),"")</f>
        <v/>
      </c>
      <c r="AO76" s="78" t="str">
        <f>IFERROR(IF($BV$8="T",IF(OR(AM76="H",LEFT(AM76,1)="A"),IF($BV$6="D",IF(AM76="H",0.5,0.1),0.5),""),""),"")</f>
        <v/>
      </c>
      <c r="AP76" s="210" t="str">
        <f>IFERROR(IF($BV$8="T",INDEX($AO$20:$AO$68,MATCH(AN73,$G$19:$G$67,0)),""),"")</f>
        <v/>
      </c>
      <c r="BO76" s="102"/>
      <c r="BP76" s="102"/>
      <c r="BR76" s="102"/>
      <c r="BS76" s="102"/>
      <c r="CB76" s="102"/>
      <c r="CC76" s="102"/>
      <c r="CD76" s="102"/>
      <c r="CE76" s="102"/>
      <c r="CF76" s="102"/>
      <c r="CG76" s="102"/>
      <c r="CH76" s="102"/>
      <c r="CI76" s="102"/>
      <c r="CJ76" s="102"/>
      <c r="CK76" s="102"/>
      <c r="CL76" s="102"/>
      <c r="CM76" s="102"/>
      <c r="EM76" s="105"/>
      <c r="EN76" s="105"/>
      <c r="FQ76" s="102"/>
      <c r="FR76" s="102"/>
      <c r="FS76" s="102"/>
      <c r="FT76" s="102"/>
      <c r="FU76" s="102"/>
      <c r="FV76" s="102"/>
      <c r="FW76" s="102"/>
      <c r="FX76" s="102"/>
      <c r="FY76" s="102"/>
      <c r="FZ76" s="102"/>
      <c r="GA76" s="102"/>
      <c r="GB76" s="102"/>
      <c r="GC76" s="102"/>
      <c r="GD76" s="102"/>
      <c r="GE76" s="102"/>
      <c r="GF76" s="102"/>
      <c r="GG76" s="102"/>
      <c r="GH76" s="102"/>
      <c r="GI76" s="102"/>
      <c r="GJ76" s="102"/>
      <c r="GK76" s="102"/>
      <c r="GL76" s="102"/>
      <c r="GM76" s="102"/>
      <c r="GN76" s="102"/>
      <c r="GO76" s="102"/>
      <c r="GP76" s="102"/>
      <c r="GQ76" s="102"/>
      <c r="GR76" s="102"/>
      <c r="GS76" s="102"/>
      <c r="GT76" s="102"/>
      <c r="GU76" s="102"/>
    </row>
    <row r="77" spans="1:231" x14ac:dyDescent="0.25">
      <c r="A77" s="40"/>
      <c r="B77" s="40"/>
      <c r="C77" s="40"/>
      <c r="D77" s="40"/>
      <c r="E77" s="41"/>
      <c r="F77" s="73"/>
      <c r="K77" s="16"/>
      <c r="L77" s="16"/>
      <c r="O77" s="16"/>
      <c r="P77" s="16"/>
      <c r="S77" s="16"/>
      <c r="T77" s="16"/>
      <c r="W77" s="16"/>
      <c r="X77" s="16"/>
      <c r="Y77" s="103" t="s">
        <v>1259</v>
      </c>
      <c r="AA77" s="16"/>
      <c r="AB77" s="16"/>
      <c r="AE77" s="16"/>
      <c r="AF77" s="16"/>
      <c r="AJ77" s="105"/>
      <c r="AK77" s="105"/>
      <c r="CB77" s="102"/>
      <c r="CC77" s="102"/>
      <c r="CD77" s="102"/>
      <c r="CE77" s="102"/>
      <c r="CF77" s="102"/>
      <c r="CG77" s="102"/>
      <c r="CH77" s="102"/>
      <c r="CI77" s="102"/>
      <c r="CJ77" s="102"/>
      <c r="CK77" s="102"/>
      <c r="CL77" s="102"/>
      <c r="CM77" s="102"/>
      <c r="EI77" s="102" t="str">
        <f t="shared" ref="EI77" si="2271">IF(SUM(EK77:FN77)&gt;5,"X","")</f>
        <v/>
      </c>
      <c r="EK77" s="102" t="str">
        <f t="shared" ref="EK77" si="2272">IF(EK24&lt;&gt;"",IF(OR(RIGHT(J23,4)="*0,5",RIGHT(J23,4)="*0,3"),0.5,1),"")</f>
        <v/>
      </c>
      <c r="EL77" s="102" t="str">
        <f t="shared" ref="EL77" si="2273">IF(EL24&lt;&gt;"",IF(OR(RIGHT(K23,4)="*0,5",RIGHT(K23,4)="*0,3"),0.5,1),"")</f>
        <v/>
      </c>
      <c r="EM77" s="102" t="str">
        <f t="shared" ref="EM77" si="2274">IF(EM24&lt;&gt;"",IF(OR(RIGHT(L23,4)="*0,5",RIGHT(L23,4)="*0,3"),0.5,1),"")</f>
        <v/>
      </c>
      <c r="EN77" s="102" t="str">
        <f t="shared" ref="EN77" si="2275">IF(EN24&lt;&gt;"",IF(OR(RIGHT(M23,4)="*0,5",RIGHT(M23,4)="*0,3"),0.5,1),"")</f>
        <v/>
      </c>
      <c r="EO77" s="102" t="str">
        <f t="shared" ref="EO77" si="2276">IF(EO24&lt;&gt;"",IF(OR(RIGHT(N23,4)="*0,5",RIGHT(N23,4)="*0,3"),0.5,1),"")</f>
        <v/>
      </c>
      <c r="EP77" s="102" t="str">
        <f t="shared" ref="EP77" si="2277">IF(EP24&lt;&gt;"",IF(OR(RIGHT(O23,4)="*0,5",RIGHT(O23,4)="*0,3"),0.5,1),"")</f>
        <v/>
      </c>
      <c r="EQ77" s="102" t="str">
        <f t="shared" ref="EQ77" si="2278">IF(EQ24&lt;&gt;"",IF(OR(RIGHT(P23,4)="*0,5",RIGHT(P23,4)="*0,3"),0.5,1),"")</f>
        <v/>
      </c>
      <c r="ER77" s="102" t="str">
        <f t="shared" ref="ER77" si="2279">IF(ER24&lt;&gt;"",IF(OR(RIGHT(Q23,4)="*0,5",RIGHT(Q23,4)="*0,3"),0.5,1),"")</f>
        <v/>
      </c>
      <c r="ES77" s="102" t="str">
        <f t="shared" ref="ES77" si="2280">IF(ES24&lt;&gt;"",IF(OR(RIGHT(R23,4)="*0,5",RIGHT(R23,4)="*0,3"),0.5,1),"")</f>
        <v/>
      </c>
      <c r="ET77" s="102" t="str">
        <f t="shared" ref="ET77" si="2281">IF(ET24&lt;&gt;"",IF(OR(RIGHT(S23,4)="*0,5",RIGHT(S23,4)="*0,3"),0.5,1),"")</f>
        <v/>
      </c>
      <c r="EU77" s="102" t="str">
        <f t="shared" ref="EU77" si="2282">IF(EU24&lt;&gt;"",IF(OR(RIGHT(T23,4)="*0,5",RIGHT(T23,4)="*0,3"),0.5,1),"")</f>
        <v/>
      </c>
      <c r="EV77" s="102" t="str">
        <f t="shared" ref="EV77" si="2283">IF(EV24&lt;&gt;"",IF(OR(RIGHT(U23,4)="*0,5",RIGHT(U23,4)="*0,3"),0.5,1),"")</f>
        <v/>
      </c>
      <c r="EW77" s="102" t="str">
        <f t="shared" ref="EW77" si="2284">IF(EW24&lt;&gt;"",IF(OR(RIGHT(V23,4)="*0,5",RIGHT(V23,4)="*0,3"),0.5,1),"")</f>
        <v/>
      </c>
      <c r="EX77" s="102" t="str">
        <f t="shared" ref="EX77" si="2285">IF(EX24&lt;&gt;"",IF(OR(RIGHT(W23,4)="*0,5",RIGHT(W23,4)="*0,3"),0.5,1),"")</f>
        <v/>
      </c>
      <c r="EY77" s="102" t="str">
        <f t="shared" ref="EY77" si="2286">IF(EY24&lt;&gt;"",IF(OR(RIGHT(X23,4)="*0,5",RIGHT(X23,4)="*0,3"),0.5,1),"")</f>
        <v/>
      </c>
      <c r="EZ77" s="102" t="str">
        <f t="shared" ref="EZ77" si="2287">IF(EZ24&lt;&gt;"",IF(OR(RIGHT(Y23,4)="*0,5",RIGHT(Y23,4)="*0,3"),0.5,1),"")</f>
        <v/>
      </c>
      <c r="FA77" s="102" t="str">
        <f t="shared" ref="FA77" si="2288">IF(FA24&lt;&gt;"",IF(OR(RIGHT(Z23,4)="*0,5",RIGHT(Z23,4)="*0,3"),0.5,1),"")</f>
        <v/>
      </c>
      <c r="FB77" s="102" t="str">
        <f t="shared" ref="FB77" si="2289">IF(FB24&lt;&gt;"",IF(OR(RIGHT(AA23,4)="*0,5",RIGHT(AA23,4)="*0,3"),0.5,1),"")</f>
        <v/>
      </c>
      <c r="FC77" s="102" t="str">
        <f t="shared" ref="FC77" si="2290">IF(FC24&lt;&gt;"",IF(OR(RIGHT(AB23,4)="*0,5",RIGHT(AB23,4)="*0,3"),0.5,1),"")</f>
        <v/>
      </c>
      <c r="FD77" s="102" t="str">
        <f t="shared" ref="FD77" si="2291">IF(FD24&lt;&gt;"",IF(OR(RIGHT(AC23,4)="*0,5",RIGHT(AC23,4)="*0,3"),0.5,1),"")</f>
        <v/>
      </c>
      <c r="FE77" s="102" t="str">
        <f t="shared" ref="FE77" si="2292">IF(FE24&lt;&gt;"",IF(OR(RIGHT(AD23,4)="*0,5",RIGHT(AD23,4)="*0,3"),0.5,1),"")</f>
        <v/>
      </c>
      <c r="FF77" s="102" t="str">
        <f t="shared" ref="FF77" si="2293">IF(FF24&lt;&gt;"",IF(OR(RIGHT(AE23,4)="*0,5",RIGHT(AE23,4)="*0,3"),0.5,1),"")</f>
        <v/>
      </c>
      <c r="FG77" s="102" t="str">
        <f t="shared" ref="FG77" si="2294">IF(FG24&lt;&gt;"",IF(OR(RIGHT(AF23,4)="*0,5",RIGHT(AF23,4)="*0,3"),0.5,1),"")</f>
        <v/>
      </c>
      <c r="FH77" s="102" t="str">
        <f t="shared" ref="FH77" si="2295">IF(FH24&lt;&gt;"",IF(OR(RIGHT(AG23,4)="*0,5",RIGHT(AG23,4)="*0,3"),0.5,1),"")</f>
        <v/>
      </c>
      <c r="FI77" s="102" t="str">
        <f t="shared" ref="FI77" si="2296">IF(FI24&lt;&gt;"",IF(OR(RIGHT(AH23,4)="*0,5",RIGHT(AH23,4)="*0,3"),0.5,1),"")</f>
        <v/>
      </c>
      <c r="FJ77" s="102" t="str">
        <f t="shared" ref="FJ77" si="2297">IF(FJ24&lt;&gt;"",IF(OR(RIGHT(AI23,4)="*0,5",RIGHT(AI23,4)="*0,3"),0.5,1),"")</f>
        <v/>
      </c>
      <c r="FK77" s="102" t="str">
        <f t="shared" ref="FK77" si="2298">IF(FK24&lt;&gt;"",IF(OR(RIGHT(AJ23,4)="*0,5",RIGHT(AJ23,4)="*0,3"),0.5,1),"")</f>
        <v/>
      </c>
      <c r="FL77" s="102" t="str">
        <f t="shared" ref="FL77" si="2299">IF(FL24&lt;&gt;"",IF(OR(RIGHT(AK23,4)="*0,5",RIGHT(AK23,4)="*0,3"),0.5,1),"")</f>
        <v/>
      </c>
      <c r="FM77" s="102" t="str">
        <f t="shared" ref="FM77" si="2300">IF(FM24&lt;&gt;"",IF(OR(RIGHT(AL23,4)="*0,5",RIGHT(AL23,4)="*0,3"),0.5,1),"")</f>
        <v/>
      </c>
      <c r="FN77" s="102" t="str">
        <f t="shared" ref="FN77" si="2301">IF(FN24&lt;&gt;"",IF(OR(RIGHT(AM23,4)="*0,5",RIGHT(AM23,4)="*0,3"),0.5,1),"")</f>
        <v/>
      </c>
      <c r="FQ77" s="102"/>
      <c r="FR77" s="102"/>
      <c r="FS77" s="102"/>
      <c r="FT77" s="102"/>
      <c r="FU77" s="102"/>
      <c r="FV77" s="102"/>
      <c r="FW77" s="102"/>
      <c r="FX77" s="102"/>
      <c r="FY77" s="102"/>
      <c r="FZ77" s="102"/>
      <c r="GA77" s="102"/>
      <c r="GB77" s="102"/>
      <c r="GC77" s="102"/>
      <c r="GD77" s="102"/>
      <c r="GE77" s="102"/>
      <c r="GF77" s="102"/>
      <c r="GG77" s="102"/>
      <c r="GH77" s="102"/>
      <c r="GI77" s="102"/>
      <c r="GJ77" s="102"/>
      <c r="GK77" s="102"/>
      <c r="GL77" s="102"/>
      <c r="GM77" s="102"/>
      <c r="GN77" s="102"/>
      <c r="GO77" s="102"/>
      <c r="GP77" s="102"/>
      <c r="GQ77" s="102"/>
      <c r="GR77" s="102"/>
      <c r="GS77" s="102"/>
      <c r="GT77" s="102"/>
      <c r="GU77" s="102"/>
    </row>
    <row r="78" spans="1:231" x14ac:dyDescent="0.25">
      <c r="F78" s="73"/>
      <c r="G78" s="12" t="s">
        <v>584</v>
      </c>
      <c r="H78" s="16">
        <v>1</v>
      </c>
      <c r="J78" s="12" t="s">
        <v>588</v>
      </c>
      <c r="K78" s="16">
        <v>2</v>
      </c>
      <c r="M78" s="12" t="s">
        <v>589</v>
      </c>
      <c r="N78" s="16">
        <v>3</v>
      </c>
      <c r="P78" s="12" t="s">
        <v>590</v>
      </c>
      <c r="Q78" s="16">
        <v>4</v>
      </c>
      <c r="S78" s="12" t="s">
        <v>591</v>
      </c>
      <c r="T78" s="16">
        <v>5</v>
      </c>
      <c r="V78" s="12" t="s">
        <v>592</v>
      </c>
      <c r="W78" s="16">
        <v>6</v>
      </c>
      <c r="Y78" s="12" t="s">
        <v>593</v>
      </c>
      <c r="Z78" s="16">
        <v>7</v>
      </c>
      <c r="AB78" s="12" t="s">
        <v>594</v>
      </c>
      <c r="AC78" s="16">
        <v>8</v>
      </c>
      <c r="AE78" s="12" t="s">
        <v>595</v>
      </c>
      <c r="AF78" s="16">
        <v>9</v>
      </c>
      <c r="AH78" s="12" t="s">
        <v>596</v>
      </c>
      <c r="AI78" s="16">
        <v>10</v>
      </c>
      <c r="AJ78" s="120"/>
      <c r="AK78" s="120" t="s">
        <v>597</v>
      </c>
      <c r="AL78" s="119">
        <v>11</v>
      </c>
      <c r="AM78" s="120"/>
      <c r="CB78" s="102"/>
      <c r="CC78" s="102"/>
      <c r="CD78" s="102"/>
      <c r="CE78" s="102"/>
      <c r="CF78" s="102"/>
      <c r="CG78" s="102"/>
      <c r="CH78" s="102"/>
      <c r="CI78" s="102"/>
      <c r="CJ78" s="102"/>
      <c r="CK78" s="102"/>
      <c r="CL78" s="102"/>
      <c r="CM78" s="102"/>
      <c r="EM78" s="105"/>
      <c r="EN78" s="105"/>
      <c r="FO78" s="105">
        <v>2</v>
      </c>
      <c r="FP78" s="102"/>
      <c r="FQ78" s="102"/>
      <c r="FR78" s="102">
        <f t="shared" ref="FR78:GU78" ca="1" si="2302">IFERROR(IF(AND(OFFSET($E$20,$FO78,0)="H",OFFSET(J$19,$FO78,0)&lt;&gt;""),UPPER(OFFSET(J$19,$FO78,0)),FR$18),FR$18)</f>
        <v>1</v>
      </c>
      <c r="FS78" s="102">
        <f t="shared" ca="1" si="2302"/>
        <v>2</v>
      </c>
      <c r="FT78" s="102">
        <f t="shared" ca="1" si="2302"/>
        <v>3</v>
      </c>
      <c r="FU78" s="102">
        <f t="shared" ca="1" si="2302"/>
        <v>4</v>
      </c>
      <c r="FV78" s="102">
        <f t="shared" ca="1" si="2302"/>
        <v>5</v>
      </c>
      <c r="FW78" s="102">
        <f t="shared" ca="1" si="2302"/>
        <v>6</v>
      </c>
      <c r="FX78" s="102">
        <f t="shared" ca="1" si="2302"/>
        <v>7</v>
      </c>
      <c r="FY78" s="102">
        <f t="shared" ca="1" si="2302"/>
        <v>8</v>
      </c>
      <c r="FZ78" s="102">
        <f t="shared" ca="1" si="2302"/>
        <v>9</v>
      </c>
      <c r="GA78" s="102">
        <f t="shared" ca="1" si="2302"/>
        <v>10</v>
      </c>
      <c r="GB78" s="102">
        <f t="shared" ca="1" si="2302"/>
        <v>11</v>
      </c>
      <c r="GC78" s="102">
        <f t="shared" ca="1" si="2302"/>
        <v>12</v>
      </c>
      <c r="GD78" s="102">
        <f t="shared" ca="1" si="2302"/>
        <v>13</v>
      </c>
      <c r="GE78" s="102">
        <f t="shared" ca="1" si="2302"/>
        <v>14</v>
      </c>
      <c r="GF78" s="102">
        <f t="shared" ca="1" si="2302"/>
        <v>15</v>
      </c>
      <c r="GG78" s="102">
        <f t="shared" ca="1" si="2302"/>
        <v>16</v>
      </c>
      <c r="GH78" s="102">
        <f t="shared" ca="1" si="2302"/>
        <v>17</v>
      </c>
      <c r="GI78" s="102">
        <f t="shared" ca="1" si="2302"/>
        <v>18</v>
      </c>
      <c r="GJ78" s="102">
        <f t="shared" ca="1" si="2302"/>
        <v>19</v>
      </c>
      <c r="GK78" s="102">
        <f t="shared" ca="1" si="2302"/>
        <v>20</v>
      </c>
      <c r="GL78" s="102">
        <f t="shared" ca="1" si="2302"/>
        <v>21</v>
      </c>
      <c r="GM78" s="102">
        <f t="shared" ca="1" si="2302"/>
        <v>22</v>
      </c>
      <c r="GN78" s="102">
        <f t="shared" ca="1" si="2302"/>
        <v>23</v>
      </c>
      <c r="GO78" s="102">
        <f t="shared" ca="1" si="2302"/>
        <v>24</v>
      </c>
      <c r="GP78" s="102">
        <f t="shared" ca="1" si="2302"/>
        <v>25</v>
      </c>
      <c r="GQ78" s="102">
        <f t="shared" ca="1" si="2302"/>
        <v>26</v>
      </c>
      <c r="GR78" s="102">
        <f t="shared" ca="1" si="2302"/>
        <v>27</v>
      </c>
      <c r="GS78" s="102">
        <f t="shared" ca="1" si="2302"/>
        <v>28</v>
      </c>
      <c r="GT78" s="102">
        <f t="shared" ca="1" si="2302"/>
        <v>29</v>
      </c>
      <c r="GU78" s="102">
        <f t="shared" ca="1" si="2302"/>
        <v>30</v>
      </c>
    </row>
    <row r="79" spans="1:231" x14ac:dyDescent="0.25">
      <c r="G79" s="12" t="s">
        <v>585</v>
      </c>
      <c r="H79" s="12" t="s">
        <v>586</v>
      </c>
      <c r="I79" s="12" t="s">
        <v>587</v>
      </c>
      <c r="J79" s="12" t="s">
        <v>585</v>
      </c>
      <c r="K79" s="12" t="s">
        <v>586</v>
      </c>
      <c r="L79" s="12" t="s">
        <v>587</v>
      </c>
      <c r="M79" s="12" t="s">
        <v>585</v>
      </c>
      <c r="N79" s="12" t="s">
        <v>586</v>
      </c>
      <c r="O79" s="12" t="s">
        <v>587</v>
      </c>
      <c r="P79" s="12" t="s">
        <v>585</v>
      </c>
      <c r="Q79" s="12" t="s">
        <v>586</v>
      </c>
      <c r="R79" s="12" t="s">
        <v>587</v>
      </c>
      <c r="S79" s="12" t="s">
        <v>585</v>
      </c>
      <c r="T79" s="12" t="s">
        <v>586</v>
      </c>
      <c r="U79" s="12" t="s">
        <v>587</v>
      </c>
      <c r="V79" s="12" t="s">
        <v>585</v>
      </c>
      <c r="W79" s="12" t="s">
        <v>586</v>
      </c>
      <c r="X79" s="12" t="s">
        <v>587</v>
      </c>
      <c r="Y79" s="12" t="s">
        <v>585</v>
      </c>
      <c r="Z79" s="12" t="s">
        <v>586</v>
      </c>
      <c r="AA79" s="12" t="s">
        <v>587</v>
      </c>
      <c r="AB79" s="12" t="s">
        <v>585</v>
      </c>
      <c r="AC79" s="12" t="s">
        <v>586</v>
      </c>
      <c r="AD79" s="12" t="s">
        <v>587</v>
      </c>
      <c r="AE79" s="12" t="s">
        <v>585</v>
      </c>
      <c r="AF79" s="12" t="s">
        <v>586</v>
      </c>
      <c r="AG79" s="12" t="s">
        <v>587</v>
      </c>
      <c r="AH79" s="12" t="s">
        <v>585</v>
      </c>
      <c r="AI79" s="12" t="s">
        <v>586</v>
      </c>
      <c r="AJ79" s="120" t="s">
        <v>587</v>
      </c>
      <c r="AK79" s="120" t="s">
        <v>585</v>
      </c>
      <c r="AL79" s="120" t="s">
        <v>586</v>
      </c>
      <c r="AM79" s="120" t="s">
        <v>587</v>
      </c>
      <c r="CB79" s="102"/>
      <c r="CC79" s="102"/>
      <c r="CD79" s="102"/>
      <c r="CE79" s="102"/>
      <c r="CF79" s="102"/>
      <c r="CG79" s="102"/>
      <c r="CH79" s="102"/>
      <c r="CI79" s="102"/>
      <c r="CJ79" s="102"/>
      <c r="CK79" s="102"/>
      <c r="CL79" s="102"/>
      <c r="CM79" s="102"/>
      <c r="EI79" s="102" t="str">
        <f t="shared" ref="EI79" si="2303">IF(SUM(EK79:FN79)&gt;5,"X","")</f>
        <v/>
      </c>
      <c r="EK79" s="102" t="str">
        <f t="shared" ref="EK79" si="2304">IF(EK26&lt;&gt;"",IF(OR(RIGHT(J25,4)="*0,5",RIGHT(J25,4)="*0,3"),0.5,1),"")</f>
        <v/>
      </c>
      <c r="EL79" s="102" t="str">
        <f t="shared" ref="EL79" si="2305">IF(EL26&lt;&gt;"",IF(OR(RIGHT(K25,4)="*0,5",RIGHT(K25,4)="*0,3"),0.5,1),"")</f>
        <v/>
      </c>
      <c r="EM79" s="102" t="str">
        <f t="shared" ref="EM79" si="2306">IF(EM26&lt;&gt;"",IF(OR(RIGHT(L25,4)="*0,5",RIGHT(L25,4)="*0,3"),0.5,1),"")</f>
        <v/>
      </c>
      <c r="EN79" s="102" t="str">
        <f t="shared" ref="EN79" si="2307">IF(EN26&lt;&gt;"",IF(OR(RIGHT(M25,4)="*0,5",RIGHT(M25,4)="*0,3"),0.5,1),"")</f>
        <v/>
      </c>
      <c r="EO79" s="102" t="str">
        <f t="shared" ref="EO79" si="2308">IF(EO26&lt;&gt;"",IF(OR(RIGHT(N25,4)="*0,5",RIGHT(N25,4)="*0,3"),0.5,1),"")</f>
        <v/>
      </c>
      <c r="EP79" s="102" t="str">
        <f t="shared" ref="EP79" si="2309">IF(EP26&lt;&gt;"",IF(OR(RIGHT(O25,4)="*0,5",RIGHT(O25,4)="*0,3"),0.5,1),"")</f>
        <v/>
      </c>
      <c r="EQ79" s="102" t="str">
        <f t="shared" ref="EQ79" si="2310">IF(EQ26&lt;&gt;"",IF(OR(RIGHT(P25,4)="*0,5",RIGHT(P25,4)="*0,3"),0.5,1),"")</f>
        <v/>
      </c>
      <c r="ER79" s="102" t="str">
        <f t="shared" ref="ER79" si="2311">IF(ER26&lt;&gt;"",IF(OR(RIGHT(Q25,4)="*0,5",RIGHT(Q25,4)="*0,3"),0.5,1),"")</f>
        <v/>
      </c>
      <c r="ES79" s="102" t="str">
        <f t="shared" ref="ES79" si="2312">IF(ES26&lt;&gt;"",IF(OR(RIGHT(R25,4)="*0,5",RIGHT(R25,4)="*0,3"),0.5,1),"")</f>
        <v/>
      </c>
      <c r="ET79" s="102" t="str">
        <f t="shared" ref="ET79" si="2313">IF(ET26&lt;&gt;"",IF(OR(RIGHT(S25,4)="*0,5",RIGHT(S25,4)="*0,3"),0.5,1),"")</f>
        <v/>
      </c>
      <c r="EU79" s="102" t="str">
        <f t="shared" ref="EU79" si="2314">IF(EU26&lt;&gt;"",IF(OR(RIGHT(T25,4)="*0,5",RIGHT(T25,4)="*0,3"),0.5,1),"")</f>
        <v/>
      </c>
      <c r="EV79" s="102" t="str">
        <f t="shared" ref="EV79" si="2315">IF(EV26&lt;&gt;"",IF(OR(RIGHT(U25,4)="*0,5",RIGHT(U25,4)="*0,3"),0.5,1),"")</f>
        <v/>
      </c>
      <c r="EW79" s="102" t="str">
        <f t="shared" ref="EW79" si="2316">IF(EW26&lt;&gt;"",IF(OR(RIGHT(V25,4)="*0,5",RIGHT(V25,4)="*0,3"),0.5,1),"")</f>
        <v/>
      </c>
      <c r="EX79" s="102" t="str">
        <f t="shared" ref="EX79" si="2317">IF(EX26&lt;&gt;"",IF(OR(RIGHT(W25,4)="*0,5",RIGHT(W25,4)="*0,3"),0.5,1),"")</f>
        <v/>
      </c>
      <c r="EY79" s="102" t="str">
        <f t="shared" ref="EY79" si="2318">IF(EY26&lt;&gt;"",IF(OR(RIGHT(X25,4)="*0,5",RIGHT(X25,4)="*0,3"),0.5,1),"")</f>
        <v/>
      </c>
      <c r="EZ79" s="102" t="str">
        <f t="shared" ref="EZ79" si="2319">IF(EZ26&lt;&gt;"",IF(OR(RIGHT(Y25,4)="*0,5",RIGHT(Y25,4)="*0,3"),0.5,1),"")</f>
        <v/>
      </c>
      <c r="FA79" s="102" t="str">
        <f t="shared" ref="FA79" si="2320">IF(FA26&lt;&gt;"",IF(OR(RIGHT(Z25,4)="*0,5",RIGHT(Z25,4)="*0,3"),0.5,1),"")</f>
        <v/>
      </c>
      <c r="FB79" s="102" t="str">
        <f t="shared" ref="FB79" si="2321">IF(FB26&lt;&gt;"",IF(OR(RIGHT(AA25,4)="*0,5",RIGHT(AA25,4)="*0,3"),0.5,1),"")</f>
        <v/>
      </c>
      <c r="FC79" s="102" t="str">
        <f t="shared" ref="FC79" si="2322">IF(FC26&lt;&gt;"",IF(OR(RIGHT(AB25,4)="*0,5",RIGHT(AB25,4)="*0,3"),0.5,1),"")</f>
        <v/>
      </c>
      <c r="FD79" s="102" t="str">
        <f t="shared" ref="FD79" si="2323">IF(FD26&lt;&gt;"",IF(OR(RIGHT(AC25,4)="*0,5",RIGHT(AC25,4)="*0,3"),0.5,1),"")</f>
        <v/>
      </c>
      <c r="FE79" s="102" t="str">
        <f t="shared" ref="FE79" si="2324">IF(FE26&lt;&gt;"",IF(OR(RIGHT(AD25,4)="*0,5",RIGHT(AD25,4)="*0,3"),0.5,1),"")</f>
        <v/>
      </c>
      <c r="FF79" s="102" t="str">
        <f t="shared" ref="FF79" si="2325">IF(FF26&lt;&gt;"",IF(OR(RIGHT(AE25,4)="*0,5",RIGHT(AE25,4)="*0,3"),0.5,1),"")</f>
        <v/>
      </c>
      <c r="FG79" s="102" t="str">
        <f t="shared" ref="FG79" si="2326">IF(FG26&lt;&gt;"",IF(OR(RIGHT(AF25,4)="*0,5",RIGHT(AF25,4)="*0,3"),0.5,1),"")</f>
        <v/>
      </c>
      <c r="FH79" s="102" t="str">
        <f t="shared" ref="FH79" si="2327">IF(FH26&lt;&gt;"",IF(OR(RIGHT(AG25,4)="*0,5",RIGHT(AG25,4)="*0,3"),0.5,1),"")</f>
        <v/>
      </c>
      <c r="FI79" s="102" t="str">
        <f t="shared" ref="FI79" si="2328">IF(FI26&lt;&gt;"",IF(OR(RIGHT(AH25,4)="*0,5",RIGHT(AH25,4)="*0,3"),0.5,1),"")</f>
        <v/>
      </c>
      <c r="FJ79" s="102" t="str">
        <f t="shared" ref="FJ79" si="2329">IF(FJ26&lt;&gt;"",IF(OR(RIGHT(AI25,4)="*0,5",RIGHT(AI25,4)="*0,3"),0.5,1),"")</f>
        <v/>
      </c>
      <c r="FK79" s="102" t="str">
        <f t="shared" ref="FK79" si="2330">IF(FK26&lt;&gt;"",IF(OR(RIGHT(AJ25,4)="*0,5",RIGHT(AJ25,4)="*0,3"),0.5,1),"")</f>
        <v/>
      </c>
      <c r="FL79" s="102" t="str">
        <f t="shared" ref="FL79" si="2331">IF(FL26&lt;&gt;"",IF(OR(RIGHT(AK25,4)="*0,5",RIGHT(AK25,4)="*0,3"),0.5,1),"")</f>
        <v/>
      </c>
      <c r="FM79" s="102" t="str">
        <f t="shared" ref="FM79" si="2332">IF(FM26&lt;&gt;"",IF(OR(RIGHT(AL25,4)="*0,5",RIGHT(AL25,4)="*0,3"),0.5,1),"")</f>
        <v/>
      </c>
      <c r="FN79" s="102" t="str">
        <f t="shared" ref="FN79" si="2333">IF(FN26&lt;&gt;"",IF(OR(RIGHT(AM25,4)="*0,5",RIGHT(AM25,4)="*0,3"),0.5,1),"")</f>
        <v/>
      </c>
      <c r="FR79" s="102">
        <f t="shared" ref="FR79:GU79" ca="1" si="2334">IFERROR(IF(AND(OFFSET($E$20,$FO78,0)="H",OFFSET(J$19,$FO78,0)&lt;&gt;"",OFFSET($F24,$FO78,0)&lt;&gt;"Hybrid - Thrust + 2 connections"),INDEX(Hyb_Tech,MATCH(OFFSET(J$19,$FO78,0),Hyb_Code,0)),FR$72),FR$72)</f>
        <v>1</v>
      </c>
      <c r="FS79" s="102">
        <f t="shared" ca="1" si="2334"/>
        <v>2</v>
      </c>
      <c r="FT79" s="102">
        <f t="shared" ca="1" si="2334"/>
        <v>3</v>
      </c>
      <c r="FU79" s="102">
        <f t="shared" ca="1" si="2334"/>
        <v>4</v>
      </c>
      <c r="FV79" s="102">
        <f t="shared" ca="1" si="2334"/>
        <v>5</v>
      </c>
      <c r="FW79" s="102">
        <f t="shared" ca="1" si="2334"/>
        <v>6</v>
      </c>
      <c r="FX79" s="102">
        <f t="shared" ca="1" si="2334"/>
        <v>7</v>
      </c>
      <c r="FY79" s="102">
        <f t="shared" ca="1" si="2334"/>
        <v>8</v>
      </c>
      <c r="FZ79" s="102">
        <f t="shared" ca="1" si="2334"/>
        <v>9</v>
      </c>
      <c r="GA79" s="102">
        <f t="shared" ca="1" si="2334"/>
        <v>10</v>
      </c>
      <c r="GB79" s="102">
        <f t="shared" ca="1" si="2334"/>
        <v>11</v>
      </c>
      <c r="GC79" s="102">
        <f t="shared" ca="1" si="2334"/>
        <v>12</v>
      </c>
      <c r="GD79" s="102">
        <f t="shared" ca="1" si="2334"/>
        <v>13</v>
      </c>
      <c r="GE79" s="102">
        <f t="shared" ca="1" si="2334"/>
        <v>14</v>
      </c>
      <c r="GF79" s="102">
        <f t="shared" ca="1" si="2334"/>
        <v>15</v>
      </c>
      <c r="GG79" s="102">
        <f t="shared" ca="1" si="2334"/>
        <v>16</v>
      </c>
      <c r="GH79" s="102">
        <f t="shared" ca="1" si="2334"/>
        <v>17</v>
      </c>
      <c r="GI79" s="102">
        <f t="shared" ca="1" si="2334"/>
        <v>18</v>
      </c>
      <c r="GJ79" s="102">
        <f t="shared" ca="1" si="2334"/>
        <v>19</v>
      </c>
      <c r="GK79" s="102">
        <f t="shared" ca="1" si="2334"/>
        <v>20</v>
      </c>
      <c r="GL79" s="102">
        <f t="shared" ca="1" si="2334"/>
        <v>21</v>
      </c>
      <c r="GM79" s="102">
        <f t="shared" ca="1" si="2334"/>
        <v>22</v>
      </c>
      <c r="GN79" s="102">
        <f t="shared" ca="1" si="2334"/>
        <v>23</v>
      </c>
      <c r="GO79" s="102">
        <f t="shared" ca="1" si="2334"/>
        <v>24</v>
      </c>
      <c r="GP79" s="102">
        <f t="shared" ca="1" si="2334"/>
        <v>25</v>
      </c>
      <c r="GQ79" s="102">
        <f t="shared" ca="1" si="2334"/>
        <v>26</v>
      </c>
      <c r="GR79" s="102">
        <f t="shared" ca="1" si="2334"/>
        <v>27</v>
      </c>
      <c r="GS79" s="102">
        <f t="shared" ca="1" si="2334"/>
        <v>28</v>
      </c>
      <c r="GT79" s="102">
        <f t="shared" ca="1" si="2334"/>
        <v>29</v>
      </c>
      <c r="GU79" s="102">
        <f t="shared" ca="1" si="2334"/>
        <v>30</v>
      </c>
    </row>
    <row r="80" spans="1:231" x14ac:dyDescent="0.25">
      <c r="G80" s="12"/>
      <c r="K80" s="16"/>
      <c r="N80" s="16"/>
      <c r="Q80" s="16"/>
      <c r="T80" s="16"/>
      <c r="W80" s="16"/>
      <c r="Z80" s="16"/>
      <c r="AC80" s="16"/>
      <c r="AF80" s="16"/>
      <c r="AI80" s="16"/>
      <c r="AJ80" s="105"/>
      <c r="AK80" s="105"/>
      <c r="AL80" s="102"/>
      <c r="CB80" s="102"/>
      <c r="CC80" s="102"/>
      <c r="CD80" s="102"/>
      <c r="CE80" s="102"/>
      <c r="CF80" s="102"/>
      <c r="CG80" s="102"/>
      <c r="CH80" s="102"/>
      <c r="CI80" s="102"/>
      <c r="CJ80" s="102"/>
      <c r="CK80" s="102"/>
      <c r="CL80" s="102"/>
      <c r="CM80" s="102"/>
      <c r="EM80" s="105"/>
      <c r="EN80" s="105"/>
      <c r="FP80" s="105" t="str">
        <f t="shared" ref="FP80" ca="1" si="2335">IFERROR(IF(SUM(FR80:GU80)&gt;2,OFFSET($FR$73,$FO78*5/2,MATCH(1,FR80:GU80,0)-1),""),"")</f>
        <v/>
      </c>
      <c r="FQ80" s="102" t="str">
        <f ca="1">IFERROR(IF(LEFT(FP80,1)="C",IF(RIGHT(FP80,1)="+",LEFT(FP80,LEN(FP80)-1),CONCATENATE(FP80,"+")),IF(SUM($FR80:$GU80)&gt;$FP$18,OFFSET($FR$73,$FO78*5/2,MATCH(0.5,FR80:GU80,0)),"")),"")</f>
        <v/>
      </c>
      <c r="FR80" s="102" t="str">
        <f t="shared" ref="FR80:GU80" ca="1" si="2336">IF(AND($BV$6="D",LEFT(FR78,1)="C"),IF(COUNTIF($FR79:$GU79,FR79)&gt;$FP$18-1,INDEX(Hyb_Tech_Value,MATCH(FR78,Hyb_Code,0)),""),IF(COUNTIF($FR79:$GU79,FR79)&gt;$FP$18,INDEX(Hyb_Tech_Value,MATCH(FR78,Hyb_Code,0)),""))</f>
        <v/>
      </c>
      <c r="FS80" s="102" t="str">
        <f t="shared" ca="1" si="2336"/>
        <v/>
      </c>
      <c r="FT80" s="102" t="str">
        <f t="shared" ca="1" si="2336"/>
        <v/>
      </c>
      <c r="FU80" s="102" t="str">
        <f t="shared" ca="1" si="2336"/>
        <v/>
      </c>
      <c r="FV80" s="102" t="str">
        <f t="shared" ca="1" si="2336"/>
        <v/>
      </c>
      <c r="FW80" s="102" t="str">
        <f t="shared" ca="1" si="2336"/>
        <v/>
      </c>
      <c r="FX80" s="102" t="str">
        <f t="shared" ca="1" si="2336"/>
        <v/>
      </c>
      <c r="FY80" s="102" t="str">
        <f t="shared" ca="1" si="2336"/>
        <v/>
      </c>
      <c r="FZ80" s="102" t="str">
        <f t="shared" ca="1" si="2336"/>
        <v/>
      </c>
      <c r="GA80" s="102" t="str">
        <f t="shared" ca="1" si="2336"/>
        <v/>
      </c>
      <c r="GB80" s="102" t="str">
        <f t="shared" ca="1" si="2336"/>
        <v/>
      </c>
      <c r="GC80" s="102" t="str">
        <f t="shared" ca="1" si="2336"/>
        <v/>
      </c>
      <c r="GD80" s="102" t="str">
        <f t="shared" ca="1" si="2336"/>
        <v/>
      </c>
      <c r="GE80" s="102" t="str">
        <f t="shared" ca="1" si="2336"/>
        <v/>
      </c>
      <c r="GF80" s="102" t="str">
        <f t="shared" ca="1" si="2336"/>
        <v/>
      </c>
      <c r="GG80" s="102" t="str">
        <f t="shared" ca="1" si="2336"/>
        <v/>
      </c>
      <c r="GH80" s="102" t="str">
        <f t="shared" ca="1" si="2336"/>
        <v/>
      </c>
      <c r="GI80" s="102" t="str">
        <f t="shared" ca="1" si="2336"/>
        <v/>
      </c>
      <c r="GJ80" s="102" t="str">
        <f t="shared" ca="1" si="2336"/>
        <v/>
      </c>
      <c r="GK80" s="102" t="str">
        <f t="shared" ca="1" si="2336"/>
        <v/>
      </c>
      <c r="GL80" s="102" t="str">
        <f t="shared" ca="1" si="2336"/>
        <v/>
      </c>
      <c r="GM80" s="102" t="str">
        <f t="shared" ca="1" si="2336"/>
        <v/>
      </c>
      <c r="GN80" s="102" t="str">
        <f t="shared" ca="1" si="2336"/>
        <v/>
      </c>
      <c r="GO80" s="102" t="str">
        <f t="shared" ca="1" si="2336"/>
        <v/>
      </c>
      <c r="GP80" s="102" t="str">
        <f t="shared" ca="1" si="2336"/>
        <v/>
      </c>
      <c r="GQ80" s="102" t="str">
        <f t="shared" ca="1" si="2336"/>
        <v/>
      </c>
      <c r="GR80" s="102" t="str">
        <f t="shared" ca="1" si="2336"/>
        <v/>
      </c>
      <c r="GS80" s="102" t="str">
        <f t="shared" ca="1" si="2336"/>
        <v/>
      </c>
      <c r="GT80" s="102" t="str">
        <f t="shared" ca="1" si="2336"/>
        <v/>
      </c>
      <c r="GU80" s="102" t="str">
        <f t="shared" ca="1" si="2336"/>
        <v/>
      </c>
    </row>
    <row r="81" spans="5:203" x14ac:dyDescent="0.25">
      <c r="E81" s="24" t="str">
        <f>IF(G81&lt;&gt;"","Copy green area &gt;&gt;&gt;","")</f>
        <v/>
      </c>
      <c r="F81" s="73" t="s">
        <v>583</v>
      </c>
      <c r="G81" s="77" t="str">
        <f>IFERROR(IF($BV$8&lt;&gt;"T",IF(OR(INDEX($E$20:$E$68,MATCH(H78,$G$19:$G$67,0))="H",INDEX($E$20:$E$68,MATCH(H78,$G$19:$G$67,0))="T"),IF(INDEX($J$19:$J$68,MATCH(H78,$G$19:$G$67,0))="ChoHY","HC",INDEX($E$20:$E$68,MATCH(H78,$G$19:$G$67,0))),IF(INDEX($E$20:$E$68,MATCH(H78,$G$19:$G$67,0))=3,"T",IF(OR(INDEX($E$20:$E$68,MATCH(H78,$G$19:$G$67,0))="A",INDEX($E$20:$E$68,MATCH(H78,$G$19:$G$67,0))="B",INDEX($E$20:$E$68,MATCH(H78,$G$19:$G$67,0))="C",INDEX($E$20:$E$68,MATCH(H78,$G$19:$G$67,0))="P"),CONCATENATE("A",RIGHT(INDEX($H$20:$H$68,MATCH(H78,$G$19:$G$67,0)),1)),IF(INDEX($E$20:$E$68,MATCH(H78,$G$19:$G$67,0))="PA",IF(MID(INDEX($H$20:$H$68,MATCH(H78,$G$19:$G$67,0)),8,1)="W","AT",CONCATENATE("A",MID(INDEX($H$20:$H$68,MATCH(H78,$G$19:$G$67,0)),8,1))),"")))),""),"")</f>
        <v/>
      </c>
      <c r="H81" s="77" t="str">
        <f>IFERROR(IF($BV$8&lt;&gt;"T",IF(G81="HC",0,IF(OR(G81="H",LEFT(G81,1)="A"),IF($BV$6="D",IF(G81="H",0.5,0.1),0.5),"")),""),"")</f>
        <v/>
      </c>
      <c r="I81" s="210" t="str">
        <f>IFERROR(IF($BV$8&lt;&gt;"T",INDEX($AO$20:$AO$68,MATCH(H78,$G$19:$G$67,0)),""),"")</f>
        <v/>
      </c>
      <c r="J81" s="77" t="str">
        <f>IFERROR(IF($BV$8&lt;&gt;"T",IF(OR(INDEX($E$20:$E$68,MATCH(K78,$G$19:$G$67,0))="H",INDEX($E$20:$E$68,MATCH(K78,$G$19:$G$67,0))="T"),IF(INDEX($J$19:$J$68,MATCH(K78,$G$19:$G$67,0))="ChoHY","HC",INDEX($E$20:$E$68,MATCH(K78,$G$19:$G$67,0))),IF(INDEX($E$20:$E$68,MATCH(K78,$G$19:$G$67,0))=3,"T",IF(OR(INDEX($E$20:$E$68,MATCH(K78,$G$19:$G$67,0))="A",INDEX($E$20:$E$68,MATCH(K78,$G$19:$G$67,0))="B",INDEX($E$20:$E$68,MATCH(K78,$G$19:$G$67,0))="C",INDEX($E$20:$E$68,MATCH(K78,$G$19:$G$67,0))="P"),CONCATENATE("A",RIGHT(INDEX($H$20:$H$68,MATCH(K78,$G$19:$G$67,0)),1)),IF(INDEX($E$20:$E$68,MATCH(K78,$G$19:$G$67,0))="PA",IF(MID(INDEX($H$20:$H$68,MATCH(K78,$G$19:$G$67,0)),8,1)="W","AT",CONCATENATE("A",MID(INDEX($H$20:$H$68,MATCH(K78,$G$19:$G$67,0)),8,1))),"")))),""),"")</f>
        <v/>
      </c>
      <c r="K81" s="77" t="str">
        <f>IFERROR(IF($BV$8&lt;&gt;"T",IF(J81="HC",0,IF(OR(J81="H",LEFT(J81,1)="A"),IF($BV$6="D",IF(J81="H",0.5,0.1),0.5),"")),""),"")</f>
        <v/>
      </c>
      <c r="L81" s="210" t="str">
        <f>IFERROR(IF($BV$8&lt;&gt;"T",INDEX($AO$20:$AO$68,MATCH(K78,$G$19:$G$67,0)),""),"")</f>
        <v/>
      </c>
      <c r="M81" s="77" t="str">
        <f>IFERROR(IF($BV$8&lt;&gt;"T",IF(OR(INDEX($E$20:$E$68,MATCH(N78,$G$19:$G$67,0))="H",INDEX($E$20:$E$68,MATCH(N78,$G$19:$G$67,0))="T"),IF(INDEX($J$19:$J$68,MATCH(N78,$G$19:$G$67,0))="ChoHY","HC",INDEX($E$20:$E$68,MATCH(N78,$G$19:$G$67,0))),IF(INDEX($E$20:$E$68,MATCH(N78,$G$19:$G$67,0))=3,"T",IF(OR(INDEX($E$20:$E$68,MATCH(N78,$G$19:$G$67,0))="A",INDEX($E$20:$E$68,MATCH(N78,$G$19:$G$67,0))="B",INDEX($E$20:$E$68,MATCH(N78,$G$19:$G$67,0))="C",INDEX($E$20:$E$68,MATCH(N78,$G$19:$G$67,0))="P"),CONCATENATE("A",RIGHT(INDEX($H$20:$H$68,MATCH(N78,$G$19:$G$67,0)),1)),IF(INDEX($E$20:$E$68,MATCH(N78,$G$19:$G$67,0))="PA",IF(MID(INDEX($H$20:$H$68,MATCH(N78,$G$19:$G$67,0)),8,1)="W","AT",CONCATENATE("A",MID(INDEX($H$20:$H$68,MATCH(N78,$G$19:$G$67,0)),8,1))),"")))),""),"")</f>
        <v/>
      </c>
      <c r="N81" s="77" t="str">
        <f>IFERROR(IF($BV$8&lt;&gt;"T",IF(M81="HC",0,IF(OR(M81="H",LEFT(M81,1)="A"),IF($BV$6="D",IF(M81="H",0.5,0.1),0.5),"")),""),"")</f>
        <v/>
      </c>
      <c r="O81" s="210" t="str">
        <f>IFERROR(IF($BV$8&lt;&gt;"T",INDEX($AO$20:$AO$68,MATCH(N78,$G$19:$G$67,0)),""),"")</f>
        <v/>
      </c>
      <c r="P81" s="77" t="str">
        <f>IFERROR(IF($BV$8&lt;&gt;"T",IF(OR(INDEX($E$20:$E$68,MATCH(Q78,$G$19:$G$67,0))="H",INDEX($E$20:$E$68,MATCH(Q78,$G$19:$G$67,0))="T"),IF(INDEX($J$19:$J$68,MATCH(Q78,$G$19:$G$67,0))="ChoHY","HC",INDEX($E$20:$E$68,MATCH(Q78,$G$19:$G$67,0))),IF(INDEX($E$20:$E$68,MATCH(Q78,$G$19:$G$67,0))=3,"T",IF(OR(INDEX($E$20:$E$68,MATCH(Q78,$G$19:$G$67,0))="A",INDEX($E$20:$E$68,MATCH(Q78,$G$19:$G$67,0))="B",INDEX($E$20:$E$68,MATCH(Q78,$G$19:$G$67,0))="C",INDEX($E$20:$E$68,MATCH(Q78,$G$19:$G$67,0))="P"),CONCATENATE("A",RIGHT(INDEX($H$20:$H$68,MATCH(Q78,$G$19:$G$67,0)),1)),IF(INDEX($E$20:$E$68,MATCH(Q78,$G$19:$G$67,0))="PA",IF(MID(INDEX($H$20:$H$68,MATCH(Q78,$G$19:$G$67,0)),8,1)="W","AT",CONCATENATE("A",MID(INDEX($H$20:$H$68,MATCH(Q78,$G$19:$G$67,0)),8,1))),"")))),""),"")</f>
        <v/>
      </c>
      <c r="Q81" s="77" t="str">
        <f>IFERROR(IF($BV$8&lt;&gt;"T",IF(P81="HC",0,IF(OR(P81="H",LEFT(P81,1)="A"),IF($BV$6="D",IF(P81="H",0.5,0.1),0.5),"")),""),"")</f>
        <v/>
      </c>
      <c r="R81" s="210" t="str">
        <f>IFERROR(IF($BV$8&lt;&gt;"T",INDEX($AO$20:$AO$68,MATCH(Q78,$G$19:$G$67,0)),""),"")</f>
        <v/>
      </c>
      <c r="S81" s="77" t="str">
        <f>IFERROR(IF($BV$8&lt;&gt;"T",IF(OR(INDEX($E$20:$E$68,MATCH(T78,$G$19:$G$67,0))="H",INDEX($E$20:$E$68,MATCH(T78,$G$19:$G$67,0))="T"),IF(INDEX($J$19:$J$68,MATCH(T78,$G$19:$G$67,0))="ChoHY","HC",INDEX($E$20:$E$68,MATCH(T78,$G$19:$G$67,0))),IF(INDEX($E$20:$E$68,MATCH(T78,$G$19:$G$67,0))=3,"T",IF(OR(INDEX($E$20:$E$68,MATCH(T78,$G$19:$G$67,0))="A",INDEX($E$20:$E$68,MATCH(T78,$G$19:$G$67,0))="B",INDEX($E$20:$E$68,MATCH(T78,$G$19:$G$67,0))="C",INDEX($E$20:$E$68,MATCH(T78,$G$19:$G$67,0))="P"),CONCATENATE("A",RIGHT(INDEX($H$20:$H$68,MATCH(T78,$G$19:$G$67,0)),1)),IF(INDEX($E$20:$E$68,MATCH(T78,$G$19:$G$67,0))="PA",IF(MID(INDEX($H$20:$H$68,MATCH(T78,$G$19:$G$67,0)),8,1)="W","AT",CONCATENATE("A",MID(INDEX($H$20:$H$68,MATCH(T78,$G$19:$G$67,0)),8,1))),"")))),""),"")</f>
        <v/>
      </c>
      <c r="T81" s="77" t="str">
        <f>IFERROR(IF($BV$8&lt;&gt;"T",IF(S81="HC",0,IF(OR(S81="H",LEFT(S81,1)="A"),IF($BV$6="D",IF(S81="H",0.5,0.1),0.5),"")),""),"")</f>
        <v/>
      </c>
      <c r="U81" s="210" t="str">
        <f>IFERROR(IF($BV$8&lt;&gt;"T",INDEX($AO$20:$AO$68,MATCH(T78,$G$19:$G$67,0)),""),"")</f>
        <v/>
      </c>
      <c r="V81" s="77" t="str">
        <f>IFERROR(IF($BV$8&lt;&gt;"T",IF(OR(INDEX($E$20:$E$68,MATCH(W78,$G$19:$G$67,0))="H",INDEX($E$20:$E$68,MATCH(W78,$G$19:$G$67,0))="T"),IF(INDEX($J$19:$J$68,MATCH(W78,$G$19:$G$67,0))="ChoHY","HC",INDEX($E$20:$E$68,MATCH(W78,$G$19:$G$67,0))),IF(INDEX($E$20:$E$68,MATCH(W78,$G$19:$G$67,0))=3,"T",IF(OR(INDEX($E$20:$E$68,MATCH(W78,$G$19:$G$67,0))="A",INDEX($E$20:$E$68,MATCH(W78,$G$19:$G$67,0))="B",INDEX($E$20:$E$68,MATCH(W78,$G$19:$G$67,0))="C",INDEX($E$20:$E$68,MATCH(W78,$G$19:$G$67,0))="P"),CONCATENATE("A",RIGHT(INDEX($H$20:$H$68,MATCH(W78,$G$19:$G$67,0)),1)),IF(INDEX($E$20:$E$68,MATCH(W78,$G$19:$G$67,0))="PA",IF(MID(INDEX($H$20:$H$68,MATCH(W78,$G$19:$G$67,0)),8,1)="W","AT",CONCATENATE("A",MID(INDEX($H$20:$H$68,MATCH(W78,$G$19:$G$67,0)),8,1))),"")))),""),"")</f>
        <v/>
      </c>
      <c r="W81" s="77" t="str">
        <f>IFERROR(IF($BV$8&lt;&gt;"T",IF(V81="HC",0,IF(OR(V81="H",LEFT(V81,1)="A"),IF($BV$6="D",IF(V81="H",0.5,0.1),0.5),"")),""),"")</f>
        <v/>
      </c>
      <c r="X81" s="210" t="str">
        <f>IFERROR(IF($BV$8&lt;&gt;"T",INDEX($AO$20:$AO$68,MATCH(W78,$G$19:$G$67,0)),""),"")</f>
        <v/>
      </c>
      <c r="Y81" s="77" t="str">
        <f>IFERROR(IF($BV$8&lt;&gt;"T",IF(OR(INDEX($E$20:$E$68,MATCH(Z78,$G$19:$G$67,0))="H",INDEX($E$20:$E$68,MATCH(Z78,$G$19:$G$67,0))="T"),IF(INDEX($J$19:$J$68,MATCH(Z78,$G$19:$G$67,0))="ChoHY","HC",INDEX($E$20:$E$68,MATCH(Z78,$G$19:$G$67,0))),IF(INDEX($E$20:$E$68,MATCH(Z78,$G$19:$G$67,0))=3,"T",IF(OR(INDEX($E$20:$E$68,MATCH(Z78,$G$19:$G$67,0))="A",INDEX($E$20:$E$68,MATCH(Z78,$G$19:$G$67,0))="B",INDEX($E$20:$E$68,MATCH(Z78,$G$19:$G$67,0))="C",INDEX($E$20:$E$68,MATCH(Z78,$G$19:$G$67,0))="P"),CONCATENATE("A",RIGHT(INDEX($H$20:$H$68,MATCH(Z78,$G$19:$G$67,0)),1)),IF(INDEX($E$20:$E$68,MATCH(Z78,$G$19:$G$67,0))="PA",IF(MID(INDEX($H$20:$H$68,MATCH(Z78,$G$19:$G$67,0)),8,1)="W","AT",CONCATENATE("A",MID(INDEX($H$20:$H$68,MATCH(Z78,$G$19:$G$67,0)),8,1))),"")))),""),"")</f>
        <v/>
      </c>
      <c r="Z81" s="77" t="str">
        <f>IFERROR(IF($BV$8&lt;&gt;"T",IF(Y81="HC",0,IF(OR(Y81="H",LEFT(Y81,1)="A"),IF($BV$6="D",IF(Y81="H",0.5,0.1),0.5),"")),""),"")</f>
        <v/>
      </c>
      <c r="AA81" s="210" t="str">
        <f>IFERROR(IF($BV$8&lt;&gt;"T",INDEX($AO$20:$AO$68,MATCH(Z78,$G$19:$G$67,0)),""),"")</f>
        <v/>
      </c>
      <c r="AB81" s="77" t="str">
        <f>IFERROR(IF($BV$8&lt;&gt;"T",IF(OR(INDEX($E$20:$E$68,MATCH(AC78,$G$19:$G$67,0))="H",INDEX($E$20:$E$68,MATCH(AC78,$G$19:$G$67,0))="T"),IF(INDEX($J$19:$J$68,MATCH(AC78,$G$19:$G$67,0))="ChoHY","HC",INDEX($E$20:$E$68,MATCH(AC78,$G$19:$G$67,0))),IF(INDEX($E$20:$E$68,MATCH(AC78,$G$19:$G$67,0))=3,"T",IF(OR(INDEX($E$20:$E$68,MATCH(AC78,$G$19:$G$67,0))="A",INDEX($E$20:$E$68,MATCH(AC78,$G$19:$G$67,0))="B",INDEX($E$20:$E$68,MATCH(AC78,$G$19:$G$67,0))="C",INDEX($E$20:$E$68,MATCH(AC78,$G$19:$G$67,0))="P"),CONCATENATE("A",RIGHT(INDEX($H$20:$H$68,MATCH(AC78,$G$19:$G$67,0)),1)),IF(INDEX($E$20:$E$68,MATCH(AC78,$G$19:$G$67,0))="PA",IF(MID(INDEX($H$20:$H$68,MATCH(AC78,$G$19:$G$67,0)),8,1)="W","AT",CONCATENATE("A",MID(INDEX($H$20:$H$68,MATCH(AC78,$G$19:$G$67,0)),8,1))),"")))),""),"")</f>
        <v/>
      </c>
      <c r="AC81" s="77" t="str">
        <f>IFERROR(IF($BV$8&lt;&gt;"T",IF(AB81="HC",0,IF(OR(AB81="H",LEFT(AB81,1)="A"),IF($BV$6="D",IF(AB81="H",0.5,0.1),0.5),"")),""),"")</f>
        <v/>
      </c>
      <c r="AD81" s="210" t="str">
        <f>IFERROR(IF($BV$8&lt;&gt;"T",INDEX($AO$20:$AO$68,MATCH(AC78,$G$19:$G$67,0)),""),"")</f>
        <v/>
      </c>
      <c r="AE81" s="77" t="str">
        <f>IFERROR(IF($BV$8&lt;&gt;"T",IF(OR(INDEX($E$20:$E$68,MATCH(AF78,$G$19:$G$67,0))="H",INDEX($E$20:$E$68,MATCH(AF78,$G$19:$G$67,0))="T"),IF(INDEX($J$19:$J$68,MATCH(AF78,$G$19:$G$67,0))="ChoHY","HC",INDEX($E$20:$E$68,MATCH(AF78,$G$19:$G$67,0))),IF(INDEX($E$20:$E$68,MATCH(AF78,$G$19:$G$67,0))=3,"T",IF(OR(INDEX($E$20:$E$68,MATCH(AF78,$G$19:$G$67,0))="A",INDEX($E$20:$E$68,MATCH(AF78,$G$19:$G$67,0))="B",INDEX($E$20:$E$68,MATCH(AF78,$G$19:$G$67,0))="C",INDEX($E$20:$E$68,MATCH(AF78,$G$19:$G$67,0))="P"),CONCATENATE("A",RIGHT(INDEX($H$20:$H$68,MATCH(AF78,$G$19:$G$67,0)),1)),IF(INDEX($E$20:$E$68,MATCH(AF78,$G$19:$G$67,0))="PA",IF(MID(INDEX($H$20:$H$68,MATCH(AF78,$G$19:$G$67,0)),8,1)="W","AT",CONCATENATE("A",MID(INDEX($H$20:$H$68,MATCH(AF78,$G$19:$G$67,0)),8,1))),"")))),""),"")</f>
        <v/>
      </c>
      <c r="AF81" s="77" t="str">
        <f>IFERROR(IF($BV$8&lt;&gt;"T",IF(AE81="HC",0,IF(OR(AE81="H",LEFT(AE81,1)="A"),IF($BV$6="D",IF(AE81="H",0.5,0.1),0.5),"")),""),"")</f>
        <v/>
      </c>
      <c r="AG81" s="210" t="str">
        <f>IFERROR(IF($BV$8&lt;&gt;"T",INDEX($AO$20:$AO$68,MATCH(AF78,$G$19:$G$67,0)),""),"")</f>
        <v/>
      </c>
      <c r="AH81" s="77" t="str">
        <f>IFERROR(IF($BV$8&lt;&gt;"T",IF(OR(INDEX($E$20:$E$68,MATCH(AI78,$G$19:$G$67,0))="H",INDEX($E$20:$E$68,MATCH(AI78,$G$19:$G$67,0))="T"),IF(INDEX($J$19:$J$68,MATCH(AI78,$G$19:$G$67,0))="ChoHY","HC",INDEX($E$20:$E$68,MATCH(AI78,$G$19:$G$67,0))),IF(INDEX($E$20:$E$68,MATCH(AI78,$G$19:$G$67,0))=3,"T",IF(OR(INDEX($E$20:$E$68,MATCH(AI78,$G$19:$G$67,0))="A",INDEX($E$20:$E$68,MATCH(AI78,$G$19:$G$67,0))="B",INDEX($E$20:$E$68,MATCH(AI78,$G$19:$G$67,0))="C",INDEX($E$20:$E$68,MATCH(AI78,$G$19:$G$67,0))="P"),CONCATENATE("A",RIGHT(INDEX($H$20:$H$68,MATCH(AI78,$G$19:$G$67,0)),1)),IF(INDEX($E$20:$E$68,MATCH(AI78,$G$19:$G$67,0))="PA",IF(MID(INDEX($H$20:$H$68,MATCH(AI78,$G$19:$G$67,0)),8,1)="W","AT",CONCATENATE("A",MID(INDEX($H$20:$H$68,MATCH(AI78,$G$19:$G$67,0)),8,1))),"")))),""),"")</f>
        <v/>
      </c>
      <c r="AI81" s="77" t="str">
        <f>IFERROR(IF($BV$8&lt;&gt;"T",IF(AH81="HC",0,IF(OR(AH81="H",LEFT(AH81,1)="A"),IF($BV$6="D",IF(AH81="H",0.5,0.1),0.5),"")),""),"")</f>
        <v/>
      </c>
      <c r="AJ81" s="211" t="str">
        <f>IFERROR(IF($BV$8&lt;&gt;"T",INDEX($AO$20:$AO$68,MATCH(AI78,$G$19:$G$67,0)),""),"")</f>
        <v/>
      </c>
      <c r="AK81" s="121" t="str">
        <f>IFERROR(IF($BV$8&lt;&gt;"T",IF(OR(INDEX($E$20:$E$68,MATCH(AL78,$G$19:$G$67,0))="H",INDEX($E$20:$E$68,MATCH(AL78,$G$19:$G$67,0))="T"),IF(INDEX($J$19:$J$68,MATCH(AL78,$G$19:$G$67,0))="ChoHY","HC",INDEX($E$20:$E$68,MATCH(AL78,$G$19:$G$67,0))),IF(INDEX($E$20:$E$68,MATCH(AL78,$G$19:$G$67,0))=3,"T",IF(OR(INDEX($E$20:$E$68,MATCH(AL78,$G$19:$G$67,0))="A",INDEX($E$20:$E$68,MATCH(AL78,$G$19:$G$67,0))="B",INDEX($E$20:$E$68,MATCH(AL78,$G$19:$G$67,0))="C",INDEX($E$20:$E$68,MATCH(AL78,$G$19:$G$67,0))="P"),CONCATENATE("A",RIGHT(INDEX($H$20:$H$68,MATCH(AL78,$G$19:$G$67,0)),1)),IF(INDEX($E$20:$E$68,MATCH(AL78,$G$19:$G$67,0))="PA",IF(MID(INDEX($H$20:$H$68,MATCH(AL78,$G$19:$G$67,0)),8,1)="W","AT",CONCATENATE("A",MID(INDEX($H$20:$H$68,MATCH(AL78,$G$19:$G$67,0)),8,1))),"")))),""),"")</f>
        <v/>
      </c>
      <c r="AL81" s="121" t="str">
        <f>IFERROR(IF($BV$8&lt;&gt;"T",IF(AK81="HC",0,IF(OR(AK81="H",LEFT(AK81,1)="A"),IF($BV$6="D",IF(AK81="H",0.5,0.1),0.5),"")),""),"")</f>
        <v/>
      </c>
      <c r="AM81" s="211" t="str">
        <f>IFERROR(IF($BV$8&lt;&gt;"T",INDEX($AO$20:$AO$68,MATCH(AL78,$G$19:$G$67,0)),""),"")</f>
        <v/>
      </c>
      <c r="CB81" s="102"/>
      <c r="CC81" s="102"/>
      <c r="CD81" s="102"/>
      <c r="CE81" s="102"/>
      <c r="CF81" s="102"/>
      <c r="CG81" s="102"/>
      <c r="CH81" s="102"/>
      <c r="CI81" s="102"/>
      <c r="CJ81" s="102"/>
      <c r="CK81" s="102"/>
      <c r="CL81" s="102"/>
      <c r="CM81" s="102"/>
      <c r="EI81" s="102" t="str">
        <f t="shared" ref="EI81" si="2337">IF(SUM(EK81:FN81)&gt;5,"X","")</f>
        <v/>
      </c>
      <c r="EK81" s="102" t="str">
        <f t="shared" ref="EK81" si="2338">IF(EK28&lt;&gt;"",IF(OR(RIGHT(J27,4)="*0,5",RIGHT(J27,4)="*0,3"),0.5,1),"")</f>
        <v/>
      </c>
      <c r="EL81" s="102" t="str">
        <f t="shared" ref="EL81" si="2339">IF(EL28&lt;&gt;"",IF(OR(RIGHT(K27,4)="*0,5",RIGHT(K27,4)="*0,3"),0.5,1),"")</f>
        <v/>
      </c>
      <c r="EM81" s="102" t="str">
        <f t="shared" ref="EM81" si="2340">IF(EM28&lt;&gt;"",IF(OR(RIGHT(L27,4)="*0,5",RIGHT(L27,4)="*0,3"),0.5,1),"")</f>
        <v/>
      </c>
      <c r="EN81" s="102" t="str">
        <f t="shared" ref="EN81" si="2341">IF(EN28&lt;&gt;"",IF(OR(RIGHT(M27,4)="*0,5",RIGHT(M27,4)="*0,3"),0.5,1),"")</f>
        <v/>
      </c>
      <c r="EO81" s="102" t="str">
        <f t="shared" ref="EO81" si="2342">IF(EO28&lt;&gt;"",IF(OR(RIGHT(N27,4)="*0,5",RIGHT(N27,4)="*0,3"),0.5,1),"")</f>
        <v/>
      </c>
      <c r="EP81" s="102" t="str">
        <f t="shared" ref="EP81" si="2343">IF(EP28&lt;&gt;"",IF(OR(RIGHT(O27,4)="*0,5",RIGHT(O27,4)="*0,3"),0.5,1),"")</f>
        <v/>
      </c>
      <c r="EQ81" s="102" t="str">
        <f t="shared" ref="EQ81" si="2344">IF(EQ28&lt;&gt;"",IF(OR(RIGHT(P27,4)="*0,5",RIGHT(P27,4)="*0,3"),0.5,1),"")</f>
        <v/>
      </c>
      <c r="ER81" s="102" t="str">
        <f t="shared" ref="ER81" si="2345">IF(ER28&lt;&gt;"",IF(OR(RIGHT(Q27,4)="*0,5",RIGHT(Q27,4)="*0,3"),0.5,1),"")</f>
        <v/>
      </c>
      <c r="ES81" s="102" t="str">
        <f t="shared" ref="ES81" si="2346">IF(ES28&lt;&gt;"",IF(OR(RIGHT(R27,4)="*0,5",RIGHT(R27,4)="*0,3"),0.5,1),"")</f>
        <v/>
      </c>
      <c r="ET81" s="102" t="str">
        <f t="shared" ref="ET81" si="2347">IF(ET28&lt;&gt;"",IF(OR(RIGHT(S27,4)="*0,5",RIGHT(S27,4)="*0,3"),0.5,1),"")</f>
        <v/>
      </c>
      <c r="EU81" s="102" t="str">
        <f t="shared" ref="EU81" si="2348">IF(EU28&lt;&gt;"",IF(OR(RIGHT(T27,4)="*0,5",RIGHT(T27,4)="*0,3"),0.5,1),"")</f>
        <v/>
      </c>
      <c r="EV81" s="102" t="str">
        <f t="shared" ref="EV81" si="2349">IF(EV28&lt;&gt;"",IF(OR(RIGHT(U27,4)="*0,5",RIGHT(U27,4)="*0,3"),0.5,1),"")</f>
        <v/>
      </c>
      <c r="EW81" s="102" t="str">
        <f t="shared" ref="EW81" si="2350">IF(EW28&lt;&gt;"",IF(OR(RIGHT(V27,4)="*0,5",RIGHT(V27,4)="*0,3"),0.5,1),"")</f>
        <v/>
      </c>
      <c r="EX81" s="102" t="str">
        <f t="shared" ref="EX81" si="2351">IF(EX28&lt;&gt;"",IF(OR(RIGHT(W27,4)="*0,5",RIGHT(W27,4)="*0,3"),0.5,1),"")</f>
        <v/>
      </c>
      <c r="EY81" s="102" t="str">
        <f t="shared" ref="EY81" si="2352">IF(EY28&lt;&gt;"",IF(OR(RIGHT(X27,4)="*0,5",RIGHT(X27,4)="*0,3"),0.5,1),"")</f>
        <v/>
      </c>
      <c r="EZ81" s="102" t="str">
        <f t="shared" ref="EZ81" si="2353">IF(EZ28&lt;&gt;"",IF(OR(RIGHT(Y27,4)="*0,5",RIGHT(Y27,4)="*0,3"),0.5,1),"")</f>
        <v/>
      </c>
      <c r="FA81" s="102" t="str">
        <f t="shared" ref="FA81" si="2354">IF(FA28&lt;&gt;"",IF(OR(RIGHT(Z27,4)="*0,5",RIGHT(Z27,4)="*0,3"),0.5,1),"")</f>
        <v/>
      </c>
      <c r="FB81" s="102" t="str">
        <f t="shared" ref="FB81" si="2355">IF(FB28&lt;&gt;"",IF(OR(RIGHT(AA27,4)="*0,5",RIGHT(AA27,4)="*0,3"),0.5,1),"")</f>
        <v/>
      </c>
      <c r="FC81" s="102" t="str">
        <f t="shared" ref="FC81" si="2356">IF(FC28&lt;&gt;"",IF(OR(RIGHT(AB27,4)="*0,5",RIGHT(AB27,4)="*0,3"),0.5,1),"")</f>
        <v/>
      </c>
      <c r="FD81" s="102" t="str">
        <f t="shared" ref="FD81" si="2357">IF(FD28&lt;&gt;"",IF(OR(RIGHT(AC27,4)="*0,5",RIGHT(AC27,4)="*0,3"),0.5,1),"")</f>
        <v/>
      </c>
      <c r="FE81" s="102" t="str">
        <f t="shared" ref="FE81" si="2358">IF(FE28&lt;&gt;"",IF(OR(RIGHT(AD27,4)="*0,5",RIGHT(AD27,4)="*0,3"),0.5,1),"")</f>
        <v/>
      </c>
      <c r="FF81" s="102" t="str">
        <f t="shared" ref="FF81" si="2359">IF(FF28&lt;&gt;"",IF(OR(RIGHT(AE27,4)="*0,5",RIGHT(AE27,4)="*0,3"),0.5,1),"")</f>
        <v/>
      </c>
      <c r="FG81" s="102" t="str">
        <f t="shared" ref="FG81" si="2360">IF(FG28&lt;&gt;"",IF(OR(RIGHT(AF27,4)="*0,5",RIGHT(AF27,4)="*0,3"),0.5,1),"")</f>
        <v/>
      </c>
      <c r="FH81" s="102" t="str">
        <f t="shared" ref="FH81" si="2361">IF(FH28&lt;&gt;"",IF(OR(RIGHT(AG27,4)="*0,5",RIGHT(AG27,4)="*0,3"),0.5,1),"")</f>
        <v/>
      </c>
      <c r="FI81" s="102" t="str">
        <f t="shared" ref="FI81" si="2362">IF(FI28&lt;&gt;"",IF(OR(RIGHT(AH27,4)="*0,5",RIGHT(AH27,4)="*0,3"),0.5,1),"")</f>
        <v/>
      </c>
      <c r="FJ81" s="102" t="str">
        <f t="shared" ref="FJ81" si="2363">IF(FJ28&lt;&gt;"",IF(OR(RIGHT(AI27,4)="*0,5",RIGHT(AI27,4)="*0,3"),0.5,1),"")</f>
        <v/>
      </c>
      <c r="FK81" s="102" t="str">
        <f t="shared" ref="FK81" si="2364">IF(FK28&lt;&gt;"",IF(OR(RIGHT(AJ27,4)="*0,5",RIGHT(AJ27,4)="*0,3"),0.5,1),"")</f>
        <v/>
      </c>
      <c r="FL81" s="102" t="str">
        <f t="shared" ref="FL81" si="2365">IF(FL28&lt;&gt;"",IF(OR(RIGHT(AK27,4)="*0,5",RIGHT(AK27,4)="*0,3"),0.5,1),"")</f>
        <v/>
      </c>
      <c r="FM81" s="102" t="str">
        <f t="shared" ref="FM81" si="2366">IF(FM28&lt;&gt;"",IF(OR(RIGHT(AL27,4)="*0,5",RIGHT(AL27,4)="*0,3"),0.5,1),"")</f>
        <v/>
      </c>
      <c r="FN81" s="102" t="str">
        <f t="shared" ref="FN81" si="2367">IF(FN28&lt;&gt;"",IF(OR(RIGHT(AM27,4)="*0,5",RIGHT(AM27,4)="*0,3"),0.5,1),"")</f>
        <v/>
      </c>
      <c r="FQ81" s="102"/>
      <c r="FR81" s="102"/>
      <c r="FS81" s="102"/>
      <c r="FT81" s="102"/>
      <c r="FU81" s="102"/>
      <c r="FV81" s="102"/>
      <c r="FW81" s="102"/>
      <c r="FX81" s="102"/>
      <c r="FY81" s="102"/>
      <c r="FZ81" s="102"/>
      <c r="GA81" s="102"/>
      <c r="GB81" s="102"/>
      <c r="GC81" s="102"/>
      <c r="GD81" s="102"/>
      <c r="GE81" s="102"/>
      <c r="GF81" s="102"/>
      <c r="GG81" s="102"/>
      <c r="GH81" s="102"/>
      <c r="GI81" s="102"/>
      <c r="GJ81" s="102"/>
      <c r="GK81" s="102"/>
      <c r="GL81" s="102"/>
      <c r="GM81" s="102"/>
      <c r="GN81" s="102"/>
      <c r="GO81" s="102"/>
      <c r="GP81" s="102"/>
      <c r="GQ81" s="102"/>
      <c r="GR81" s="102"/>
      <c r="GS81" s="102"/>
      <c r="GT81" s="102"/>
      <c r="GU81" s="102"/>
    </row>
    <row r="82" spans="5:203" x14ac:dyDescent="0.25">
      <c r="EM82" s="105"/>
      <c r="EN82" s="105"/>
      <c r="FQ82" s="102"/>
      <c r="FR82" s="102"/>
      <c r="FS82" s="102"/>
      <c r="FT82" s="102"/>
      <c r="FU82" s="102"/>
      <c r="FV82" s="102"/>
      <c r="FW82" s="102"/>
      <c r="FX82" s="102"/>
      <c r="FY82" s="102"/>
      <c r="FZ82" s="102"/>
      <c r="GA82" s="102"/>
      <c r="GB82" s="102"/>
      <c r="GC82" s="102"/>
      <c r="GD82" s="102"/>
      <c r="GE82" s="102"/>
      <c r="GF82" s="102"/>
      <c r="GG82" s="102"/>
      <c r="GH82" s="102"/>
      <c r="GI82" s="102"/>
      <c r="GJ82" s="102"/>
      <c r="GK82" s="102"/>
      <c r="GL82" s="102"/>
      <c r="GM82" s="102"/>
      <c r="GN82" s="102"/>
      <c r="GO82" s="102"/>
      <c r="GP82" s="102"/>
      <c r="GQ82" s="102"/>
      <c r="GR82" s="102"/>
      <c r="GS82" s="102"/>
      <c r="GT82" s="102"/>
      <c r="GU82" s="102"/>
    </row>
    <row r="83" spans="5:203" x14ac:dyDescent="0.25">
      <c r="EI83" s="102" t="str">
        <f t="shared" ref="EI83" si="2368">IF(SUM(EK83:FN83)&gt;5,"X","")</f>
        <v/>
      </c>
      <c r="EK83" s="102" t="str">
        <f t="shared" ref="EK83" si="2369">IF(EK30&lt;&gt;"",IF(OR(RIGHT(J29,4)="*0,5",RIGHT(J29,4)="*0,3"),0.5,1),"")</f>
        <v/>
      </c>
      <c r="EL83" s="102" t="str">
        <f t="shared" ref="EL83" si="2370">IF(EL30&lt;&gt;"",IF(OR(RIGHT(K29,4)="*0,5",RIGHT(K29,4)="*0,3"),0.5,1),"")</f>
        <v/>
      </c>
      <c r="EM83" s="102" t="str">
        <f t="shared" ref="EM83" si="2371">IF(EM30&lt;&gt;"",IF(OR(RIGHT(L29,4)="*0,5",RIGHT(L29,4)="*0,3"),0.5,1),"")</f>
        <v/>
      </c>
      <c r="EN83" s="102" t="str">
        <f t="shared" ref="EN83" si="2372">IF(EN30&lt;&gt;"",IF(OR(RIGHT(M29,4)="*0,5",RIGHT(M29,4)="*0,3"),0.5,1),"")</f>
        <v/>
      </c>
      <c r="EO83" s="102" t="str">
        <f t="shared" ref="EO83" si="2373">IF(EO30&lt;&gt;"",IF(OR(RIGHT(N29,4)="*0,5",RIGHT(N29,4)="*0,3"),0.5,1),"")</f>
        <v/>
      </c>
      <c r="EP83" s="102" t="str">
        <f t="shared" ref="EP83" si="2374">IF(EP30&lt;&gt;"",IF(OR(RIGHT(O29,4)="*0,5",RIGHT(O29,4)="*0,3"),0.5,1),"")</f>
        <v/>
      </c>
      <c r="EQ83" s="102" t="str">
        <f t="shared" ref="EQ83" si="2375">IF(EQ30&lt;&gt;"",IF(OR(RIGHT(P29,4)="*0,5",RIGHT(P29,4)="*0,3"),0.5,1),"")</f>
        <v/>
      </c>
      <c r="ER83" s="102" t="str">
        <f t="shared" ref="ER83" si="2376">IF(ER30&lt;&gt;"",IF(OR(RIGHT(Q29,4)="*0,5",RIGHT(Q29,4)="*0,3"),0.5,1),"")</f>
        <v/>
      </c>
      <c r="ES83" s="102" t="str">
        <f t="shared" ref="ES83" si="2377">IF(ES30&lt;&gt;"",IF(OR(RIGHT(R29,4)="*0,5",RIGHT(R29,4)="*0,3"),0.5,1),"")</f>
        <v/>
      </c>
      <c r="ET83" s="102" t="str">
        <f t="shared" ref="ET83" si="2378">IF(ET30&lt;&gt;"",IF(OR(RIGHT(S29,4)="*0,5",RIGHT(S29,4)="*0,3"),0.5,1),"")</f>
        <v/>
      </c>
      <c r="EU83" s="102" t="str">
        <f t="shared" ref="EU83" si="2379">IF(EU30&lt;&gt;"",IF(OR(RIGHT(T29,4)="*0,5",RIGHT(T29,4)="*0,3"),0.5,1),"")</f>
        <v/>
      </c>
      <c r="EV83" s="102" t="str">
        <f t="shared" ref="EV83" si="2380">IF(EV30&lt;&gt;"",IF(OR(RIGHT(U29,4)="*0,5",RIGHT(U29,4)="*0,3"),0.5,1),"")</f>
        <v/>
      </c>
      <c r="EW83" s="102" t="str">
        <f t="shared" ref="EW83" si="2381">IF(EW30&lt;&gt;"",IF(OR(RIGHT(V29,4)="*0,5",RIGHT(V29,4)="*0,3"),0.5,1),"")</f>
        <v/>
      </c>
      <c r="EX83" s="102" t="str">
        <f t="shared" ref="EX83" si="2382">IF(EX30&lt;&gt;"",IF(OR(RIGHT(W29,4)="*0,5",RIGHT(W29,4)="*0,3"),0.5,1),"")</f>
        <v/>
      </c>
      <c r="EY83" s="102" t="str">
        <f t="shared" ref="EY83" si="2383">IF(EY30&lt;&gt;"",IF(OR(RIGHT(X29,4)="*0,5",RIGHT(X29,4)="*0,3"),0.5,1),"")</f>
        <v/>
      </c>
      <c r="EZ83" s="102" t="str">
        <f t="shared" ref="EZ83" si="2384">IF(EZ30&lt;&gt;"",IF(OR(RIGHT(Y29,4)="*0,5",RIGHT(Y29,4)="*0,3"),0.5,1),"")</f>
        <v/>
      </c>
      <c r="FA83" s="102" t="str">
        <f t="shared" ref="FA83" si="2385">IF(FA30&lt;&gt;"",IF(OR(RIGHT(Z29,4)="*0,5",RIGHT(Z29,4)="*0,3"),0.5,1),"")</f>
        <v/>
      </c>
      <c r="FB83" s="102" t="str">
        <f t="shared" ref="FB83" si="2386">IF(FB30&lt;&gt;"",IF(OR(RIGHT(AA29,4)="*0,5",RIGHT(AA29,4)="*0,3"),0.5,1),"")</f>
        <v/>
      </c>
      <c r="FC83" s="102" t="str">
        <f t="shared" ref="FC83" si="2387">IF(FC30&lt;&gt;"",IF(OR(RIGHT(AB29,4)="*0,5",RIGHT(AB29,4)="*0,3"),0.5,1),"")</f>
        <v/>
      </c>
      <c r="FD83" s="102" t="str">
        <f t="shared" ref="FD83" si="2388">IF(FD30&lt;&gt;"",IF(OR(RIGHT(AC29,4)="*0,5",RIGHT(AC29,4)="*0,3"),0.5,1),"")</f>
        <v/>
      </c>
      <c r="FE83" s="102" t="str">
        <f t="shared" ref="FE83" si="2389">IF(FE30&lt;&gt;"",IF(OR(RIGHT(AD29,4)="*0,5",RIGHT(AD29,4)="*0,3"),0.5,1),"")</f>
        <v/>
      </c>
      <c r="FF83" s="102" t="str">
        <f t="shared" ref="FF83" si="2390">IF(FF30&lt;&gt;"",IF(OR(RIGHT(AE29,4)="*0,5",RIGHT(AE29,4)="*0,3"),0.5,1),"")</f>
        <v/>
      </c>
      <c r="FG83" s="102" t="str">
        <f t="shared" ref="FG83" si="2391">IF(FG30&lt;&gt;"",IF(OR(RIGHT(AF29,4)="*0,5",RIGHT(AF29,4)="*0,3"),0.5,1),"")</f>
        <v/>
      </c>
      <c r="FH83" s="102" t="str">
        <f t="shared" ref="FH83" si="2392">IF(FH30&lt;&gt;"",IF(OR(RIGHT(AG29,4)="*0,5",RIGHT(AG29,4)="*0,3"),0.5,1),"")</f>
        <v/>
      </c>
      <c r="FI83" s="102" t="str">
        <f t="shared" ref="FI83" si="2393">IF(FI30&lt;&gt;"",IF(OR(RIGHT(AH29,4)="*0,5",RIGHT(AH29,4)="*0,3"),0.5,1),"")</f>
        <v/>
      </c>
      <c r="FJ83" s="102" t="str">
        <f t="shared" ref="FJ83" si="2394">IF(FJ30&lt;&gt;"",IF(OR(RIGHT(AI29,4)="*0,5",RIGHT(AI29,4)="*0,3"),0.5,1),"")</f>
        <v/>
      </c>
      <c r="FK83" s="102" t="str">
        <f t="shared" ref="FK83" si="2395">IF(FK30&lt;&gt;"",IF(OR(RIGHT(AJ29,4)="*0,5",RIGHT(AJ29,4)="*0,3"),0.5,1),"")</f>
        <v/>
      </c>
      <c r="FL83" s="102" t="str">
        <f t="shared" ref="FL83" si="2396">IF(FL30&lt;&gt;"",IF(OR(RIGHT(AK29,4)="*0,5",RIGHT(AK29,4)="*0,3"),0.5,1),"")</f>
        <v/>
      </c>
      <c r="FM83" s="102" t="str">
        <f t="shared" ref="FM83" si="2397">IF(FM30&lt;&gt;"",IF(OR(RIGHT(AL29,4)="*0,5",RIGHT(AL29,4)="*0,3"),0.5,1),"")</f>
        <v/>
      </c>
      <c r="FN83" s="102" t="str">
        <f t="shared" ref="FN83" si="2398">IF(FN30&lt;&gt;"",IF(OR(RIGHT(AM29,4)="*0,5",RIGHT(AM29,4)="*0,3"),0.5,1),"")</f>
        <v/>
      </c>
      <c r="FO83" s="105">
        <v>4</v>
      </c>
      <c r="FP83" s="102"/>
      <c r="FQ83" s="102"/>
      <c r="FR83" s="102">
        <f t="shared" ref="FR83:GU83" ca="1" si="2399">IFERROR(IF(AND(OFFSET($E$20,$FO83,0)="H",OFFSET(J$19,$FO83,0)&lt;&gt;""),UPPER(OFFSET(J$19,$FO83,0)),FR$18),FR$18)</f>
        <v>1</v>
      </c>
      <c r="FS83" s="102">
        <f t="shared" ca="1" si="2399"/>
        <v>2</v>
      </c>
      <c r="FT83" s="102">
        <f t="shared" ca="1" si="2399"/>
        <v>3</v>
      </c>
      <c r="FU83" s="102">
        <f t="shared" ca="1" si="2399"/>
        <v>4</v>
      </c>
      <c r="FV83" s="102">
        <f t="shared" ca="1" si="2399"/>
        <v>5</v>
      </c>
      <c r="FW83" s="102">
        <f t="shared" ca="1" si="2399"/>
        <v>6</v>
      </c>
      <c r="FX83" s="102">
        <f t="shared" ca="1" si="2399"/>
        <v>7</v>
      </c>
      <c r="FY83" s="102">
        <f t="shared" ca="1" si="2399"/>
        <v>8</v>
      </c>
      <c r="FZ83" s="102">
        <f t="shared" ca="1" si="2399"/>
        <v>9</v>
      </c>
      <c r="GA83" s="102">
        <f t="shared" ca="1" si="2399"/>
        <v>10</v>
      </c>
      <c r="GB83" s="102">
        <f t="shared" ca="1" si="2399"/>
        <v>11</v>
      </c>
      <c r="GC83" s="102">
        <f t="shared" ca="1" si="2399"/>
        <v>12</v>
      </c>
      <c r="GD83" s="102">
        <f t="shared" ca="1" si="2399"/>
        <v>13</v>
      </c>
      <c r="GE83" s="102">
        <f t="shared" ca="1" si="2399"/>
        <v>14</v>
      </c>
      <c r="GF83" s="102">
        <f t="shared" ca="1" si="2399"/>
        <v>15</v>
      </c>
      <c r="GG83" s="102">
        <f t="shared" ca="1" si="2399"/>
        <v>16</v>
      </c>
      <c r="GH83" s="102">
        <f t="shared" ca="1" si="2399"/>
        <v>17</v>
      </c>
      <c r="GI83" s="102">
        <f t="shared" ca="1" si="2399"/>
        <v>18</v>
      </c>
      <c r="GJ83" s="102">
        <f t="shared" ca="1" si="2399"/>
        <v>19</v>
      </c>
      <c r="GK83" s="102">
        <f t="shared" ca="1" si="2399"/>
        <v>20</v>
      </c>
      <c r="GL83" s="102">
        <f t="shared" ca="1" si="2399"/>
        <v>21</v>
      </c>
      <c r="GM83" s="102">
        <f t="shared" ca="1" si="2399"/>
        <v>22</v>
      </c>
      <c r="GN83" s="102">
        <f t="shared" ca="1" si="2399"/>
        <v>23</v>
      </c>
      <c r="GO83" s="102">
        <f t="shared" ca="1" si="2399"/>
        <v>24</v>
      </c>
      <c r="GP83" s="102">
        <f t="shared" ca="1" si="2399"/>
        <v>25</v>
      </c>
      <c r="GQ83" s="102">
        <f t="shared" ca="1" si="2399"/>
        <v>26</v>
      </c>
      <c r="GR83" s="102">
        <f t="shared" ca="1" si="2399"/>
        <v>27</v>
      </c>
      <c r="GS83" s="102">
        <f t="shared" ca="1" si="2399"/>
        <v>28</v>
      </c>
      <c r="GT83" s="102">
        <f t="shared" ca="1" si="2399"/>
        <v>29</v>
      </c>
      <c r="GU83" s="102">
        <f t="shared" ca="1" si="2399"/>
        <v>30</v>
      </c>
    </row>
    <row r="84" spans="5:203" x14ac:dyDescent="0.25">
      <c r="EM84" s="105"/>
      <c r="EN84" s="105"/>
      <c r="FR84" s="102">
        <f t="shared" ref="FR84:GU84" ca="1" si="2400">IFERROR(IF(AND(OFFSET($E$20,$FO83,0)="H",OFFSET(J$19,$FO83,0)&lt;&gt;"",OFFSET($F29,$FO83,0)&lt;&gt;"Hybrid - Thrust + 2 connections"),INDEX(Hyb_Tech,MATCH(OFFSET(J$19,$FO83,0),Hyb_Code,0)),FR$72),FR$72)</f>
        <v>1</v>
      </c>
      <c r="FS84" s="102">
        <f t="shared" ca="1" si="2400"/>
        <v>2</v>
      </c>
      <c r="FT84" s="102">
        <f t="shared" ca="1" si="2400"/>
        <v>3</v>
      </c>
      <c r="FU84" s="102">
        <f t="shared" ca="1" si="2400"/>
        <v>4</v>
      </c>
      <c r="FV84" s="102">
        <f t="shared" ca="1" si="2400"/>
        <v>5</v>
      </c>
      <c r="FW84" s="102">
        <f t="shared" ca="1" si="2400"/>
        <v>6</v>
      </c>
      <c r="FX84" s="102">
        <f t="shared" ca="1" si="2400"/>
        <v>7</v>
      </c>
      <c r="FY84" s="102">
        <f t="shared" ca="1" si="2400"/>
        <v>8</v>
      </c>
      <c r="FZ84" s="102">
        <f t="shared" ca="1" si="2400"/>
        <v>9</v>
      </c>
      <c r="GA84" s="102">
        <f t="shared" ca="1" si="2400"/>
        <v>10</v>
      </c>
      <c r="GB84" s="102">
        <f t="shared" ca="1" si="2400"/>
        <v>11</v>
      </c>
      <c r="GC84" s="102">
        <f t="shared" ca="1" si="2400"/>
        <v>12</v>
      </c>
      <c r="GD84" s="102">
        <f t="shared" ca="1" si="2400"/>
        <v>13</v>
      </c>
      <c r="GE84" s="102">
        <f t="shared" ca="1" si="2400"/>
        <v>14</v>
      </c>
      <c r="GF84" s="102">
        <f t="shared" ca="1" si="2400"/>
        <v>15</v>
      </c>
      <c r="GG84" s="102">
        <f t="shared" ca="1" si="2400"/>
        <v>16</v>
      </c>
      <c r="GH84" s="102">
        <f t="shared" ca="1" si="2400"/>
        <v>17</v>
      </c>
      <c r="GI84" s="102">
        <f t="shared" ca="1" si="2400"/>
        <v>18</v>
      </c>
      <c r="GJ84" s="102">
        <f t="shared" ca="1" si="2400"/>
        <v>19</v>
      </c>
      <c r="GK84" s="102">
        <f t="shared" ca="1" si="2400"/>
        <v>20</v>
      </c>
      <c r="GL84" s="102">
        <f t="shared" ca="1" si="2400"/>
        <v>21</v>
      </c>
      <c r="GM84" s="102">
        <f t="shared" ca="1" si="2400"/>
        <v>22</v>
      </c>
      <c r="GN84" s="102">
        <f t="shared" ca="1" si="2400"/>
        <v>23</v>
      </c>
      <c r="GO84" s="102">
        <f t="shared" ca="1" si="2400"/>
        <v>24</v>
      </c>
      <c r="GP84" s="102">
        <f t="shared" ca="1" si="2400"/>
        <v>25</v>
      </c>
      <c r="GQ84" s="102">
        <f t="shared" ca="1" si="2400"/>
        <v>26</v>
      </c>
      <c r="GR84" s="102">
        <f t="shared" ca="1" si="2400"/>
        <v>27</v>
      </c>
      <c r="GS84" s="102">
        <f t="shared" ca="1" si="2400"/>
        <v>28</v>
      </c>
      <c r="GT84" s="102">
        <f t="shared" ca="1" si="2400"/>
        <v>29</v>
      </c>
      <c r="GU84" s="102">
        <f t="shared" ca="1" si="2400"/>
        <v>30</v>
      </c>
    </row>
    <row r="85" spans="5:203" x14ac:dyDescent="0.25">
      <c r="EI85" s="102" t="str">
        <f t="shared" ref="EI85" si="2401">IF(SUM(EK85:FN85)&gt;5,"X","")</f>
        <v/>
      </c>
      <c r="EK85" s="102" t="str">
        <f t="shared" ref="EK85" si="2402">IF(EK32&lt;&gt;"",IF(OR(RIGHT(J31,4)="*0,5",RIGHT(J31,4)="*0,3"),0.5,1),"")</f>
        <v/>
      </c>
      <c r="EL85" s="102" t="str">
        <f t="shared" ref="EL85" si="2403">IF(EL32&lt;&gt;"",IF(OR(RIGHT(K31,4)="*0,5",RIGHT(K31,4)="*0,3"),0.5,1),"")</f>
        <v/>
      </c>
      <c r="EM85" s="102" t="str">
        <f t="shared" ref="EM85" si="2404">IF(EM32&lt;&gt;"",IF(OR(RIGHT(L31,4)="*0,5",RIGHT(L31,4)="*0,3"),0.5,1),"")</f>
        <v/>
      </c>
      <c r="EN85" s="102" t="str">
        <f t="shared" ref="EN85" si="2405">IF(EN32&lt;&gt;"",IF(OR(RIGHT(M31,4)="*0,5",RIGHT(M31,4)="*0,3"),0.5,1),"")</f>
        <v/>
      </c>
      <c r="EO85" s="102" t="str">
        <f t="shared" ref="EO85" si="2406">IF(EO32&lt;&gt;"",IF(OR(RIGHT(N31,4)="*0,5",RIGHT(N31,4)="*0,3"),0.5,1),"")</f>
        <v/>
      </c>
      <c r="EP85" s="102" t="str">
        <f t="shared" ref="EP85" si="2407">IF(EP32&lt;&gt;"",IF(OR(RIGHT(O31,4)="*0,5",RIGHT(O31,4)="*0,3"),0.5,1),"")</f>
        <v/>
      </c>
      <c r="EQ85" s="102" t="str">
        <f t="shared" ref="EQ85" si="2408">IF(EQ32&lt;&gt;"",IF(OR(RIGHT(P31,4)="*0,5",RIGHT(P31,4)="*0,3"),0.5,1),"")</f>
        <v/>
      </c>
      <c r="ER85" s="102" t="str">
        <f t="shared" ref="ER85" si="2409">IF(ER32&lt;&gt;"",IF(OR(RIGHT(Q31,4)="*0,5",RIGHT(Q31,4)="*0,3"),0.5,1),"")</f>
        <v/>
      </c>
      <c r="ES85" s="102" t="str">
        <f t="shared" ref="ES85" si="2410">IF(ES32&lt;&gt;"",IF(OR(RIGHT(R31,4)="*0,5",RIGHT(R31,4)="*0,3"),0.5,1),"")</f>
        <v/>
      </c>
      <c r="ET85" s="102" t="str">
        <f t="shared" ref="ET85" si="2411">IF(ET32&lt;&gt;"",IF(OR(RIGHT(S31,4)="*0,5",RIGHT(S31,4)="*0,3"),0.5,1),"")</f>
        <v/>
      </c>
      <c r="EU85" s="102" t="str">
        <f t="shared" ref="EU85" si="2412">IF(EU32&lt;&gt;"",IF(OR(RIGHT(T31,4)="*0,5",RIGHT(T31,4)="*0,3"),0.5,1),"")</f>
        <v/>
      </c>
      <c r="EV85" s="102" t="str">
        <f t="shared" ref="EV85" si="2413">IF(EV32&lt;&gt;"",IF(OR(RIGHT(U31,4)="*0,5",RIGHT(U31,4)="*0,3"),0.5,1),"")</f>
        <v/>
      </c>
      <c r="EW85" s="102" t="str">
        <f t="shared" ref="EW85" si="2414">IF(EW32&lt;&gt;"",IF(OR(RIGHT(V31,4)="*0,5",RIGHT(V31,4)="*0,3"),0.5,1),"")</f>
        <v/>
      </c>
      <c r="EX85" s="102" t="str">
        <f t="shared" ref="EX85" si="2415">IF(EX32&lt;&gt;"",IF(OR(RIGHT(W31,4)="*0,5",RIGHT(W31,4)="*0,3"),0.5,1),"")</f>
        <v/>
      </c>
      <c r="EY85" s="102" t="str">
        <f t="shared" ref="EY85" si="2416">IF(EY32&lt;&gt;"",IF(OR(RIGHT(X31,4)="*0,5",RIGHT(X31,4)="*0,3"),0.5,1),"")</f>
        <v/>
      </c>
      <c r="EZ85" s="102" t="str">
        <f t="shared" ref="EZ85" si="2417">IF(EZ32&lt;&gt;"",IF(OR(RIGHT(Y31,4)="*0,5",RIGHT(Y31,4)="*0,3"),0.5,1),"")</f>
        <v/>
      </c>
      <c r="FA85" s="102" t="str">
        <f t="shared" ref="FA85" si="2418">IF(FA32&lt;&gt;"",IF(OR(RIGHT(Z31,4)="*0,5",RIGHT(Z31,4)="*0,3"),0.5,1),"")</f>
        <v/>
      </c>
      <c r="FB85" s="102" t="str">
        <f t="shared" ref="FB85" si="2419">IF(FB32&lt;&gt;"",IF(OR(RIGHT(AA31,4)="*0,5",RIGHT(AA31,4)="*0,3"),0.5,1),"")</f>
        <v/>
      </c>
      <c r="FC85" s="102" t="str">
        <f t="shared" ref="FC85" si="2420">IF(FC32&lt;&gt;"",IF(OR(RIGHT(AB31,4)="*0,5",RIGHT(AB31,4)="*0,3"),0.5,1),"")</f>
        <v/>
      </c>
      <c r="FD85" s="102" t="str">
        <f t="shared" ref="FD85" si="2421">IF(FD32&lt;&gt;"",IF(OR(RIGHT(AC31,4)="*0,5",RIGHT(AC31,4)="*0,3"),0.5,1),"")</f>
        <v/>
      </c>
      <c r="FE85" s="102" t="str">
        <f t="shared" ref="FE85" si="2422">IF(FE32&lt;&gt;"",IF(OR(RIGHT(AD31,4)="*0,5",RIGHT(AD31,4)="*0,3"),0.5,1),"")</f>
        <v/>
      </c>
      <c r="FF85" s="102" t="str">
        <f t="shared" ref="FF85" si="2423">IF(FF32&lt;&gt;"",IF(OR(RIGHT(AE31,4)="*0,5",RIGHT(AE31,4)="*0,3"),0.5,1),"")</f>
        <v/>
      </c>
      <c r="FG85" s="102" t="str">
        <f t="shared" ref="FG85" si="2424">IF(FG32&lt;&gt;"",IF(OR(RIGHT(AF31,4)="*0,5",RIGHT(AF31,4)="*0,3"),0.5,1),"")</f>
        <v/>
      </c>
      <c r="FH85" s="102" t="str">
        <f t="shared" ref="FH85" si="2425">IF(FH32&lt;&gt;"",IF(OR(RIGHT(AG31,4)="*0,5",RIGHT(AG31,4)="*0,3"),0.5,1),"")</f>
        <v/>
      </c>
      <c r="FI85" s="102" t="str">
        <f t="shared" ref="FI85" si="2426">IF(FI32&lt;&gt;"",IF(OR(RIGHT(AH31,4)="*0,5",RIGHT(AH31,4)="*0,3"),0.5,1),"")</f>
        <v/>
      </c>
      <c r="FJ85" s="102" t="str">
        <f t="shared" ref="FJ85" si="2427">IF(FJ32&lt;&gt;"",IF(OR(RIGHT(AI31,4)="*0,5",RIGHT(AI31,4)="*0,3"),0.5,1),"")</f>
        <v/>
      </c>
      <c r="FK85" s="102" t="str">
        <f t="shared" ref="FK85" si="2428">IF(FK32&lt;&gt;"",IF(OR(RIGHT(AJ31,4)="*0,5",RIGHT(AJ31,4)="*0,3"),0.5,1),"")</f>
        <v/>
      </c>
      <c r="FL85" s="102" t="str">
        <f t="shared" ref="FL85" si="2429">IF(FL32&lt;&gt;"",IF(OR(RIGHT(AK31,4)="*0,5",RIGHT(AK31,4)="*0,3"),0.5,1),"")</f>
        <v/>
      </c>
      <c r="FM85" s="102" t="str">
        <f t="shared" ref="FM85" si="2430">IF(FM32&lt;&gt;"",IF(OR(RIGHT(AL31,4)="*0,5",RIGHT(AL31,4)="*0,3"),0.5,1),"")</f>
        <v/>
      </c>
      <c r="FN85" s="102" t="str">
        <f t="shared" ref="FN85" si="2431">IF(FN32&lt;&gt;"",IF(OR(RIGHT(AM31,4)="*0,5",RIGHT(AM31,4)="*0,3"),0.5,1),"")</f>
        <v/>
      </c>
      <c r="FP85" s="105" t="str">
        <f t="shared" ref="FP85" ca="1" si="2432">IFERROR(IF(SUM(FR85:GU85)&gt;2,OFFSET($FR$73,$FO83*5/2,MATCH(1,FR85:GU85,0)-1),""),"")</f>
        <v/>
      </c>
      <c r="FQ85" s="102" t="str">
        <f ca="1">IFERROR(IF(LEFT(FP85,1)="C",IF(RIGHT(FP85,1)="+",LEFT(FP85,LEN(FP85)-1),CONCATENATE(FP85,"+")),IF(SUM($FR85:$GU85)&gt;$FP$18,OFFSET($FR$73,$FO83*5/2,MATCH(0.5,FR85:GU85,0)),"")),"")</f>
        <v/>
      </c>
      <c r="FR85" s="102" t="str">
        <f t="shared" ref="FR85:GU85" ca="1" si="2433">IF(AND($BV$6="D",LEFT(FR83,1)="C"),IF(COUNTIF($FR84:$GU84,FR84)&gt;$FP$18-1,INDEX(Hyb_Tech_Value,MATCH(FR83,Hyb_Code,0)),""),IF(COUNTIF($FR84:$GU84,FR84)&gt;$FP$18,INDEX(Hyb_Tech_Value,MATCH(FR83,Hyb_Code,0)),""))</f>
        <v/>
      </c>
      <c r="FS85" s="102" t="str">
        <f t="shared" ca="1" si="2433"/>
        <v/>
      </c>
      <c r="FT85" s="102" t="str">
        <f t="shared" ca="1" si="2433"/>
        <v/>
      </c>
      <c r="FU85" s="102" t="str">
        <f t="shared" ca="1" si="2433"/>
        <v/>
      </c>
      <c r="FV85" s="102" t="str">
        <f t="shared" ca="1" si="2433"/>
        <v/>
      </c>
      <c r="FW85" s="102" t="str">
        <f t="shared" ca="1" si="2433"/>
        <v/>
      </c>
      <c r="FX85" s="102" t="str">
        <f t="shared" ca="1" si="2433"/>
        <v/>
      </c>
      <c r="FY85" s="102" t="str">
        <f t="shared" ca="1" si="2433"/>
        <v/>
      </c>
      <c r="FZ85" s="102" t="str">
        <f t="shared" ca="1" si="2433"/>
        <v/>
      </c>
      <c r="GA85" s="102" t="str">
        <f t="shared" ca="1" si="2433"/>
        <v/>
      </c>
      <c r="GB85" s="102" t="str">
        <f t="shared" ca="1" si="2433"/>
        <v/>
      </c>
      <c r="GC85" s="102" t="str">
        <f t="shared" ca="1" si="2433"/>
        <v/>
      </c>
      <c r="GD85" s="102" t="str">
        <f t="shared" ca="1" si="2433"/>
        <v/>
      </c>
      <c r="GE85" s="102" t="str">
        <f t="shared" ca="1" si="2433"/>
        <v/>
      </c>
      <c r="GF85" s="102" t="str">
        <f t="shared" ca="1" si="2433"/>
        <v/>
      </c>
      <c r="GG85" s="102" t="str">
        <f t="shared" ca="1" si="2433"/>
        <v/>
      </c>
      <c r="GH85" s="102" t="str">
        <f t="shared" ca="1" si="2433"/>
        <v/>
      </c>
      <c r="GI85" s="102" t="str">
        <f t="shared" ca="1" si="2433"/>
        <v/>
      </c>
      <c r="GJ85" s="102" t="str">
        <f t="shared" ca="1" si="2433"/>
        <v/>
      </c>
      <c r="GK85" s="102" t="str">
        <f t="shared" ca="1" si="2433"/>
        <v/>
      </c>
      <c r="GL85" s="102" t="str">
        <f t="shared" ca="1" si="2433"/>
        <v/>
      </c>
      <c r="GM85" s="102" t="str">
        <f t="shared" ca="1" si="2433"/>
        <v/>
      </c>
      <c r="GN85" s="102" t="str">
        <f t="shared" ca="1" si="2433"/>
        <v/>
      </c>
      <c r="GO85" s="102" t="str">
        <f t="shared" ca="1" si="2433"/>
        <v/>
      </c>
      <c r="GP85" s="102" t="str">
        <f t="shared" ca="1" si="2433"/>
        <v/>
      </c>
      <c r="GQ85" s="102" t="str">
        <f t="shared" ca="1" si="2433"/>
        <v/>
      </c>
      <c r="GR85" s="102" t="str">
        <f t="shared" ca="1" si="2433"/>
        <v/>
      </c>
      <c r="GS85" s="102" t="str">
        <f t="shared" ca="1" si="2433"/>
        <v/>
      </c>
      <c r="GT85" s="102" t="str">
        <f t="shared" ca="1" si="2433"/>
        <v/>
      </c>
      <c r="GU85" s="102" t="str">
        <f t="shared" ca="1" si="2433"/>
        <v/>
      </c>
    </row>
    <row r="86" spans="5:203" x14ac:dyDescent="0.25">
      <c r="EM86" s="105"/>
      <c r="EN86" s="105"/>
      <c r="FQ86" s="102"/>
      <c r="FR86" s="102"/>
      <c r="FS86" s="102"/>
      <c r="FT86" s="102"/>
      <c r="FU86" s="102"/>
      <c r="FV86" s="102"/>
      <c r="FW86" s="102"/>
      <c r="FX86" s="102"/>
      <c r="FY86" s="102"/>
      <c r="FZ86" s="102"/>
      <c r="GA86" s="102"/>
      <c r="GB86" s="102"/>
      <c r="GC86" s="102"/>
      <c r="GD86" s="102"/>
      <c r="GE86" s="102"/>
      <c r="GF86" s="102"/>
      <c r="GG86" s="102"/>
      <c r="GH86" s="102"/>
      <c r="GI86" s="102"/>
      <c r="GJ86" s="102"/>
      <c r="GK86" s="102"/>
      <c r="GL86" s="102"/>
      <c r="GM86" s="102"/>
      <c r="GN86" s="102"/>
      <c r="GO86" s="102"/>
      <c r="GP86" s="102"/>
      <c r="GQ86" s="102"/>
      <c r="GR86" s="102"/>
      <c r="GS86" s="102"/>
      <c r="GT86" s="102"/>
      <c r="GU86" s="102"/>
    </row>
    <row r="87" spans="5:203" x14ac:dyDescent="0.25">
      <c r="EI87" s="102" t="str">
        <f t="shared" ref="EI87" si="2434">IF(SUM(EK87:FN87)&gt;5,"X","")</f>
        <v/>
      </c>
      <c r="EK87" s="102" t="str">
        <f t="shared" ref="EK87" si="2435">IF(EK34&lt;&gt;"",IF(OR(RIGHT(J33,4)="*0,5",RIGHT(J33,4)="*0,3"),0.5,1),"")</f>
        <v/>
      </c>
      <c r="EL87" s="102" t="str">
        <f t="shared" ref="EL87" si="2436">IF(EL34&lt;&gt;"",IF(OR(RIGHT(K33,4)="*0,5",RIGHT(K33,4)="*0,3"),0.5,1),"")</f>
        <v/>
      </c>
      <c r="EM87" s="102" t="str">
        <f t="shared" ref="EM87" si="2437">IF(EM34&lt;&gt;"",IF(OR(RIGHT(L33,4)="*0,5",RIGHT(L33,4)="*0,3"),0.5,1),"")</f>
        <v/>
      </c>
      <c r="EN87" s="102" t="str">
        <f t="shared" ref="EN87" si="2438">IF(EN34&lt;&gt;"",IF(OR(RIGHT(M33,4)="*0,5",RIGHT(M33,4)="*0,3"),0.5,1),"")</f>
        <v/>
      </c>
      <c r="EO87" s="102" t="str">
        <f t="shared" ref="EO87" si="2439">IF(EO34&lt;&gt;"",IF(OR(RIGHT(N33,4)="*0,5",RIGHT(N33,4)="*0,3"),0.5,1),"")</f>
        <v/>
      </c>
      <c r="EP87" s="102" t="str">
        <f t="shared" ref="EP87" si="2440">IF(EP34&lt;&gt;"",IF(OR(RIGHT(O33,4)="*0,5",RIGHT(O33,4)="*0,3"),0.5,1),"")</f>
        <v/>
      </c>
      <c r="EQ87" s="102" t="str">
        <f t="shared" ref="EQ87" si="2441">IF(EQ34&lt;&gt;"",IF(OR(RIGHT(P33,4)="*0,5",RIGHT(P33,4)="*0,3"),0.5,1),"")</f>
        <v/>
      </c>
      <c r="ER87" s="102" t="str">
        <f t="shared" ref="ER87" si="2442">IF(ER34&lt;&gt;"",IF(OR(RIGHT(Q33,4)="*0,5",RIGHT(Q33,4)="*0,3"),0.5,1),"")</f>
        <v/>
      </c>
      <c r="ES87" s="102" t="str">
        <f t="shared" ref="ES87" si="2443">IF(ES34&lt;&gt;"",IF(OR(RIGHT(R33,4)="*0,5",RIGHT(R33,4)="*0,3"),0.5,1),"")</f>
        <v/>
      </c>
      <c r="ET87" s="102" t="str">
        <f t="shared" ref="ET87" si="2444">IF(ET34&lt;&gt;"",IF(OR(RIGHT(S33,4)="*0,5",RIGHT(S33,4)="*0,3"),0.5,1),"")</f>
        <v/>
      </c>
      <c r="EU87" s="102" t="str">
        <f t="shared" ref="EU87" si="2445">IF(EU34&lt;&gt;"",IF(OR(RIGHT(T33,4)="*0,5",RIGHT(T33,4)="*0,3"),0.5,1),"")</f>
        <v/>
      </c>
      <c r="EV87" s="102" t="str">
        <f t="shared" ref="EV87" si="2446">IF(EV34&lt;&gt;"",IF(OR(RIGHT(U33,4)="*0,5",RIGHT(U33,4)="*0,3"),0.5,1),"")</f>
        <v/>
      </c>
      <c r="EW87" s="102" t="str">
        <f t="shared" ref="EW87" si="2447">IF(EW34&lt;&gt;"",IF(OR(RIGHT(V33,4)="*0,5",RIGHT(V33,4)="*0,3"),0.5,1),"")</f>
        <v/>
      </c>
      <c r="EX87" s="102" t="str">
        <f t="shared" ref="EX87" si="2448">IF(EX34&lt;&gt;"",IF(OR(RIGHT(W33,4)="*0,5",RIGHT(W33,4)="*0,3"),0.5,1),"")</f>
        <v/>
      </c>
      <c r="EY87" s="102" t="str">
        <f t="shared" ref="EY87" si="2449">IF(EY34&lt;&gt;"",IF(OR(RIGHT(X33,4)="*0,5",RIGHT(X33,4)="*0,3"),0.5,1),"")</f>
        <v/>
      </c>
      <c r="EZ87" s="102" t="str">
        <f t="shared" ref="EZ87" si="2450">IF(EZ34&lt;&gt;"",IF(OR(RIGHT(Y33,4)="*0,5",RIGHT(Y33,4)="*0,3"),0.5,1),"")</f>
        <v/>
      </c>
      <c r="FA87" s="102" t="str">
        <f t="shared" ref="FA87" si="2451">IF(FA34&lt;&gt;"",IF(OR(RIGHT(Z33,4)="*0,5",RIGHT(Z33,4)="*0,3"),0.5,1),"")</f>
        <v/>
      </c>
      <c r="FB87" s="102" t="str">
        <f t="shared" ref="FB87" si="2452">IF(FB34&lt;&gt;"",IF(OR(RIGHT(AA33,4)="*0,5",RIGHT(AA33,4)="*0,3"),0.5,1),"")</f>
        <v/>
      </c>
      <c r="FC87" s="102" t="str">
        <f t="shared" ref="FC87" si="2453">IF(FC34&lt;&gt;"",IF(OR(RIGHT(AB33,4)="*0,5",RIGHT(AB33,4)="*0,3"),0.5,1),"")</f>
        <v/>
      </c>
      <c r="FD87" s="102" t="str">
        <f t="shared" ref="FD87" si="2454">IF(FD34&lt;&gt;"",IF(OR(RIGHT(AC33,4)="*0,5",RIGHT(AC33,4)="*0,3"),0.5,1),"")</f>
        <v/>
      </c>
      <c r="FE87" s="102" t="str">
        <f t="shared" ref="FE87" si="2455">IF(FE34&lt;&gt;"",IF(OR(RIGHT(AD33,4)="*0,5",RIGHT(AD33,4)="*0,3"),0.5,1),"")</f>
        <v/>
      </c>
      <c r="FF87" s="102" t="str">
        <f t="shared" ref="FF87" si="2456">IF(FF34&lt;&gt;"",IF(OR(RIGHT(AE33,4)="*0,5",RIGHT(AE33,4)="*0,3"),0.5,1),"")</f>
        <v/>
      </c>
      <c r="FG87" s="102" t="str">
        <f t="shared" ref="FG87" si="2457">IF(FG34&lt;&gt;"",IF(OR(RIGHT(AF33,4)="*0,5",RIGHT(AF33,4)="*0,3"),0.5,1),"")</f>
        <v/>
      </c>
      <c r="FH87" s="102" t="str">
        <f t="shared" ref="FH87" si="2458">IF(FH34&lt;&gt;"",IF(OR(RIGHT(AG33,4)="*0,5",RIGHT(AG33,4)="*0,3"),0.5,1),"")</f>
        <v/>
      </c>
      <c r="FI87" s="102" t="str">
        <f t="shared" ref="FI87" si="2459">IF(FI34&lt;&gt;"",IF(OR(RIGHT(AH33,4)="*0,5",RIGHT(AH33,4)="*0,3"),0.5,1),"")</f>
        <v/>
      </c>
      <c r="FJ87" s="102" t="str">
        <f t="shared" ref="FJ87" si="2460">IF(FJ34&lt;&gt;"",IF(OR(RIGHT(AI33,4)="*0,5",RIGHT(AI33,4)="*0,3"),0.5,1),"")</f>
        <v/>
      </c>
      <c r="FK87" s="102" t="str">
        <f t="shared" ref="FK87" si="2461">IF(FK34&lt;&gt;"",IF(OR(RIGHT(AJ33,4)="*0,5",RIGHT(AJ33,4)="*0,3"),0.5,1),"")</f>
        <v/>
      </c>
      <c r="FL87" s="102" t="str">
        <f t="shared" ref="FL87" si="2462">IF(FL34&lt;&gt;"",IF(OR(RIGHT(AK33,4)="*0,5",RIGHT(AK33,4)="*0,3"),0.5,1),"")</f>
        <v/>
      </c>
      <c r="FM87" s="102" t="str">
        <f t="shared" ref="FM87" si="2463">IF(FM34&lt;&gt;"",IF(OR(RIGHT(AL33,4)="*0,5",RIGHT(AL33,4)="*0,3"),0.5,1),"")</f>
        <v/>
      </c>
      <c r="FN87" s="102" t="str">
        <f t="shared" ref="FN87" si="2464">IF(FN34&lt;&gt;"",IF(OR(RIGHT(AM33,4)="*0,5",RIGHT(AM33,4)="*0,3"),0.5,1),"")</f>
        <v/>
      </c>
      <c r="FQ87" s="102"/>
      <c r="FR87" s="102"/>
      <c r="FS87" s="102"/>
      <c r="FT87" s="102"/>
      <c r="FU87" s="102"/>
      <c r="FV87" s="102"/>
      <c r="FW87" s="102"/>
      <c r="FX87" s="102"/>
      <c r="FY87" s="102"/>
      <c r="FZ87" s="102"/>
      <c r="GA87" s="102"/>
      <c r="GB87" s="102"/>
      <c r="GC87" s="102"/>
      <c r="GD87" s="102"/>
      <c r="GE87" s="102"/>
      <c r="GF87" s="102"/>
      <c r="GG87" s="102"/>
      <c r="GH87" s="102"/>
      <c r="GI87" s="102"/>
      <c r="GJ87" s="102"/>
      <c r="GK87" s="102"/>
      <c r="GL87" s="102"/>
      <c r="GM87" s="102"/>
      <c r="GN87" s="102"/>
      <c r="GO87" s="102"/>
      <c r="GP87" s="102"/>
      <c r="GQ87" s="102"/>
      <c r="GR87" s="102"/>
      <c r="GS87" s="102"/>
      <c r="GT87" s="102"/>
      <c r="GU87" s="102"/>
    </row>
    <row r="88" spans="5:203" x14ac:dyDescent="0.25">
      <c r="EM88" s="105"/>
      <c r="EN88" s="105"/>
      <c r="FO88" s="105">
        <v>6</v>
      </c>
      <c r="FP88" s="102"/>
      <c r="FQ88" s="102"/>
      <c r="FR88" s="102">
        <f t="shared" ref="FR88:GU88" ca="1" si="2465">IFERROR(IF(AND(OFFSET($E$20,$FO88,0)="H",OFFSET(J$19,$FO88,0)&lt;&gt;""),UPPER(OFFSET(J$19,$FO88,0)),FR$18),FR$18)</f>
        <v>1</v>
      </c>
      <c r="FS88" s="102">
        <f t="shared" ca="1" si="2465"/>
        <v>2</v>
      </c>
      <c r="FT88" s="102">
        <f t="shared" ca="1" si="2465"/>
        <v>3</v>
      </c>
      <c r="FU88" s="102">
        <f t="shared" ca="1" si="2465"/>
        <v>4</v>
      </c>
      <c r="FV88" s="102">
        <f t="shared" ca="1" si="2465"/>
        <v>5</v>
      </c>
      <c r="FW88" s="102">
        <f t="shared" ca="1" si="2465"/>
        <v>6</v>
      </c>
      <c r="FX88" s="102">
        <f t="shared" ca="1" si="2465"/>
        <v>7</v>
      </c>
      <c r="FY88" s="102">
        <f t="shared" ca="1" si="2465"/>
        <v>8</v>
      </c>
      <c r="FZ88" s="102">
        <f t="shared" ca="1" si="2465"/>
        <v>9</v>
      </c>
      <c r="GA88" s="102">
        <f t="shared" ca="1" si="2465"/>
        <v>10</v>
      </c>
      <c r="GB88" s="102">
        <f t="shared" ca="1" si="2465"/>
        <v>11</v>
      </c>
      <c r="GC88" s="102">
        <f t="shared" ca="1" si="2465"/>
        <v>12</v>
      </c>
      <c r="GD88" s="102">
        <f t="shared" ca="1" si="2465"/>
        <v>13</v>
      </c>
      <c r="GE88" s="102">
        <f t="shared" ca="1" si="2465"/>
        <v>14</v>
      </c>
      <c r="GF88" s="102">
        <f t="shared" ca="1" si="2465"/>
        <v>15</v>
      </c>
      <c r="GG88" s="102">
        <f t="shared" ca="1" si="2465"/>
        <v>16</v>
      </c>
      <c r="GH88" s="102">
        <f t="shared" ca="1" si="2465"/>
        <v>17</v>
      </c>
      <c r="GI88" s="102">
        <f t="shared" ca="1" si="2465"/>
        <v>18</v>
      </c>
      <c r="GJ88" s="102">
        <f t="shared" ca="1" si="2465"/>
        <v>19</v>
      </c>
      <c r="GK88" s="102">
        <f t="shared" ca="1" si="2465"/>
        <v>20</v>
      </c>
      <c r="GL88" s="102">
        <f t="shared" ca="1" si="2465"/>
        <v>21</v>
      </c>
      <c r="GM88" s="102">
        <f t="shared" ca="1" si="2465"/>
        <v>22</v>
      </c>
      <c r="GN88" s="102">
        <f t="shared" ca="1" si="2465"/>
        <v>23</v>
      </c>
      <c r="GO88" s="102">
        <f t="shared" ca="1" si="2465"/>
        <v>24</v>
      </c>
      <c r="GP88" s="102">
        <f t="shared" ca="1" si="2465"/>
        <v>25</v>
      </c>
      <c r="GQ88" s="102">
        <f t="shared" ca="1" si="2465"/>
        <v>26</v>
      </c>
      <c r="GR88" s="102">
        <f t="shared" ca="1" si="2465"/>
        <v>27</v>
      </c>
      <c r="GS88" s="102">
        <f t="shared" ca="1" si="2465"/>
        <v>28</v>
      </c>
      <c r="GT88" s="102">
        <f t="shared" ca="1" si="2465"/>
        <v>29</v>
      </c>
      <c r="GU88" s="102">
        <f t="shared" ca="1" si="2465"/>
        <v>30</v>
      </c>
    </row>
    <row r="89" spans="5:203" x14ac:dyDescent="0.25">
      <c r="EI89" s="102" t="str">
        <f t="shared" ref="EI89" si="2466">IF(SUM(EK89:FN89)&gt;5,"X","")</f>
        <v/>
      </c>
      <c r="EK89" s="102" t="str">
        <f t="shared" ref="EK89" si="2467">IF(EK36&lt;&gt;"",IF(OR(RIGHT(J35,4)="*0,5",RIGHT(J35,4)="*0,3"),0.5,1),"")</f>
        <v/>
      </c>
      <c r="EL89" s="102" t="str">
        <f t="shared" ref="EL89" si="2468">IF(EL36&lt;&gt;"",IF(OR(RIGHT(K35,4)="*0,5",RIGHT(K35,4)="*0,3"),0.5,1),"")</f>
        <v/>
      </c>
      <c r="EM89" s="102" t="str">
        <f t="shared" ref="EM89" si="2469">IF(EM36&lt;&gt;"",IF(OR(RIGHT(L35,4)="*0,5",RIGHT(L35,4)="*0,3"),0.5,1),"")</f>
        <v/>
      </c>
      <c r="EN89" s="102" t="str">
        <f t="shared" ref="EN89" si="2470">IF(EN36&lt;&gt;"",IF(OR(RIGHT(M35,4)="*0,5",RIGHT(M35,4)="*0,3"),0.5,1),"")</f>
        <v/>
      </c>
      <c r="EO89" s="102" t="str">
        <f t="shared" ref="EO89" si="2471">IF(EO36&lt;&gt;"",IF(OR(RIGHT(N35,4)="*0,5",RIGHT(N35,4)="*0,3"),0.5,1),"")</f>
        <v/>
      </c>
      <c r="EP89" s="102" t="str">
        <f t="shared" ref="EP89" si="2472">IF(EP36&lt;&gt;"",IF(OR(RIGHT(O35,4)="*0,5",RIGHT(O35,4)="*0,3"),0.5,1),"")</f>
        <v/>
      </c>
      <c r="EQ89" s="102" t="str">
        <f t="shared" ref="EQ89" si="2473">IF(EQ36&lt;&gt;"",IF(OR(RIGHT(P35,4)="*0,5",RIGHT(P35,4)="*0,3"),0.5,1),"")</f>
        <v/>
      </c>
      <c r="ER89" s="102" t="str">
        <f t="shared" ref="ER89" si="2474">IF(ER36&lt;&gt;"",IF(OR(RIGHT(Q35,4)="*0,5",RIGHT(Q35,4)="*0,3"),0.5,1),"")</f>
        <v/>
      </c>
      <c r="ES89" s="102" t="str">
        <f t="shared" ref="ES89" si="2475">IF(ES36&lt;&gt;"",IF(OR(RIGHT(R35,4)="*0,5",RIGHT(R35,4)="*0,3"),0.5,1),"")</f>
        <v/>
      </c>
      <c r="ET89" s="102" t="str">
        <f t="shared" ref="ET89" si="2476">IF(ET36&lt;&gt;"",IF(OR(RIGHT(S35,4)="*0,5",RIGHT(S35,4)="*0,3"),0.5,1),"")</f>
        <v/>
      </c>
      <c r="EU89" s="102" t="str">
        <f t="shared" ref="EU89" si="2477">IF(EU36&lt;&gt;"",IF(OR(RIGHT(T35,4)="*0,5",RIGHT(T35,4)="*0,3"),0.5,1),"")</f>
        <v/>
      </c>
      <c r="EV89" s="102" t="str">
        <f t="shared" ref="EV89" si="2478">IF(EV36&lt;&gt;"",IF(OR(RIGHT(U35,4)="*0,5",RIGHT(U35,4)="*0,3"),0.5,1),"")</f>
        <v/>
      </c>
      <c r="EW89" s="102" t="str">
        <f t="shared" ref="EW89" si="2479">IF(EW36&lt;&gt;"",IF(OR(RIGHT(V35,4)="*0,5",RIGHT(V35,4)="*0,3"),0.5,1),"")</f>
        <v/>
      </c>
      <c r="EX89" s="102" t="str">
        <f t="shared" ref="EX89" si="2480">IF(EX36&lt;&gt;"",IF(OR(RIGHT(W35,4)="*0,5",RIGHT(W35,4)="*0,3"),0.5,1),"")</f>
        <v/>
      </c>
      <c r="EY89" s="102" t="str">
        <f t="shared" ref="EY89" si="2481">IF(EY36&lt;&gt;"",IF(OR(RIGHT(X35,4)="*0,5",RIGHT(X35,4)="*0,3"),0.5,1),"")</f>
        <v/>
      </c>
      <c r="EZ89" s="102" t="str">
        <f t="shared" ref="EZ89" si="2482">IF(EZ36&lt;&gt;"",IF(OR(RIGHT(Y35,4)="*0,5",RIGHT(Y35,4)="*0,3"),0.5,1),"")</f>
        <v/>
      </c>
      <c r="FA89" s="102" t="str">
        <f t="shared" ref="FA89" si="2483">IF(FA36&lt;&gt;"",IF(OR(RIGHT(Z35,4)="*0,5",RIGHT(Z35,4)="*0,3"),0.5,1),"")</f>
        <v/>
      </c>
      <c r="FB89" s="102" t="str">
        <f t="shared" ref="FB89" si="2484">IF(FB36&lt;&gt;"",IF(OR(RIGHT(AA35,4)="*0,5",RIGHT(AA35,4)="*0,3"),0.5,1),"")</f>
        <v/>
      </c>
      <c r="FC89" s="102" t="str">
        <f t="shared" ref="FC89" si="2485">IF(FC36&lt;&gt;"",IF(OR(RIGHT(AB35,4)="*0,5",RIGHT(AB35,4)="*0,3"),0.5,1),"")</f>
        <v/>
      </c>
      <c r="FD89" s="102" t="str">
        <f t="shared" ref="FD89" si="2486">IF(FD36&lt;&gt;"",IF(OR(RIGHT(AC35,4)="*0,5",RIGHT(AC35,4)="*0,3"),0.5,1),"")</f>
        <v/>
      </c>
      <c r="FE89" s="102" t="str">
        <f t="shared" ref="FE89" si="2487">IF(FE36&lt;&gt;"",IF(OR(RIGHT(AD35,4)="*0,5",RIGHT(AD35,4)="*0,3"),0.5,1),"")</f>
        <v/>
      </c>
      <c r="FF89" s="102" t="str">
        <f t="shared" ref="FF89" si="2488">IF(FF36&lt;&gt;"",IF(OR(RIGHT(AE35,4)="*0,5",RIGHT(AE35,4)="*0,3"),0.5,1),"")</f>
        <v/>
      </c>
      <c r="FG89" s="102" t="str">
        <f t="shared" ref="FG89" si="2489">IF(FG36&lt;&gt;"",IF(OR(RIGHT(AF35,4)="*0,5",RIGHT(AF35,4)="*0,3"),0.5,1),"")</f>
        <v/>
      </c>
      <c r="FH89" s="102" t="str">
        <f t="shared" ref="FH89" si="2490">IF(FH36&lt;&gt;"",IF(OR(RIGHT(AG35,4)="*0,5",RIGHT(AG35,4)="*0,3"),0.5,1),"")</f>
        <v/>
      </c>
      <c r="FI89" s="102" t="str">
        <f t="shared" ref="FI89" si="2491">IF(FI36&lt;&gt;"",IF(OR(RIGHT(AH35,4)="*0,5",RIGHT(AH35,4)="*0,3"),0.5,1),"")</f>
        <v/>
      </c>
      <c r="FJ89" s="102" t="str">
        <f t="shared" ref="FJ89" si="2492">IF(FJ36&lt;&gt;"",IF(OR(RIGHT(AI35,4)="*0,5",RIGHT(AI35,4)="*0,3"),0.5,1),"")</f>
        <v/>
      </c>
      <c r="FK89" s="102" t="str">
        <f t="shared" ref="FK89" si="2493">IF(FK36&lt;&gt;"",IF(OR(RIGHT(AJ35,4)="*0,5",RIGHT(AJ35,4)="*0,3"),0.5,1),"")</f>
        <v/>
      </c>
      <c r="FL89" s="102" t="str">
        <f t="shared" ref="FL89" si="2494">IF(FL36&lt;&gt;"",IF(OR(RIGHT(AK35,4)="*0,5",RIGHT(AK35,4)="*0,3"),0.5,1),"")</f>
        <v/>
      </c>
      <c r="FM89" s="102" t="str">
        <f t="shared" ref="FM89" si="2495">IF(FM36&lt;&gt;"",IF(OR(RIGHT(AL35,4)="*0,5",RIGHT(AL35,4)="*0,3"),0.5,1),"")</f>
        <v/>
      </c>
      <c r="FN89" s="102" t="str">
        <f t="shared" ref="FN89" si="2496">IF(FN36&lt;&gt;"",IF(OR(RIGHT(AM35,4)="*0,5",RIGHT(AM35,4)="*0,3"),0.5,1),"")</f>
        <v/>
      </c>
      <c r="FR89" s="102">
        <f t="shared" ref="FR89:GU89" ca="1" si="2497">IFERROR(IF(AND(OFFSET($E$20,$FO88,0)="H",OFFSET(J$19,$FO88,0)&lt;&gt;"",OFFSET($F34,$FO88,0)&lt;&gt;"Hybrid - Thrust + 2 connections"),INDEX(Hyb_Tech,MATCH(OFFSET(J$19,$FO88,0),Hyb_Code,0)),FR$72),FR$72)</f>
        <v>1</v>
      </c>
      <c r="FS89" s="102">
        <f t="shared" ca="1" si="2497"/>
        <v>2</v>
      </c>
      <c r="FT89" s="102">
        <f t="shared" ca="1" si="2497"/>
        <v>3</v>
      </c>
      <c r="FU89" s="102">
        <f t="shared" ca="1" si="2497"/>
        <v>4</v>
      </c>
      <c r="FV89" s="102">
        <f t="shared" ca="1" si="2497"/>
        <v>5</v>
      </c>
      <c r="FW89" s="102">
        <f t="shared" ca="1" si="2497"/>
        <v>6</v>
      </c>
      <c r="FX89" s="102">
        <f t="shared" ca="1" si="2497"/>
        <v>7</v>
      </c>
      <c r="FY89" s="102">
        <f t="shared" ca="1" si="2497"/>
        <v>8</v>
      </c>
      <c r="FZ89" s="102">
        <f t="shared" ca="1" si="2497"/>
        <v>9</v>
      </c>
      <c r="GA89" s="102">
        <f t="shared" ca="1" si="2497"/>
        <v>10</v>
      </c>
      <c r="GB89" s="102">
        <f t="shared" ca="1" si="2497"/>
        <v>11</v>
      </c>
      <c r="GC89" s="102">
        <f t="shared" ca="1" si="2497"/>
        <v>12</v>
      </c>
      <c r="GD89" s="102">
        <f t="shared" ca="1" si="2497"/>
        <v>13</v>
      </c>
      <c r="GE89" s="102">
        <f t="shared" ca="1" si="2497"/>
        <v>14</v>
      </c>
      <c r="GF89" s="102">
        <f t="shared" ca="1" si="2497"/>
        <v>15</v>
      </c>
      <c r="GG89" s="102">
        <f t="shared" ca="1" si="2497"/>
        <v>16</v>
      </c>
      <c r="GH89" s="102">
        <f t="shared" ca="1" si="2497"/>
        <v>17</v>
      </c>
      <c r="GI89" s="102">
        <f t="shared" ca="1" si="2497"/>
        <v>18</v>
      </c>
      <c r="GJ89" s="102">
        <f t="shared" ca="1" si="2497"/>
        <v>19</v>
      </c>
      <c r="GK89" s="102">
        <f t="shared" ca="1" si="2497"/>
        <v>20</v>
      </c>
      <c r="GL89" s="102">
        <f t="shared" ca="1" si="2497"/>
        <v>21</v>
      </c>
      <c r="GM89" s="102">
        <f t="shared" ca="1" si="2497"/>
        <v>22</v>
      </c>
      <c r="GN89" s="102">
        <f t="shared" ca="1" si="2497"/>
        <v>23</v>
      </c>
      <c r="GO89" s="102">
        <f t="shared" ca="1" si="2497"/>
        <v>24</v>
      </c>
      <c r="GP89" s="102">
        <f t="shared" ca="1" si="2497"/>
        <v>25</v>
      </c>
      <c r="GQ89" s="102">
        <f t="shared" ca="1" si="2497"/>
        <v>26</v>
      </c>
      <c r="GR89" s="102">
        <f t="shared" ca="1" si="2497"/>
        <v>27</v>
      </c>
      <c r="GS89" s="102">
        <f t="shared" ca="1" si="2497"/>
        <v>28</v>
      </c>
      <c r="GT89" s="102">
        <f t="shared" ca="1" si="2497"/>
        <v>29</v>
      </c>
      <c r="GU89" s="102">
        <f t="shared" ca="1" si="2497"/>
        <v>30</v>
      </c>
    </row>
    <row r="90" spans="5:203" x14ac:dyDescent="0.25">
      <c r="EM90" s="105"/>
      <c r="EN90" s="105"/>
      <c r="FP90" s="105" t="str">
        <f t="shared" ref="FP90" ca="1" si="2498">IFERROR(IF(SUM(FR90:GU90)&gt;2,OFFSET($FR$73,$FO88*5/2,MATCH(1,FR90:GU90,0)-1),""),"")</f>
        <v/>
      </c>
      <c r="FQ90" s="102" t="str">
        <f ca="1">IFERROR(IF(LEFT(FP90,1)="C",IF(RIGHT(FP90,1)="+",LEFT(FP90,LEN(FP90)-1),CONCATENATE(FP90,"+")),IF(SUM($FR90:$GU90)&gt;$FP$18,OFFSET($FR$73,$FO88*5/2,MATCH(0.5,FR90:GU90,0)),"")),"")</f>
        <v/>
      </c>
      <c r="FR90" s="102" t="str">
        <f t="shared" ref="FR90:GU90" ca="1" si="2499">IF(AND($BV$6="D",LEFT(FR88,1)="C"),IF(COUNTIF($FR89:$GU89,FR89)&gt;$FP$18-1,INDEX(Hyb_Tech_Value,MATCH(FR88,Hyb_Code,0)),""),IF(COUNTIF($FR89:$GU89,FR89)&gt;$FP$18,INDEX(Hyb_Tech_Value,MATCH(FR88,Hyb_Code,0)),""))</f>
        <v/>
      </c>
      <c r="FS90" s="102" t="str">
        <f t="shared" ca="1" si="2499"/>
        <v/>
      </c>
      <c r="FT90" s="102" t="str">
        <f t="shared" ca="1" si="2499"/>
        <v/>
      </c>
      <c r="FU90" s="102" t="str">
        <f t="shared" ca="1" si="2499"/>
        <v/>
      </c>
      <c r="FV90" s="102" t="str">
        <f t="shared" ca="1" si="2499"/>
        <v/>
      </c>
      <c r="FW90" s="102" t="str">
        <f t="shared" ca="1" si="2499"/>
        <v/>
      </c>
      <c r="FX90" s="102" t="str">
        <f t="shared" ca="1" si="2499"/>
        <v/>
      </c>
      <c r="FY90" s="102" t="str">
        <f t="shared" ca="1" si="2499"/>
        <v/>
      </c>
      <c r="FZ90" s="102" t="str">
        <f t="shared" ca="1" si="2499"/>
        <v/>
      </c>
      <c r="GA90" s="102" t="str">
        <f t="shared" ca="1" si="2499"/>
        <v/>
      </c>
      <c r="GB90" s="102" t="str">
        <f t="shared" ca="1" si="2499"/>
        <v/>
      </c>
      <c r="GC90" s="102" t="str">
        <f t="shared" ca="1" si="2499"/>
        <v/>
      </c>
      <c r="GD90" s="102" t="str">
        <f t="shared" ca="1" si="2499"/>
        <v/>
      </c>
      <c r="GE90" s="102" t="str">
        <f t="shared" ca="1" si="2499"/>
        <v/>
      </c>
      <c r="GF90" s="102" t="str">
        <f t="shared" ca="1" si="2499"/>
        <v/>
      </c>
      <c r="GG90" s="102" t="str">
        <f t="shared" ca="1" si="2499"/>
        <v/>
      </c>
      <c r="GH90" s="102" t="str">
        <f t="shared" ca="1" si="2499"/>
        <v/>
      </c>
      <c r="GI90" s="102" t="str">
        <f t="shared" ca="1" si="2499"/>
        <v/>
      </c>
      <c r="GJ90" s="102" t="str">
        <f t="shared" ca="1" si="2499"/>
        <v/>
      </c>
      <c r="GK90" s="102" t="str">
        <f t="shared" ca="1" si="2499"/>
        <v/>
      </c>
      <c r="GL90" s="102" t="str">
        <f t="shared" ca="1" si="2499"/>
        <v/>
      </c>
      <c r="GM90" s="102" t="str">
        <f t="shared" ca="1" si="2499"/>
        <v/>
      </c>
      <c r="GN90" s="102" t="str">
        <f t="shared" ca="1" si="2499"/>
        <v/>
      </c>
      <c r="GO90" s="102" t="str">
        <f t="shared" ca="1" si="2499"/>
        <v/>
      </c>
      <c r="GP90" s="102" t="str">
        <f t="shared" ca="1" si="2499"/>
        <v/>
      </c>
      <c r="GQ90" s="102" t="str">
        <f t="shared" ca="1" si="2499"/>
        <v/>
      </c>
      <c r="GR90" s="102" t="str">
        <f t="shared" ca="1" si="2499"/>
        <v/>
      </c>
      <c r="GS90" s="102" t="str">
        <f t="shared" ca="1" si="2499"/>
        <v/>
      </c>
      <c r="GT90" s="102" t="str">
        <f t="shared" ca="1" si="2499"/>
        <v/>
      </c>
      <c r="GU90" s="102" t="str">
        <f t="shared" ca="1" si="2499"/>
        <v/>
      </c>
    </row>
    <row r="91" spans="5:203" x14ac:dyDescent="0.25">
      <c r="F91" s="73" t="s">
        <v>1362</v>
      </c>
      <c r="G91" s="132">
        <v>45316</v>
      </c>
      <c r="H91" s="133"/>
      <c r="I91" s="135" t="s">
        <v>1363</v>
      </c>
      <c r="J91" s="12" t="s">
        <v>1364</v>
      </c>
      <c r="EI91" s="102" t="str">
        <f t="shared" ref="EI91" si="2500">IF(SUM(EK91:FN91)&gt;5,"X","")</f>
        <v/>
      </c>
      <c r="EK91" s="102" t="str">
        <f t="shared" ref="EK91" si="2501">IF(EK38&lt;&gt;"",IF(OR(RIGHT(J37,4)="*0,5",RIGHT(J37,4)="*0,3"),0.5,1),"")</f>
        <v/>
      </c>
      <c r="EL91" s="102" t="str">
        <f t="shared" ref="EL91" si="2502">IF(EL38&lt;&gt;"",IF(OR(RIGHT(K37,4)="*0,5",RIGHT(K37,4)="*0,3"),0.5,1),"")</f>
        <v/>
      </c>
      <c r="EM91" s="102" t="str">
        <f t="shared" ref="EM91" si="2503">IF(EM38&lt;&gt;"",IF(OR(RIGHT(L37,4)="*0,5",RIGHT(L37,4)="*0,3"),0.5,1),"")</f>
        <v/>
      </c>
      <c r="EN91" s="102" t="str">
        <f t="shared" ref="EN91" si="2504">IF(EN38&lt;&gt;"",IF(OR(RIGHT(M37,4)="*0,5",RIGHT(M37,4)="*0,3"),0.5,1),"")</f>
        <v/>
      </c>
      <c r="EO91" s="102" t="str">
        <f t="shared" ref="EO91" si="2505">IF(EO38&lt;&gt;"",IF(OR(RIGHT(N37,4)="*0,5",RIGHT(N37,4)="*0,3"),0.5,1),"")</f>
        <v/>
      </c>
      <c r="EP91" s="102" t="str">
        <f t="shared" ref="EP91" si="2506">IF(EP38&lt;&gt;"",IF(OR(RIGHT(O37,4)="*0,5",RIGHT(O37,4)="*0,3"),0.5,1),"")</f>
        <v/>
      </c>
      <c r="EQ91" s="102" t="str">
        <f t="shared" ref="EQ91" si="2507">IF(EQ38&lt;&gt;"",IF(OR(RIGHT(P37,4)="*0,5",RIGHT(P37,4)="*0,3"),0.5,1),"")</f>
        <v/>
      </c>
      <c r="ER91" s="102" t="str">
        <f t="shared" ref="ER91" si="2508">IF(ER38&lt;&gt;"",IF(OR(RIGHT(Q37,4)="*0,5",RIGHT(Q37,4)="*0,3"),0.5,1),"")</f>
        <v/>
      </c>
      <c r="ES91" s="102" t="str">
        <f t="shared" ref="ES91" si="2509">IF(ES38&lt;&gt;"",IF(OR(RIGHT(R37,4)="*0,5",RIGHT(R37,4)="*0,3"),0.5,1),"")</f>
        <v/>
      </c>
      <c r="ET91" s="102" t="str">
        <f t="shared" ref="ET91" si="2510">IF(ET38&lt;&gt;"",IF(OR(RIGHT(S37,4)="*0,5",RIGHT(S37,4)="*0,3"),0.5,1),"")</f>
        <v/>
      </c>
      <c r="EU91" s="102" t="str">
        <f t="shared" ref="EU91" si="2511">IF(EU38&lt;&gt;"",IF(OR(RIGHT(T37,4)="*0,5",RIGHT(T37,4)="*0,3"),0.5,1),"")</f>
        <v/>
      </c>
      <c r="EV91" s="102" t="str">
        <f t="shared" ref="EV91" si="2512">IF(EV38&lt;&gt;"",IF(OR(RIGHT(U37,4)="*0,5",RIGHT(U37,4)="*0,3"),0.5,1),"")</f>
        <v/>
      </c>
      <c r="EW91" s="102" t="str">
        <f t="shared" ref="EW91" si="2513">IF(EW38&lt;&gt;"",IF(OR(RIGHT(V37,4)="*0,5",RIGHT(V37,4)="*0,3"),0.5,1),"")</f>
        <v/>
      </c>
      <c r="EX91" s="102" t="str">
        <f t="shared" ref="EX91" si="2514">IF(EX38&lt;&gt;"",IF(OR(RIGHT(W37,4)="*0,5",RIGHT(W37,4)="*0,3"),0.5,1),"")</f>
        <v/>
      </c>
      <c r="EY91" s="102" t="str">
        <f t="shared" ref="EY91" si="2515">IF(EY38&lt;&gt;"",IF(OR(RIGHT(X37,4)="*0,5",RIGHT(X37,4)="*0,3"),0.5,1),"")</f>
        <v/>
      </c>
      <c r="EZ91" s="102" t="str">
        <f t="shared" ref="EZ91" si="2516">IF(EZ38&lt;&gt;"",IF(OR(RIGHT(Y37,4)="*0,5",RIGHT(Y37,4)="*0,3"),0.5,1),"")</f>
        <v/>
      </c>
      <c r="FA91" s="102" t="str">
        <f t="shared" ref="FA91" si="2517">IF(FA38&lt;&gt;"",IF(OR(RIGHT(Z37,4)="*0,5",RIGHT(Z37,4)="*0,3"),0.5,1),"")</f>
        <v/>
      </c>
      <c r="FB91" s="102" t="str">
        <f t="shared" ref="FB91" si="2518">IF(FB38&lt;&gt;"",IF(OR(RIGHT(AA37,4)="*0,5",RIGHT(AA37,4)="*0,3"),0.5,1),"")</f>
        <v/>
      </c>
      <c r="FC91" s="102" t="str">
        <f t="shared" ref="FC91" si="2519">IF(FC38&lt;&gt;"",IF(OR(RIGHT(AB37,4)="*0,5",RIGHT(AB37,4)="*0,3"),0.5,1),"")</f>
        <v/>
      </c>
      <c r="FD91" s="102" t="str">
        <f t="shared" ref="FD91" si="2520">IF(FD38&lt;&gt;"",IF(OR(RIGHT(AC37,4)="*0,5",RIGHT(AC37,4)="*0,3"),0.5,1),"")</f>
        <v/>
      </c>
      <c r="FE91" s="102" t="str">
        <f t="shared" ref="FE91" si="2521">IF(FE38&lt;&gt;"",IF(OR(RIGHT(AD37,4)="*0,5",RIGHT(AD37,4)="*0,3"),0.5,1),"")</f>
        <v/>
      </c>
      <c r="FF91" s="102" t="str">
        <f t="shared" ref="FF91" si="2522">IF(FF38&lt;&gt;"",IF(OR(RIGHT(AE37,4)="*0,5",RIGHT(AE37,4)="*0,3"),0.5,1),"")</f>
        <v/>
      </c>
      <c r="FG91" s="102" t="str">
        <f t="shared" ref="FG91" si="2523">IF(FG38&lt;&gt;"",IF(OR(RIGHT(AF37,4)="*0,5",RIGHT(AF37,4)="*0,3"),0.5,1),"")</f>
        <v/>
      </c>
      <c r="FH91" s="102" t="str">
        <f t="shared" ref="FH91" si="2524">IF(FH38&lt;&gt;"",IF(OR(RIGHT(AG37,4)="*0,5",RIGHT(AG37,4)="*0,3"),0.5,1),"")</f>
        <v/>
      </c>
      <c r="FI91" s="102" t="str">
        <f t="shared" ref="FI91" si="2525">IF(FI38&lt;&gt;"",IF(OR(RIGHT(AH37,4)="*0,5",RIGHT(AH37,4)="*0,3"),0.5,1),"")</f>
        <v/>
      </c>
      <c r="FJ91" s="102" t="str">
        <f t="shared" ref="FJ91" si="2526">IF(FJ38&lt;&gt;"",IF(OR(RIGHT(AI37,4)="*0,5",RIGHT(AI37,4)="*0,3"),0.5,1),"")</f>
        <v/>
      </c>
      <c r="FK91" s="102" t="str">
        <f t="shared" ref="FK91" si="2527">IF(FK38&lt;&gt;"",IF(OR(RIGHT(AJ37,4)="*0,5",RIGHT(AJ37,4)="*0,3"),0.5,1),"")</f>
        <v/>
      </c>
      <c r="FL91" s="102" t="str">
        <f t="shared" ref="FL91" si="2528">IF(FL38&lt;&gt;"",IF(OR(RIGHT(AK37,4)="*0,5",RIGHT(AK37,4)="*0,3"),0.5,1),"")</f>
        <v/>
      </c>
      <c r="FM91" s="102" t="str">
        <f t="shared" ref="FM91" si="2529">IF(FM38&lt;&gt;"",IF(OR(RIGHT(AL37,4)="*0,5",RIGHT(AL37,4)="*0,3"),0.5,1),"")</f>
        <v/>
      </c>
      <c r="FN91" s="102" t="str">
        <f t="shared" ref="FN91" si="2530">IF(FN38&lt;&gt;"",IF(OR(RIGHT(AM37,4)="*0,5",RIGHT(AM37,4)="*0,3"),0.5,1),"")</f>
        <v/>
      </c>
      <c r="FQ91" s="102"/>
      <c r="FR91" s="102"/>
      <c r="FS91" s="102"/>
      <c r="FT91" s="102"/>
      <c r="FU91" s="102"/>
      <c r="FV91" s="102"/>
      <c r="FW91" s="102"/>
      <c r="FX91" s="102"/>
      <c r="FY91" s="102"/>
      <c r="FZ91" s="102"/>
      <c r="GA91" s="102"/>
      <c r="GB91" s="102"/>
      <c r="GC91" s="102"/>
      <c r="GD91" s="102"/>
      <c r="GE91" s="102"/>
      <c r="GF91" s="102"/>
      <c r="GG91" s="102"/>
      <c r="GH91" s="102"/>
      <c r="GI91" s="102"/>
      <c r="GJ91" s="102"/>
      <c r="GK91" s="102"/>
      <c r="GL91" s="102"/>
      <c r="GM91" s="102"/>
      <c r="GN91" s="102"/>
      <c r="GO91" s="102"/>
      <c r="GP91" s="102"/>
      <c r="GQ91" s="102"/>
      <c r="GR91" s="102"/>
      <c r="GS91" s="102"/>
      <c r="GT91" s="102"/>
      <c r="GU91" s="102"/>
    </row>
    <row r="92" spans="5:203" x14ac:dyDescent="0.25">
      <c r="G92" s="132"/>
      <c r="H92" s="133"/>
      <c r="I92" s="135" t="s">
        <v>1367</v>
      </c>
      <c r="J92" s="12" t="s">
        <v>1370</v>
      </c>
      <c r="EM92" s="105"/>
      <c r="EN92" s="105"/>
      <c r="FQ92" s="102"/>
      <c r="FR92" s="102"/>
      <c r="FS92" s="102"/>
      <c r="FT92" s="102"/>
      <c r="FU92" s="102"/>
      <c r="FV92" s="102"/>
      <c r="FW92" s="102"/>
      <c r="FX92" s="102"/>
      <c r="FY92" s="102"/>
      <c r="FZ92" s="102"/>
      <c r="GA92" s="102"/>
      <c r="GB92" s="102"/>
      <c r="GC92" s="102"/>
      <c r="GD92" s="102"/>
      <c r="GE92" s="102"/>
      <c r="GF92" s="102"/>
      <c r="GG92" s="102"/>
      <c r="GH92" s="102"/>
      <c r="GI92" s="102"/>
      <c r="GJ92" s="102"/>
      <c r="GK92" s="102"/>
      <c r="GL92" s="102"/>
      <c r="GM92" s="102"/>
      <c r="GN92" s="102"/>
      <c r="GO92" s="102"/>
      <c r="GP92" s="102"/>
      <c r="GQ92" s="102"/>
      <c r="GR92" s="102"/>
      <c r="GS92" s="102"/>
      <c r="GT92" s="102"/>
      <c r="GU92" s="102"/>
    </row>
    <row r="93" spans="5:203" x14ac:dyDescent="0.25">
      <c r="G93" s="132"/>
      <c r="H93" s="133"/>
      <c r="I93" s="135" t="s">
        <v>1368</v>
      </c>
      <c r="J93" s="12" t="s">
        <v>1369</v>
      </c>
      <c r="EI93" s="102" t="str">
        <f t="shared" ref="EI93" si="2531">IF(SUM(EK93:FN93)&gt;5,"X","")</f>
        <v/>
      </c>
      <c r="EK93" s="102" t="str">
        <f t="shared" ref="EK93" si="2532">IF(EK40&lt;&gt;"",IF(OR(RIGHT(J39,4)="*0,5",RIGHT(J39,4)="*0,3"),0.5,1),"")</f>
        <v/>
      </c>
      <c r="EL93" s="102" t="str">
        <f t="shared" ref="EL93" si="2533">IF(EL40&lt;&gt;"",IF(OR(RIGHT(K39,4)="*0,5",RIGHT(K39,4)="*0,3"),0.5,1),"")</f>
        <v/>
      </c>
      <c r="EM93" s="102" t="str">
        <f t="shared" ref="EM93" si="2534">IF(EM40&lt;&gt;"",IF(OR(RIGHT(L39,4)="*0,5",RIGHT(L39,4)="*0,3"),0.5,1),"")</f>
        <v/>
      </c>
      <c r="EN93" s="102" t="str">
        <f t="shared" ref="EN93" si="2535">IF(EN40&lt;&gt;"",IF(OR(RIGHT(M39,4)="*0,5",RIGHT(M39,4)="*0,3"),0.5,1),"")</f>
        <v/>
      </c>
      <c r="EO93" s="102" t="str">
        <f t="shared" ref="EO93" si="2536">IF(EO40&lt;&gt;"",IF(OR(RIGHT(N39,4)="*0,5",RIGHT(N39,4)="*0,3"),0.5,1),"")</f>
        <v/>
      </c>
      <c r="EP93" s="102" t="str">
        <f t="shared" ref="EP93" si="2537">IF(EP40&lt;&gt;"",IF(OR(RIGHT(O39,4)="*0,5",RIGHT(O39,4)="*0,3"),0.5,1),"")</f>
        <v/>
      </c>
      <c r="EQ93" s="102" t="str">
        <f t="shared" ref="EQ93" si="2538">IF(EQ40&lt;&gt;"",IF(OR(RIGHT(P39,4)="*0,5",RIGHT(P39,4)="*0,3"),0.5,1),"")</f>
        <v/>
      </c>
      <c r="ER93" s="102" t="str">
        <f t="shared" ref="ER93" si="2539">IF(ER40&lt;&gt;"",IF(OR(RIGHT(Q39,4)="*0,5",RIGHT(Q39,4)="*0,3"),0.5,1),"")</f>
        <v/>
      </c>
      <c r="ES93" s="102" t="str">
        <f t="shared" ref="ES93" si="2540">IF(ES40&lt;&gt;"",IF(OR(RIGHT(R39,4)="*0,5",RIGHT(R39,4)="*0,3"),0.5,1),"")</f>
        <v/>
      </c>
      <c r="ET93" s="102" t="str">
        <f t="shared" ref="ET93" si="2541">IF(ET40&lt;&gt;"",IF(OR(RIGHT(S39,4)="*0,5",RIGHT(S39,4)="*0,3"),0.5,1),"")</f>
        <v/>
      </c>
      <c r="EU93" s="102" t="str">
        <f t="shared" ref="EU93" si="2542">IF(EU40&lt;&gt;"",IF(OR(RIGHT(T39,4)="*0,5",RIGHT(T39,4)="*0,3"),0.5,1),"")</f>
        <v/>
      </c>
      <c r="EV93" s="102" t="str">
        <f t="shared" ref="EV93" si="2543">IF(EV40&lt;&gt;"",IF(OR(RIGHT(U39,4)="*0,5",RIGHT(U39,4)="*0,3"),0.5,1),"")</f>
        <v/>
      </c>
      <c r="EW93" s="102" t="str">
        <f t="shared" ref="EW93" si="2544">IF(EW40&lt;&gt;"",IF(OR(RIGHT(V39,4)="*0,5",RIGHT(V39,4)="*0,3"),0.5,1),"")</f>
        <v/>
      </c>
      <c r="EX93" s="102" t="str">
        <f t="shared" ref="EX93" si="2545">IF(EX40&lt;&gt;"",IF(OR(RIGHT(W39,4)="*0,5",RIGHT(W39,4)="*0,3"),0.5,1),"")</f>
        <v/>
      </c>
      <c r="EY93" s="102" t="str">
        <f t="shared" ref="EY93" si="2546">IF(EY40&lt;&gt;"",IF(OR(RIGHT(X39,4)="*0,5",RIGHT(X39,4)="*0,3"),0.5,1),"")</f>
        <v/>
      </c>
      <c r="EZ93" s="102" t="str">
        <f t="shared" ref="EZ93" si="2547">IF(EZ40&lt;&gt;"",IF(OR(RIGHT(Y39,4)="*0,5",RIGHT(Y39,4)="*0,3"),0.5,1),"")</f>
        <v/>
      </c>
      <c r="FA93" s="102" t="str">
        <f t="shared" ref="FA93" si="2548">IF(FA40&lt;&gt;"",IF(OR(RIGHT(Z39,4)="*0,5",RIGHT(Z39,4)="*0,3"),0.5,1),"")</f>
        <v/>
      </c>
      <c r="FB93" s="102" t="str">
        <f t="shared" ref="FB93" si="2549">IF(FB40&lt;&gt;"",IF(OR(RIGHT(AA39,4)="*0,5",RIGHT(AA39,4)="*0,3"),0.5,1),"")</f>
        <v/>
      </c>
      <c r="FC93" s="102" t="str">
        <f t="shared" ref="FC93" si="2550">IF(FC40&lt;&gt;"",IF(OR(RIGHT(AB39,4)="*0,5",RIGHT(AB39,4)="*0,3"),0.5,1),"")</f>
        <v/>
      </c>
      <c r="FD93" s="102" t="str">
        <f t="shared" ref="FD93" si="2551">IF(FD40&lt;&gt;"",IF(OR(RIGHT(AC39,4)="*0,5",RIGHT(AC39,4)="*0,3"),0.5,1),"")</f>
        <v/>
      </c>
      <c r="FE93" s="102" t="str">
        <f t="shared" ref="FE93" si="2552">IF(FE40&lt;&gt;"",IF(OR(RIGHT(AD39,4)="*0,5",RIGHT(AD39,4)="*0,3"),0.5,1),"")</f>
        <v/>
      </c>
      <c r="FF93" s="102" t="str">
        <f t="shared" ref="FF93" si="2553">IF(FF40&lt;&gt;"",IF(OR(RIGHT(AE39,4)="*0,5",RIGHT(AE39,4)="*0,3"),0.5,1),"")</f>
        <v/>
      </c>
      <c r="FG93" s="102" t="str">
        <f t="shared" ref="FG93" si="2554">IF(FG40&lt;&gt;"",IF(OR(RIGHT(AF39,4)="*0,5",RIGHT(AF39,4)="*0,3"),0.5,1),"")</f>
        <v/>
      </c>
      <c r="FH93" s="102" t="str">
        <f t="shared" ref="FH93" si="2555">IF(FH40&lt;&gt;"",IF(OR(RIGHT(AG39,4)="*0,5",RIGHT(AG39,4)="*0,3"),0.5,1),"")</f>
        <v/>
      </c>
      <c r="FI93" s="102" t="str">
        <f t="shared" ref="FI93" si="2556">IF(FI40&lt;&gt;"",IF(OR(RIGHT(AH39,4)="*0,5",RIGHT(AH39,4)="*0,3"),0.5,1),"")</f>
        <v/>
      </c>
      <c r="FJ93" s="102" t="str">
        <f t="shared" ref="FJ93" si="2557">IF(FJ40&lt;&gt;"",IF(OR(RIGHT(AI39,4)="*0,5",RIGHT(AI39,4)="*0,3"),0.5,1),"")</f>
        <v/>
      </c>
      <c r="FK93" s="102" t="str">
        <f t="shared" ref="FK93" si="2558">IF(FK40&lt;&gt;"",IF(OR(RIGHT(AJ39,4)="*0,5",RIGHT(AJ39,4)="*0,3"),0.5,1),"")</f>
        <v/>
      </c>
      <c r="FL93" s="102" t="str">
        <f t="shared" ref="FL93" si="2559">IF(FL40&lt;&gt;"",IF(OR(RIGHT(AK39,4)="*0,5",RIGHT(AK39,4)="*0,3"),0.5,1),"")</f>
        <v/>
      </c>
      <c r="FM93" s="102" t="str">
        <f t="shared" ref="FM93" si="2560">IF(FM40&lt;&gt;"",IF(OR(RIGHT(AL39,4)="*0,5",RIGHT(AL39,4)="*0,3"),0.5,1),"")</f>
        <v/>
      </c>
      <c r="FN93" s="102" t="str">
        <f t="shared" ref="FN93" si="2561">IF(FN40&lt;&gt;"",IF(OR(RIGHT(AM39,4)="*0,5",RIGHT(AM39,4)="*0,3"),0.5,1),"")</f>
        <v/>
      </c>
      <c r="FO93" s="105">
        <v>8</v>
      </c>
      <c r="FP93" s="102"/>
      <c r="FQ93" s="102"/>
      <c r="FR93" s="102">
        <f t="shared" ref="FR93:GU93" ca="1" si="2562">IFERROR(IF(AND(OFFSET($E$20,$FO93,0)="H",OFFSET(J$19,$FO93,0)&lt;&gt;""),UPPER(OFFSET(J$19,$FO93,0)),FR$18),FR$18)</f>
        <v>1</v>
      </c>
      <c r="FS93" s="102">
        <f t="shared" ca="1" si="2562"/>
        <v>2</v>
      </c>
      <c r="FT93" s="102">
        <f t="shared" ca="1" si="2562"/>
        <v>3</v>
      </c>
      <c r="FU93" s="102">
        <f t="shared" ca="1" si="2562"/>
        <v>4</v>
      </c>
      <c r="FV93" s="102">
        <f t="shared" ca="1" si="2562"/>
        <v>5</v>
      </c>
      <c r="FW93" s="102">
        <f t="shared" ca="1" si="2562"/>
        <v>6</v>
      </c>
      <c r="FX93" s="102">
        <f t="shared" ca="1" si="2562"/>
        <v>7</v>
      </c>
      <c r="FY93" s="102">
        <f t="shared" ca="1" si="2562"/>
        <v>8</v>
      </c>
      <c r="FZ93" s="102">
        <f t="shared" ca="1" si="2562"/>
        <v>9</v>
      </c>
      <c r="GA93" s="102">
        <f t="shared" ca="1" si="2562"/>
        <v>10</v>
      </c>
      <c r="GB93" s="102">
        <f t="shared" ca="1" si="2562"/>
        <v>11</v>
      </c>
      <c r="GC93" s="102">
        <f t="shared" ca="1" si="2562"/>
        <v>12</v>
      </c>
      <c r="GD93" s="102">
        <f t="shared" ca="1" si="2562"/>
        <v>13</v>
      </c>
      <c r="GE93" s="102">
        <f t="shared" ca="1" si="2562"/>
        <v>14</v>
      </c>
      <c r="GF93" s="102">
        <f t="shared" ca="1" si="2562"/>
        <v>15</v>
      </c>
      <c r="GG93" s="102">
        <f t="shared" ca="1" si="2562"/>
        <v>16</v>
      </c>
      <c r="GH93" s="102">
        <f t="shared" ca="1" si="2562"/>
        <v>17</v>
      </c>
      <c r="GI93" s="102">
        <f t="shared" ca="1" si="2562"/>
        <v>18</v>
      </c>
      <c r="GJ93" s="102">
        <f t="shared" ca="1" si="2562"/>
        <v>19</v>
      </c>
      <c r="GK93" s="102">
        <f t="shared" ca="1" si="2562"/>
        <v>20</v>
      </c>
      <c r="GL93" s="102">
        <f t="shared" ca="1" si="2562"/>
        <v>21</v>
      </c>
      <c r="GM93" s="102">
        <f t="shared" ca="1" si="2562"/>
        <v>22</v>
      </c>
      <c r="GN93" s="102">
        <f t="shared" ca="1" si="2562"/>
        <v>23</v>
      </c>
      <c r="GO93" s="102">
        <f t="shared" ca="1" si="2562"/>
        <v>24</v>
      </c>
      <c r="GP93" s="102">
        <f t="shared" ca="1" si="2562"/>
        <v>25</v>
      </c>
      <c r="GQ93" s="102">
        <f t="shared" ca="1" si="2562"/>
        <v>26</v>
      </c>
      <c r="GR93" s="102">
        <f t="shared" ca="1" si="2562"/>
        <v>27</v>
      </c>
      <c r="GS93" s="102">
        <f t="shared" ca="1" si="2562"/>
        <v>28</v>
      </c>
      <c r="GT93" s="102">
        <f t="shared" ca="1" si="2562"/>
        <v>29</v>
      </c>
      <c r="GU93" s="102">
        <f t="shared" ca="1" si="2562"/>
        <v>30</v>
      </c>
    </row>
    <row r="94" spans="5:203" x14ac:dyDescent="0.25">
      <c r="G94" s="132"/>
      <c r="H94" s="133"/>
      <c r="I94" s="135" t="s">
        <v>1371</v>
      </c>
      <c r="J94" s="12" t="s">
        <v>1372</v>
      </c>
      <c r="EM94" s="105"/>
      <c r="EN94" s="105"/>
      <c r="FR94" s="102">
        <f t="shared" ref="FR94:GU94" ca="1" si="2563">IFERROR(IF(AND(OFFSET($E$20,$FO93,0)="H",OFFSET(J$19,$FO93,0)&lt;&gt;"",OFFSET($F39,$FO93,0)&lt;&gt;"Hybrid - Thrust + 2 connections"),INDEX(Hyb_Tech,MATCH(OFFSET(J$19,$FO93,0),Hyb_Code,0)),FR$72),FR$72)</f>
        <v>1</v>
      </c>
      <c r="FS94" s="102">
        <f t="shared" ca="1" si="2563"/>
        <v>2</v>
      </c>
      <c r="FT94" s="102">
        <f t="shared" ca="1" si="2563"/>
        <v>3</v>
      </c>
      <c r="FU94" s="102">
        <f t="shared" ca="1" si="2563"/>
        <v>4</v>
      </c>
      <c r="FV94" s="102">
        <f t="shared" ca="1" si="2563"/>
        <v>5</v>
      </c>
      <c r="FW94" s="102">
        <f t="shared" ca="1" si="2563"/>
        <v>6</v>
      </c>
      <c r="FX94" s="102">
        <f t="shared" ca="1" si="2563"/>
        <v>7</v>
      </c>
      <c r="FY94" s="102">
        <f t="shared" ca="1" si="2563"/>
        <v>8</v>
      </c>
      <c r="FZ94" s="102">
        <f t="shared" ca="1" si="2563"/>
        <v>9</v>
      </c>
      <c r="GA94" s="102">
        <f t="shared" ca="1" si="2563"/>
        <v>10</v>
      </c>
      <c r="GB94" s="102">
        <f t="shared" ca="1" si="2563"/>
        <v>11</v>
      </c>
      <c r="GC94" s="102">
        <f t="shared" ca="1" si="2563"/>
        <v>12</v>
      </c>
      <c r="GD94" s="102">
        <f t="shared" ca="1" si="2563"/>
        <v>13</v>
      </c>
      <c r="GE94" s="102">
        <f t="shared" ca="1" si="2563"/>
        <v>14</v>
      </c>
      <c r="GF94" s="102">
        <f t="shared" ca="1" si="2563"/>
        <v>15</v>
      </c>
      <c r="GG94" s="102">
        <f t="shared" ca="1" si="2563"/>
        <v>16</v>
      </c>
      <c r="GH94" s="102">
        <f t="shared" ca="1" si="2563"/>
        <v>17</v>
      </c>
      <c r="GI94" s="102">
        <f t="shared" ca="1" si="2563"/>
        <v>18</v>
      </c>
      <c r="GJ94" s="102">
        <f t="shared" ca="1" si="2563"/>
        <v>19</v>
      </c>
      <c r="GK94" s="102">
        <f t="shared" ca="1" si="2563"/>
        <v>20</v>
      </c>
      <c r="GL94" s="102">
        <f t="shared" ca="1" si="2563"/>
        <v>21</v>
      </c>
      <c r="GM94" s="102">
        <f t="shared" ca="1" si="2563"/>
        <v>22</v>
      </c>
      <c r="GN94" s="102">
        <f t="shared" ca="1" si="2563"/>
        <v>23</v>
      </c>
      <c r="GO94" s="102">
        <f t="shared" ca="1" si="2563"/>
        <v>24</v>
      </c>
      <c r="GP94" s="102">
        <f t="shared" ca="1" si="2563"/>
        <v>25</v>
      </c>
      <c r="GQ94" s="102">
        <f t="shared" ca="1" si="2563"/>
        <v>26</v>
      </c>
      <c r="GR94" s="102">
        <f t="shared" ca="1" si="2563"/>
        <v>27</v>
      </c>
      <c r="GS94" s="102">
        <f t="shared" ca="1" si="2563"/>
        <v>28</v>
      </c>
      <c r="GT94" s="102">
        <f t="shared" ca="1" si="2563"/>
        <v>29</v>
      </c>
      <c r="GU94" s="102">
        <f t="shared" ca="1" si="2563"/>
        <v>30</v>
      </c>
    </row>
    <row r="95" spans="5:203" x14ac:dyDescent="0.25">
      <c r="G95" s="132"/>
      <c r="H95" s="133"/>
      <c r="I95" s="135" t="s">
        <v>1375</v>
      </c>
      <c r="J95" s="12" t="s">
        <v>1376</v>
      </c>
      <c r="EI95" s="102" t="str">
        <f t="shared" ref="EI95" si="2564">IF(SUM(EK95:FN95)&gt;5,"X","")</f>
        <v/>
      </c>
      <c r="EK95" s="102" t="str">
        <f t="shared" ref="EK95" si="2565">IF(EK42&lt;&gt;"",IF(OR(RIGHT(J41,4)="*0,5",RIGHT(J41,4)="*0,3"),0.5,1),"")</f>
        <v/>
      </c>
      <c r="EL95" s="102" t="str">
        <f t="shared" ref="EL95" si="2566">IF(EL42&lt;&gt;"",IF(OR(RIGHT(K41,4)="*0,5",RIGHT(K41,4)="*0,3"),0.5,1),"")</f>
        <v/>
      </c>
      <c r="EM95" s="102" t="str">
        <f t="shared" ref="EM95" si="2567">IF(EM42&lt;&gt;"",IF(OR(RIGHT(L41,4)="*0,5",RIGHT(L41,4)="*0,3"),0.5,1),"")</f>
        <v/>
      </c>
      <c r="EN95" s="102" t="str">
        <f t="shared" ref="EN95" si="2568">IF(EN42&lt;&gt;"",IF(OR(RIGHT(M41,4)="*0,5",RIGHT(M41,4)="*0,3"),0.5,1),"")</f>
        <v/>
      </c>
      <c r="EO95" s="102" t="str">
        <f t="shared" ref="EO95" si="2569">IF(EO42&lt;&gt;"",IF(OR(RIGHT(N41,4)="*0,5",RIGHT(N41,4)="*0,3"),0.5,1),"")</f>
        <v/>
      </c>
      <c r="EP95" s="102" t="str">
        <f t="shared" ref="EP95" si="2570">IF(EP42&lt;&gt;"",IF(OR(RIGHT(O41,4)="*0,5",RIGHT(O41,4)="*0,3"),0.5,1),"")</f>
        <v/>
      </c>
      <c r="EQ95" s="102" t="str">
        <f t="shared" ref="EQ95" si="2571">IF(EQ42&lt;&gt;"",IF(OR(RIGHT(P41,4)="*0,5",RIGHT(P41,4)="*0,3"),0.5,1),"")</f>
        <v/>
      </c>
      <c r="ER95" s="102" t="str">
        <f t="shared" ref="ER95" si="2572">IF(ER42&lt;&gt;"",IF(OR(RIGHT(Q41,4)="*0,5",RIGHT(Q41,4)="*0,3"),0.5,1),"")</f>
        <v/>
      </c>
      <c r="ES95" s="102" t="str">
        <f t="shared" ref="ES95" si="2573">IF(ES42&lt;&gt;"",IF(OR(RIGHT(R41,4)="*0,5",RIGHT(R41,4)="*0,3"),0.5,1),"")</f>
        <v/>
      </c>
      <c r="ET95" s="102" t="str">
        <f t="shared" ref="ET95" si="2574">IF(ET42&lt;&gt;"",IF(OR(RIGHT(S41,4)="*0,5",RIGHT(S41,4)="*0,3"),0.5,1),"")</f>
        <v/>
      </c>
      <c r="EU95" s="102" t="str">
        <f t="shared" ref="EU95" si="2575">IF(EU42&lt;&gt;"",IF(OR(RIGHT(T41,4)="*0,5",RIGHT(T41,4)="*0,3"),0.5,1),"")</f>
        <v/>
      </c>
      <c r="EV95" s="102" t="str">
        <f t="shared" ref="EV95" si="2576">IF(EV42&lt;&gt;"",IF(OR(RIGHT(U41,4)="*0,5",RIGHT(U41,4)="*0,3"),0.5,1),"")</f>
        <v/>
      </c>
      <c r="EW95" s="102" t="str">
        <f t="shared" ref="EW95" si="2577">IF(EW42&lt;&gt;"",IF(OR(RIGHT(V41,4)="*0,5",RIGHT(V41,4)="*0,3"),0.5,1),"")</f>
        <v/>
      </c>
      <c r="EX95" s="102" t="str">
        <f t="shared" ref="EX95" si="2578">IF(EX42&lt;&gt;"",IF(OR(RIGHT(W41,4)="*0,5",RIGHT(W41,4)="*0,3"),0.5,1),"")</f>
        <v/>
      </c>
      <c r="EY95" s="102" t="str">
        <f t="shared" ref="EY95" si="2579">IF(EY42&lt;&gt;"",IF(OR(RIGHT(X41,4)="*0,5",RIGHT(X41,4)="*0,3"),0.5,1),"")</f>
        <v/>
      </c>
      <c r="EZ95" s="102" t="str">
        <f t="shared" ref="EZ95" si="2580">IF(EZ42&lt;&gt;"",IF(OR(RIGHT(Y41,4)="*0,5",RIGHT(Y41,4)="*0,3"),0.5,1),"")</f>
        <v/>
      </c>
      <c r="FA95" s="102" t="str">
        <f t="shared" ref="FA95" si="2581">IF(FA42&lt;&gt;"",IF(OR(RIGHT(Z41,4)="*0,5",RIGHT(Z41,4)="*0,3"),0.5,1),"")</f>
        <v/>
      </c>
      <c r="FB95" s="102" t="str">
        <f t="shared" ref="FB95" si="2582">IF(FB42&lt;&gt;"",IF(OR(RIGHT(AA41,4)="*0,5",RIGHT(AA41,4)="*0,3"),0.5,1),"")</f>
        <v/>
      </c>
      <c r="FC95" s="102" t="str">
        <f t="shared" ref="FC95" si="2583">IF(FC42&lt;&gt;"",IF(OR(RIGHT(AB41,4)="*0,5",RIGHT(AB41,4)="*0,3"),0.5,1),"")</f>
        <v/>
      </c>
      <c r="FD95" s="102" t="str">
        <f t="shared" ref="FD95" si="2584">IF(FD42&lt;&gt;"",IF(OR(RIGHT(AC41,4)="*0,5",RIGHT(AC41,4)="*0,3"),0.5,1),"")</f>
        <v/>
      </c>
      <c r="FE95" s="102" t="str">
        <f t="shared" ref="FE95" si="2585">IF(FE42&lt;&gt;"",IF(OR(RIGHT(AD41,4)="*0,5",RIGHT(AD41,4)="*0,3"),0.5,1),"")</f>
        <v/>
      </c>
      <c r="FF95" s="102" t="str">
        <f t="shared" ref="FF95" si="2586">IF(FF42&lt;&gt;"",IF(OR(RIGHT(AE41,4)="*0,5",RIGHT(AE41,4)="*0,3"),0.5,1),"")</f>
        <v/>
      </c>
      <c r="FG95" s="102" t="str">
        <f t="shared" ref="FG95" si="2587">IF(FG42&lt;&gt;"",IF(OR(RIGHT(AF41,4)="*0,5",RIGHT(AF41,4)="*0,3"),0.5,1),"")</f>
        <v/>
      </c>
      <c r="FH95" s="102" t="str">
        <f t="shared" ref="FH95" si="2588">IF(FH42&lt;&gt;"",IF(OR(RIGHT(AG41,4)="*0,5",RIGHT(AG41,4)="*0,3"),0.5,1),"")</f>
        <v/>
      </c>
      <c r="FI95" s="102" t="str">
        <f t="shared" ref="FI95" si="2589">IF(FI42&lt;&gt;"",IF(OR(RIGHT(AH41,4)="*0,5",RIGHT(AH41,4)="*0,3"),0.5,1),"")</f>
        <v/>
      </c>
      <c r="FJ95" s="102" t="str">
        <f t="shared" ref="FJ95" si="2590">IF(FJ42&lt;&gt;"",IF(OR(RIGHT(AI41,4)="*0,5",RIGHT(AI41,4)="*0,3"),0.5,1),"")</f>
        <v/>
      </c>
      <c r="FK95" s="102" t="str">
        <f t="shared" ref="FK95" si="2591">IF(FK42&lt;&gt;"",IF(OR(RIGHT(AJ41,4)="*0,5",RIGHT(AJ41,4)="*0,3"),0.5,1),"")</f>
        <v/>
      </c>
      <c r="FL95" s="102" t="str">
        <f t="shared" ref="FL95" si="2592">IF(FL42&lt;&gt;"",IF(OR(RIGHT(AK41,4)="*0,5",RIGHT(AK41,4)="*0,3"),0.5,1),"")</f>
        <v/>
      </c>
      <c r="FM95" s="102" t="str">
        <f t="shared" ref="FM95" si="2593">IF(FM42&lt;&gt;"",IF(OR(RIGHT(AL41,4)="*0,5",RIGHT(AL41,4)="*0,3"),0.5,1),"")</f>
        <v/>
      </c>
      <c r="FN95" s="102" t="str">
        <f t="shared" ref="FN95" si="2594">IF(FN42&lt;&gt;"",IF(OR(RIGHT(AM41,4)="*0,5",RIGHT(AM41,4)="*0,3"),0.5,1),"")</f>
        <v/>
      </c>
      <c r="FP95" s="105" t="str">
        <f t="shared" ref="FP95" ca="1" si="2595">IFERROR(IF(SUM(FR95:GU95)&gt;2,OFFSET($FR$73,$FO93*5/2,MATCH(1,FR95:GU95,0)-1),""),"")</f>
        <v/>
      </c>
      <c r="FQ95" s="102" t="str">
        <f ca="1">IFERROR(IF(LEFT(FP95,1)="C",IF(RIGHT(FP95,1)="+",LEFT(FP95,LEN(FP95)-1),CONCATENATE(FP95,"+")),IF(SUM($FR95:$GU95)&gt;$FP$18,OFFSET($FR$73,$FO93*5/2,MATCH(0.5,FR95:GU95,0)),"")),"")</f>
        <v/>
      </c>
      <c r="FR95" s="102" t="str">
        <f t="shared" ref="FR95:GU95" ca="1" si="2596">IF(AND($BV$6="D",LEFT(FR93,1)="C"),IF(COUNTIF($FR94:$GU94,FR94)&gt;$FP$18-1,INDEX(Hyb_Tech_Value,MATCH(FR93,Hyb_Code,0)),""),IF(COUNTIF($FR94:$GU94,FR94)&gt;$FP$18,INDEX(Hyb_Tech_Value,MATCH(FR93,Hyb_Code,0)),""))</f>
        <v/>
      </c>
      <c r="FS95" s="102" t="str">
        <f t="shared" ca="1" si="2596"/>
        <v/>
      </c>
      <c r="FT95" s="102" t="str">
        <f t="shared" ca="1" si="2596"/>
        <v/>
      </c>
      <c r="FU95" s="102" t="str">
        <f t="shared" ca="1" si="2596"/>
        <v/>
      </c>
      <c r="FV95" s="102" t="str">
        <f t="shared" ca="1" si="2596"/>
        <v/>
      </c>
      <c r="FW95" s="102" t="str">
        <f t="shared" ca="1" si="2596"/>
        <v/>
      </c>
      <c r="FX95" s="102" t="str">
        <f t="shared" ca="1" si="2596"/>
        <v/>
      </c>
      <c r="FY95" s="102" t="str">
        <f t="shared" ca="1" si="2596"/>
        <v/>
      </c>
      <c r="FZ95" s="102" t="str">
        <f t="shared" ca="1" si="2596"/>
        <v/>
      </c>
      <c r="GA95" s="102" t="str">
        <f t="shared" ca="1" si="2596"/>
        <v/>
      </c>
      <c r="GB95" s="102" t="str">
        <f t="shared" ca="1" si="2596"/>
        <v/>
      </c>
      <c r="GC95" s="102" t="str">
        <f t="shared" ca="1" si="2596"/>
        <v/>
      </c>
      <c r="GD95" s="102" t="str">
        <f t="shared" ca="1" si="2596"/>
        <v/>
      </c>
      <c r="GE95" s="102" t="str">
        <f t="shared" ca="1" si="2596"/>
        <v/>
      </c>
      <c r="GF95" s="102" t="str">
        <f t="shared" ca="1" si="2596"/>
        <v/>
      </c>
      <c r="GG95" s="102" t="str">
        <f t="shared" ca="1" si="2596"/>
        <v/>
      </c>
      <c r="GH95" s="102" t="str">
        <f t="shared" ca="1" si="2596"/>
        <v/>
      </c>
      <c r="GI95" s="102" t="str">
        <f t="shared" ca="1" si="2596"/>
        <v/>
      </c>
      <c r="GJ95" s="102" t="str">
        <f t="shared" ca="1" si="2596"/>
        <v/>
      </c>
      <c r="GK95" s="102" t="str">
        <f t="shared" ca="1" si="2596"/>
        <v/>
      </c>
      <c r="GL95" s="102" t="str">
        <f t="shared" ca="1" si="2596"/>
        <v/>
      </c>
      <c r="GM95" s="102" t="str">
        <f t="shared" ca="1" si="2596"/>
        <v/>
      </c>
      <c r="GN95" s="102" t="str">
        <f t="shared" ca="1" si="2596"/>
        <v/>
      </c>
      <c r="GO95" s="102" t="str">
        <f t="shared" ca="1" si="2596"/>
        <v/>
      </c>
      <c r="GP95" s="102" t="str">
        <f t="shared" ca="1" si="2596"/>
        <v/>
      </c>
      <c r="GQ95" s="102" t="str">
        <f t="shared" ca="1" si="2596"/>
        <v/>
      </c>
      <c r="GR95" s="102" t="str">
        <f t="shared" ca="1" si="2596"/>
        <v/>
      </c>
      <c r="GS95" s="102" t="str">
        <f t="shared" ca="1" si="2596"/>
        <v/>
      </c>
      <c r="GT95" s="102" t="str">
        <f t="shared" ca="1" si="2596"/>
        <v/>
      </c>
      <c r="GU95" s="102" t="str">
        <f t="shared" ca="1" si="2596"/>
        <v/>
      </c>
    </row>
    <row r="96" spans="5:203" x14ac:dyDescent="0.25">
      <c r="G96" s="132"/>
      <c r="H96" s="133"/>
      <c r="I96" s="135" t="s">
        <v>1377</v>
      </c>
      <c r="J96" s="12" t="s">
        <v>1378</v>
      </c>
      <c r="EM96" s="105"/>
      <c r="EN96" s="105"/>
      <c r="FQ96" s="102"/>
      <c r="FR96" s="102"/>
      <c r="FS96" s="102"/>
      <c r="FT96" s="102"/>
      <c r="FU96" s="102"/>
      <c r="FV96" s="102"/>
      <c r="FW96" s="102"/>
      <c r="FX96" s="102"/>
      <c r="FY96" s="102"/>
      <c r="FZ96" s="102"/>
      <c r="GA96" s="102"/>
      <c r="GB96" s="102"/>
      <c r="GC96" s="102"/>
      <c r="GD96" s="102"/>
      <c r="GE96" s="102"/>
      <c r="GF96" s="102"/>
      <c r="GG96" s="102"/>
      <c r="GH96" s="102"/>
      <c r="GI96" s="102"/>
      <c r="GJ96" s="102"/>
      <c r="GK96" s="102"/>
      <c r="GL96" s="102"/>
      <c r="GM96" s="102"/>
      <c r="GN96" s="102"/>
      <c r="GO96" s="102"/>
      <c r="GP96" s="102"/>
      <c r="GQ96" s="102"/>
      <c r="GR96" s="102"/>
      <c r="GS96" s="102"/>
      <c r="GT96" s="102"/>
      <c r="GU96" s="102"/>
    </row>
    <row r="97" spans="7:203" x14ac:dyDescent="0.25">
      <c r="G97" s="132"/>
      <c r="H97" s="133"/>
      <c r="I97" s="135" t="s">
        <v>1379</v>
      </c>
      <c r="J97" s="12" t="s">
        <v>1380</v>
      </c>
      <c r="EI97" s="102" t="str">
        <f t="shared" ref="EI97" si="2597">IF(SUM(EK97:FN97)&gt;5,"X","")</f>
        <v/>
      </c>
      <c r="EK97" s="102" t="str">
        <f t="shared" ref="EK97" si="2598">IF(EK44&lt;&gt;"",IF(OR(RIGHT(J43,4)="*0,5",RIGHT(J43,4)="*0,3"),0.5,1),"")</f>
        <v/>
      </c>
      <c r="EL97" s="102" t="str">
        <f t="shared" ref="EL97" si="2599">IF(EL44&lt;&gt;"",IF(OR(RIGHT(K43,4)="*0,5",RIGHT(K43,4)="*0,3"),0.5,1),"")</f>
        <v/>
      </c>
      <c r="EM97" s="102" t="str">
        <f t="shared" ref="EM97" si="2600">IF(EM44&lt;&gt;"",IF(OR(RIGHT(L43,4)="*0,5",RIGHT(L43,4)="*0,3"),0.5,1),"")</f>
        <v/>
      </c>
      <c r="EN97" s="102" t="str">
        <f t="shared" ref="EN97" si="2601">IF(EN44&lt;&gt;"",IF(OR(RIGHT(M43,4)="*0,5",RIGHT(M43,4)="*0,3"),0.5,1),"")</f>
        <v/>
      </c>
      <c r="EO97" s="102" t="str">
        <f t="shared" ref="EO97" si="2602">IF(EO44&lt;&gt;"",IF(OR(RIGHT(N43,4)="*0,5",RIGHT(N43,4)="*0,3"),0.5,1),"")</f>
        <v/>
      </c>
      <c r="EP97" s="102" t="str">
        <f t="shared" ref="EP97" si="2603">IF(EP44&lt;&gt;"",IF(OR(RIGHT(O43,4)="*0,5",RIGHT(O43,4)="*0,3"),0.5,1),"")</f>
        <v/>
      </c>
      <c r="EQ97" s="102" t="str">
        <f t="shared" ref="EQ97" si="2604">IF(EQ44&lt;&gt;"",IF(OR(RIGHT(P43,4)="*0,5",RIGHT(P43,4)="*0,3"),0.5,1),"")</f>
        <v/>
      </c>
      <c r="ER97" s="102" t="str">
        <f t="shared" ref="ER97" si="2605">IF(ER44&lt;&gt;"",IF(OR(RIGHT(Q43,4)="*0,5",RIGHT(Q43,4)="*0,3"),0.5,1),"")</f>
        <v/>
      </c>
      <c r="ES97" s="102" t="str">
        <f t="shared" ref="ES97" si="2606">IF(ES44&lt;&gt;"",IF(OR(RIGHT(R43,4)="*0,5",RIGHT(R43,4)="*0,3"),0.5,1),"")</f>
        <v/>
      </c>
      <c r="ET97" s="102" t="str">
        <f t="shared" ref="ET97" si="2607">IF(ET44&lt;&gt;"",IF(OR(RIGHT(S43,4)="*0,5",RIGHT(S43,4)="*0,3"),0.5,1),"")</f>
        <v/>
      </c>
      <c r="EU97" s="102" t="str">
        <f t="shared" ref="EU97" si="2608">IF(EU44&lt;&gt;"",IF(OR(RIGHT(T43,4)="*0,5",RIGHT(T43,4)="*0,3"),0.5,1),"")</f>
        <v/>
      </c>
      <c r="EV97" s="102" t="str">
        <f t="shared" ref="EV97" si="2609">IF(EV44&lt;&gt;"",IF(OR(RIGHT(U43,4)="*0,5",RIGHT(U43,4)="*0,3"),0.5,1),"")</f>
        <v/>
      </c>
      <c r="EW97" s="102" t="str">
        <f t="shared" ref="EW97" si="2610">IF(EW44&lt;&gt;"",IF(OR(RIGHT(V43,4)="*0,5",RIGHT(V43,4)="*0,3"),0.5,1),"")</f>
        <v/>
      </c>
      <c r="EX97" s="102" t="str">
        <f t="shared" ref="EX97" si="2611">IF(EX44&lt;&gt;"",IF(OR(RIGHT(W43,4)="*0,5",RIGHT(W43,4)="*0,3"),0.5,1),"")</f>
        <v/>
      </c>
      <c r="EY97" s="102" t="str">
        <f t="shared" ref="EY97" si="2612">IF(EY44&lt;&gt;"",IF(OR(RIGHT(X43,4)="*0,5",RIGHT(X43,4)="*0,3"),0.5,1),"")</f>
        <v/>
      </c>
      <c r="EZ97" s="102" t="str">
        <f t="shared" ref="EZ97" si="2613">IF(EZ44&lt;&gt;"",IF(OR(RIGHT(Y43,4)="*0,5",RIGHT(Y43,4)="*0,3"),0.5,1),"")</f>
        <v/>
      </c>
      <c r="FA97" s="102" t="str">
        <f t="shared" ref="FA97" si="2614">IF(FA44&lt;&gt;"",IF(OR(RIGHT(Z43,4)="*0,5",RIGHT(Z43,4)="*0,3"),0.5,1),"")</f>
        <v/>
      </c>
      <c r="FB97" s="102" t="str">
        <f t="shared" ref="FB97" si="2615">IF(FB44&lt;&gt;"",IF(OR(RIGHT(AA43,4)="*0,5",RIGHT(AA43,4)="*0,3"),0.5,1),"")</f>
        <v/>
      </c>
      <c r="FC97" s="102" t="str">
        <f t="shared" ref="FC97" si="2616">IF(FC44&lt;&gt;"",IF(OR(RIGHT(AB43,4)="*0,5",RIGHT(AB43,4)="*0,3"),0.5,1),"")</f>
        <v/>
      </c>
      <c r="FD97" s="102" t="str">
        <f t="shared" ref="FD97" si="2617">IF(FD44&lt;&gt;"",IF(OR(RIGHT(AC43,4)="*0,5",RIGHT(AC43,4)="*0,3"),0.5,1),"")</f>
        <v/>
      </c>
      <c r="FE97" s="102" t="str">
        <f t="shared" ref="FE97" si="2618">IF(FE44&lt;&gt;"",IF(OR(RIGHT(AD43,4)="*0,5",RIGHT(AD43,4)="*0,3"),0.5,1),"")</f>
        <v/>
      </c>
      <c r="FF97" s="102" t="str">
        <f t="shared" ref="FF97" si="2619">IF(FF44&lt;&gt;"",IF(OR(RIGHT(AE43,4)="*0,5",RIGHT(AE43,4)="*0,3"),0.5,1),"")</f>
        <v/>
      </c>
      <c r="FG97" s="102" t="str">
        <f t="shared" ref="FG97" si="2620">IF(FG44&lt;&gt;"",IF(OR(RIGHT(AF43,4)="*0,5",RIGHT(AF43,4)="*0,3"),0.5,1),"")</f>
        <v/>
      </c>
      <c r="FH97" s="102" t="str">
        <f t="shared" ref="FH97" si="2621">IF(FH44&lt;&gt;"",IF(OR(RIGHT(AG43,4)="*0,5",RIGHT(AG43,4)="*0,3"),0.5,1),"")</f>
        <v/>
      </c>
      <c r="FI97" s="102" t="str">
        <f t="shared" ref="FI97" si="2622">IF(FI44&lt;&gt;"",IF(OR(RIGHT(AH43,4)="*0,5",RIGHT(AH43,4)="*0,3"),0.5,1),"")</f>
        <v/>
      </c>
      <c r="FJ97" s="102" t="str">
        <f t="shared" ref="FJ97" si="2623">IF(FJ44&lt;&gt;"",IF(OR(RIGHT(AI43,4)="*0,5",RIGHT(AI43,4)="*0,3"),0.5,1),"")</f>
        <v/>
      </c>
      <c r="FK97" s="102" t="str">
        <f t="shared" ref="FK97" si="2624">IF(FK44&lt;&gt;"",IF(OR(RIGHT(AJ43,4)="*0,5",RIGHT(AJ43,4)="*0,3"),0.5,1),"")</f>
        <v/>
      </c>
      <c r="FL97" s="102" t="str">
        <f t="shared" ref="FL97" si="2625">IF(FL44&lt;&gt;"",IF(OR(RIGHT(AK43,4)="*0,5",RIGHT(AK43,4)="*0,3"),0.5,1),"")</f>
        <v/>
      </c>
      <c r="FM97" s="102" t="str">
        <f t="shared" ref="FM97" si="2626">IF(FM44&lt;&gt;"",IF(OR(RIGHT(AL43,4)="*0,5",RIGHT(AL43,4)="*0,3"),0.5,1),"")</f>
        <v/>
      </c>
      <c r="FN97" s="102" t="str">
        <f t="shared" ref="FN97" si="2627">IF(FN44&lt;&gt;"",IF(OR(RIGHT(AM43,4)="*0,5",RIGHT(AM43,4)="*0,3"),0.5,1),"")</f>
        <v/>
      </c>
      <c r="FQ97" s="102"/>
      <c r="FR97" s="102"/>
      <c r="FS97" s="102"/>
      <c r="FT97" s="102"/>
      <c r="FU97" s="102"/>
      <c r="FV97" s="102"/>
      <c r="FW97" s="102"/>
      <c r="FX97" s="102"/>
      <c r="FY97" s="102"/>
      <c r="FZ97" s="102"/>
      <c r="GA97" s="102"/>
      <c r="GB97" s="102"/>
      <c r="GC97" s="102"/>
      <c r="GD97" s="102"/>
      <c r="GE97" s="102"/>
      <c r="GF97" s="102"/>
      <c r="GG97" s="102"/>
      <c r="GH97" s="102"/>
      <c r="GI97" s="102"/>
      <c r="GJ97" s="102"/>
      <c r="GK97" s="102"/>
      <c r="GL97" s="102"/>
      <c r="GM97" s="102"/>
      <c r="GN97" s="102"/>
      <c r="GO97" s="102"/>
      <c r="GP97" s="102"/>
      <c r="GQ97" s="102"/>
      <c r="GR97" s="102"/>
      <c r="GS97" s="102"/>
      <c r="GT97" s="102"/>
      <c r="GU97" s="102"/>
    </row>
    <row r="98" spans="7:203" x14ac:dyDescent="0.25">
      <c r="G98" s="132"/>
      <c r="H98" s="133"/>
      <c r="I98" s="135" t="s">
        <v>1382</v>
      </c>
      <c r="J98" s="12" t="s">
        <v>1383</v>
      </c>
      <c r="EM98" s="105"/>
      <c r="EN98" s="105"/>
      <c r="FO98" s="105">
        <v>10</v>
      </c>
      <c r="FP98" s="102"/>
      <c r="FQ98" s="102"/>
      <c r="FR98" s="102">
        <f t="shared" ref="FR98:GU98" ca="1" si="2628">IFERROR(IF(AND(OFFSET($E$20,$FO98,0)="H",OFFSET(J$19,$FO98,0)&lt;&gt;""),UPPER(OFFSET(J$19,$FO98,0)),FR$18),FR$18)</f>
        <v>1</v>
      </c>
      <c r="FS98" s="102">
        <f t="shared" ca="1" si="2628"/>
        <v>2</v>
      </c>
      <c r="FT98" s="102">
        <f t="shared" ca="1" si="2628"/>
        <v>3</v>
      </c>
      <c r="FU98" s="102">
        <f t="shared" ca="1" si="2628"/>
        <v>4</v>
      </c>
      <c r="FV98" s="102">
        <f t="shared" ca="1" si="2628"/>
        <v>5</v>
      </c>
      <c r="FW98" s="102">
        <f t="shared" ca="1" si="2628"/>
        <v>6</v>
      </c>
      <c r="FX98" s="102">
        <f t="shared" ca="1" si="2628"/>
        <v>7</v>
      </c>
      <c r="FY98" s="102">
        <f t="shared" ca="1" si="2628"/>
        <v>8</v>
      </c>
      <c r="FZ98" s="102">
        <f t="shared" ca="1" si="2628"/>
        <v>9</v>
      </c>
      <c r="GA98" s="102">
        <f t="shared" ca="1" si="2628"/>
        <v>10</v>
      </c>
      <c r="GB98" s="102">
        <f t="shared" ca="1" si="2628"/>
        <v>11</v>
      </c>
      <c r="GC98" s="102">
        <f t="shared" ca="1" si="2628"/>
        <v>12</v>
      </c>
      <c r="GD98" s="102">
        <f t="shared" ca="1" si="2628"/>
        <v>13</v>
      </c>
      <c r="GE98" s="102">
        <f t="shared" ca="1" si="2628"/>
        <v>14</v>
      </c>
      <c r="GF98" s="102">
        <f t="shared" ca="1" si="2628"/>
        <v>15</v>
      </c>
      <c r="GG98" s="102">
        <f t="shared" ca="1" si="2628"/>
        <v>16</v>
      </c>
      <c r="GH98" s="102">
        <f t="shared" ca="1" si="2628"/>
        <v>17</v>
      </c>
      <c r="GI98" s="102">
        <f t="shared" ca="1" si="2628"/>
        <v>18</v>
      </c>
      <c r="GJ98" s="102">
        <f t="shared" ca="1" si="2628"/>
        <v>19</v>
      </c>
      <c r="GK98" s="102">
        <f t="shared" ca="1" si="2628"/>
        <v>20</v>
      </c>
      <c r="GL98" s="102">
        <f t="shared" ca="1" si="2628"/>
        <v>21</v>
      </c>
      <c r="GM98" s="102">
        <f t="shared" ca="1" si="2628"/>
        <v>22</v>
      </c>
      <c r="GN98" s="102">
        <f t="shared" ca="1" si="2628"/>
        <v>23</v>
      </c>
      <c r="GO98" s="102">
        <f t="shared" ca="1" si="2628"/>
        <v>24</v>
      </c>
      <c r="GP98" s="102">
        <f t="shared" ca="1" si="2628"/>
        <v>25</v>
      </c>
      <c r="GQ98" s="102">
        <f t="shared" ca="1" si="2628"/>
        <v>26</v>
      </c>
      <c r="GR98" s="102">
        <f t="shared" ca="1" si="2628"/>
        <v>27</v>
      </c>
      <c r="GS98" s="102">
        <f t="shared" ca="1" si="2628"/>
        <v>28</v>
      </c>
      <c r="GT98" s="102">
        <f t="shared" ca="1" si="2628"/>
        <v>29</v>
      </c>
      <c r="GU98" s="102">
        <f t="shared" ca="1" si="2628"/>
        <v>30</v>
      </c>
    </row>
    <row r="99" spans="7:203" x14ac:dyDescent="0.25">
      <c r="G99" s="132"/>
      <c r="H99" s="133"/>
      <c r="I99" s="135" t="s">
        <v>1384</v>
      </c>
      <c r="J99" s="12" t="s">
        <v>1466</v>
      </c>
      <c r="EI99" s="102" t="str">
        <f t="shared" ref="EI99" si="2629">IF(SUM(EK99:FN99)&gt;5,"X","")</f>
        <v/>
      </c>
      <c r="EK99" s="102" t="str">
        <f t="shared" ref="EK99" si="2630">IF(EK46&lt;&gt;"",IF(OR(RIGHT(J45,4)="*0,5",RIGHT(J45,4)="*0,3"),0.5,1),"")</f>
        <v/>
      </c>
      <c r="EL99" s="102" t="str">
        <f t="shared" ref="EL99" si="2631">IF(EL46&lt;&gt;"",IF(OR(RIGHT(K45,4)="*0,5",RIGHT(K45,4)="*0,3"),0.5,1),"")</f>
        <v/>
      </c>
      <c r="EM99" s="102" t="str">
        <f t="shared" ref="EM99" si="2632">IF(EM46&lt;&gt;"",IF(OR(RIGHT(L45,4)="*0,5",RIGHT(L45,4)="*0,3"),0.5,1),"")</f>
        <v/>
      </c>
      <c r="EN99" s="102" t="str">
        <f t="shared" ref="EN99" si="2633">IF(EN46&lt;&gt;"",IF(OR(RIGHT(M45,4)="*0,5",RIGHT(M45,4)="*0,3"),0.5,1),"")</f>
        <v/>
      </c>
      <c r="EO99" s="102" t="str">
        <f t="shared" ref="EO99" si="2634">IF(EO46&lt;&gt;"",IF(OR(RIGHT(N45,4)="*0,5",RIGHT(N45,4)="*0,3"),0.5,1),"")</f>
        <v/>
      </c>
      <c r="EP99" s="102" t="str">
        <f t="shared" ref="EP99" si="2635">IF(EP46&lt;&gt;"",IF(OR(RIGHT(O45,4)="*0,5",RIGHT(O45,4)="*0,3"),0.5,1),"")</f>
        <v/>
      </c>
      <c r="EQ99" s="102" t="str">
        <f t="shared" ref="EQ99" si="2636">IF(EQ46&lt;&gt;"",IF(OR(RIGHT(P45,4)="*0,5",RIGHT(P45,4)="*0,3"),0.5,1),"")</f>
        <v/>
      </c>
      <c r="ER99" s="102" t="str">
        <f t="shared" ref="ER99" si="2637">IF(ER46&lt;&gt;"",IF(OR(RIGHT(Q45,4)="*0,5",RIGHT(Q45,4)="*0,3"),0.5,1),"")</f>
        <v/>
      </c>
      <c r="ES99" s="102" t="str">
        <f t="shared" ref="ES99" si="2638">IF(ES46&lt;&gt;"",IF(OR(RIGHT(R45,4)="*0,5",RIGHT(R45,4)="*0,3"),0.5,1),"")</f>
        <v/>
      </c>
      <c r="ET99" s="102" t="str">
        <f t="shared" ref="ET99" si="2639">IF(ET46&lt;&gt;"",IF(OR(RIGHT(S45,4)="*0,5",RIGHT(S45,4)="*0,3"),0.5,1),"")</f>
        <v/>
      </c>
      <c r="EU99" s="102" t="str">
        <f t="shared" ref="EU99" si="2640">IF(EU46&lt;&gt;"",IF(OR(RIGHT(T45,4)="*0,5",RIGHT(T45,4)="*0,3"),0.5,1),"")</f>
        <v/>
      </c>
      <c r="EV99" s="102" t="str">
        <f t="shared" ref="EV99" si="2641">IF(EV46&lt;&gt;"",IF(OR(RIGHT(U45,4)="*0,5",RIGHT(U45,4)="*0,3"),0.5,1),"")</f>
        <v/>
      </c>
      <c r="EW99" s="102" t="str">
        <f t="shared" ref="EW99" si="2642">IF(EW46&lt;&gt;"",IF(OR(RIGHT(V45,4)="*0,5",RIGHT(V45,4)="*0,3"),0.5,1),"")</f>
        <v/>
      </c>
      <c r="EX99" s="102" t="str">
        <f t="shared" ref="EX99" si="2643">IF(EX46&lt;&gt;"",IF(OR(RIGHT(W45,4)="*0,5",RIGHT(W45,4)="*0,3"),0.5,1),"")</f>
        <v/>
      </c>
      <c r="EY99" s="102" t="str">
        <f t="shared" ref="EY99" si="2644">IF(EY46&lt;&gt;"",IF(OR(RIGHT(X45,4)="*0,5",RIGHT(X45,4)="*0,3"),0.5,1),"")</f>
        <v/>
      </c>
      <c r="EZ99" s="102" t="str">
        <f t="shared" ref="EZ99" si="2645">IF(EZ46&lt;&gt;"",IF(OR(RIGHT(Y45,4)="*0,5",RIGHT(Y45,4)="*0,3"),0.5,1),"")</f>
        <v/>
      </c>
      <c r="FA99" s="102" t="str">
        <f t="shared" ref="FA99" si="2646">IF(FA46&lt;&gt;"",IF(OR(RIGHT(Z45,4)="*0,5",RIGHT(Z45,4)="*0,3"),0.5,1),"")</f>
        <v/>
      </c>
      <c r="FB99" s="102" t="str">
        <f t="shared" ref="FB99" si="2647">IF(FB46&lt;&gt;"",IF(OR(RIGHT(AA45,4)="*0,5",RIGHT(AA45,4)="*0,3"),0.5,1),"")</f>
        <v/>
      </c>
      <c r="FC99" s="102" t="str">
        <f t="shared" ref="FC99" si="2648">IF(FC46&lt;&gt;"",IF(OR(RIGHT(AB45,4)="*0,5",RIGHT(AB45,4)="*0,3"),0.5,1),"")</f>
        <v/>
      </c>
      <c r="FD99" s="102" t="str">
        <f t="shared" ref="FD99" si="2649">IF(FD46&lt;&gt;"",IF(OR(RIGHT(AC45,4)="*0,5",RIGHT(AC45,4)="*0,3"),0.5,1),"")</f>
        <v/>
      </c>
      <c r="FE99" s="102" t="str">
        <f t="shared" ref="FE99" si="2650">IF(FE46&lt;&gt;"",IF(OR(RIGHT(AD45,4)="*0,5",RIGHT(AD45,4)="*0,3"),0.5,1),"")</f>
        <v/>
      </c>
      <c r="FF99" s="102" t="str">
        <f t="shared" ref="FF99" si="2651">IF(FF46&lt;&gt;"",IF(OR(RIGHT(AE45,4)="*0,5",RIGHT(AE45,4)="*0,3"),0.5,1),"")</f>
        <v/>
      </c>
      <c r="FG99" s="102" t="str">
        <f t="shared" ref="FG99" si="2652">IF(FG46&lt;&gt;"",IF(OR(RIGHT(AF45,4)="*0,5",RIGHT(AF45,4)="*0,3"),0.5,1),"")</f>
        <v/>
      </c>
      <c r="FH99" s="102" t="str">
        <f t="shared" ref="FH99" si="2653">IF(FH46&lt;&gt;"",IF(OR(RIGHT(AG45,4)="*0,5",RIGHT(AG45,4)="*0,3"),0.5,1),"")</f>
        <v/>
      </c>
      <c r="FI99" s="102" t="str">
        <f t="shared" ref="FI99" si="2654">IF(FI46&lt;&gt;"",IF(OR(RIGHT(AH45,4)="*0,5",RIGHT(AH45,4)="*0,3"),0.5,1),"")</f>
        <v/>
      </c>
      <c r="FJ99" s="102" t="str">
        <f t="shared" ref="FJ99" si="2655">IF(FJ46&lt;&gt;"",IF(OR(RIGHT(AI45,4)="*0,5",RIGHT(AI45,4)="*0,3"),0.5,1),"")</f>
        <v/>
      </c>
      <c r="FK99" s="102" t="str">
        <f t="shared" ref="FK99" si="2656">IF(FK46&lt;&gt;"",IF(OR(RIGHT(AJ45,4)="*0,5",RIGHT(AJ45,4)="*0,3"),0.5,1),"")</f>
        <v/>
      </c>
      <c r="FL99" s="102" t="str">
        <f t="shared" ref="FL99" si="2657">IF(FL46&lt;&gt;"",IF(OR(RIGHT(AK45,4)="*0,5",RIGHT(AK45,4)="*0,3"),0.5,1),"")</f>
        <v/>
      </c>
      <c r="FM99" s="102" t="str">
        <f t="shared" ref="FM99" si="2658">IF(FM46&lt;&gt;"",IF(OR(RIGHT(AL45,4)="*0,5",RIGHT(AL45,4)="*0,3"),0.5,1),"")</f>
        <v/>
      </c>
      <c r="FN99" s="102" t="str">
        <f t="shared" ref="FN99" si="2659">IF(FN46&lt;&gt;"",IF(OR(RIGHT(AM45,4)="*0,5",RIGHT(AM45,4)="*0,3"),0.5,1),"")</f>
        <v/>
      </c>
      <c r="FR99" s="102">
        <f ca="1">IFERROR(IF(AND(OFFSET($E$20,$FO98,0)="H",OFFSET(J$19,$FO98,0)&lt;&gt;"",OFFSET($F44,$FO98,0)&lt;&gt;"Hybrid - Thrust + 2 connections"),INDEX(Hyb_Tech,MATCH(FR98,Hyb_Code,0)),FR$72),FR$72)</f>
        <v>1</v>
      </c>
      <c r="FS99" s="102">
        <f ca="1">IFERROR(IF(AND(OFFSET($E$20,$FO98,0)="H",OFFSET(K$19,$FO98,0)&lt;&gt;"",OFFSET($F44,$FO98,0)&lt;&gt;"Hybrid - Thrust + 2 connections"),INDEX(Hyb_Tech,MATCH(FS98,Hyb_Code,0)),FS$72),FS$72)</f>
        <v>2</v>
      </c>
      <c r="FT99" s="102">
        <f ca="1">IFERROR(IF(AND(OFFSET($E$20,$FO98,0)="H",OFFSET(L$19,$FO98,0)&lt;&gt;"",OFFSET($F44,$FO98,0)&lt;&gt;"Hybrid - Thrust + 2 connections"),INDEX(Hyb_Tech,MATCH(FT98,Hyb_Code,0)),FT$72),FT$72)</f>
        <v>3</v>
      </c>
      <c r="FU99" s="102">
        <f ca="1">IFERROR(IF(AND(OFFSET($E$20,$FO98,0)="H",OFFSET(M$19,$FO98,0)&lt;&gt;"",OFFSET($F44,$FO98,0)&lt;&gt;"Hybrid - Thrust + 2 connections"),INDEX(Hyb_Tech,MATCH(FU98,Hyb_Code,0)),FU$72),FU$72)</f>
        <v>4</v>
      </c>
      <c r="FV99" s="102">
        <f ca="1">IFERROR(IF(AND(OFFSET($E$20,$FO98,0)="H",OFFSET(N$19,$FO98,0)&lt;&gt;"",OFFSET($F44,$FO98,0)&lt;&gt;"Hybrid - Thrust + 2 connections"),INDEX(Hyb_Tech,MATCH(FV98,Hyb_Code,0)),FV$72),FV$72)</f>
        <v>5</v>
      </c>
      <c r="FW99" s="102">
        <f t="shared" ref="FW99:GU99" ca="1" si="2660">IFERROR(IF(AND(OFFSET($E$20,$FO98,0)="H",OFFSET(O$19,$FO98,0)&lt;&gt;"",OFFSET($F44,$FO98,0)&lt;&gt;"Hybrid - Thrust + 2 connections"),INDEX(Hyb_Tech,MATCH(OFFSET(O$19,$FO98,0),Hyb_Code,0)),FW$72),FW$72)</f>
        <v>6</v>
      </c>
      <c r="FX99" s="102">
        <f t="shared" ca="1" si="2660"/>
        <v>7</v>
      </c>
      <c r="FY99" s="102">
        <f t="shared" ca="1" si="2660"/>
        <v>8</v>
      </c>
      <c r="FZ99" s="102">
        <f t="shared" ca="1" si="2660"/>
        <v>9</v>
      </c>
      <c r="GA99" s="102">
        <f t="shared" ca="1" si="2660"/>
        <v>10</v>
      </c>
      <c r="GB99" s="102">
        <f t="shared" ca="1" si="2660"/>
        <v>11</v>
      </c>
      <c r="GC99" s="102">
        <f t="shared" ca="1" si="2660"/>
        <v>12</v>
      </c>
      <c r="GD99" s="102">
        <f t="shared" ca="1" si="2660"/>
        <v>13</v>
      </c>
      <c r="GE99" s="102">
        <f t="shared" ca="1" si="2660"/>
        <v>14</v>
      </c>
      <c r="GF99" s="102">
        <f t="shared" ca="1" si="2660"/>
        <v>15</v>
      </c>
      <c r="GG99" s="102">
        <f t="shared" ca="1" si="2660"/>
        <v>16</v>
      </c>
      <c r="GH99" s="102">
        <f t="shared" ca="1" si="2660"/>
        <v>17</v>
      </c>
      <c r="GI99" s="102">
        <f t="shared" ca="1" si="2660"/>
        <v>18</v>
      </c>
      <c r="GJ99" s="102">
        <f t="shared" ca="1" si="2660"/>
        <v>19</v>
      </c>
      <c r="GK99" s="102">
        <f t="shared" ca="1" si="2660"/>
        <v>20</v>
      </c>
      <c r="GL99" s="102">
        <f t="shared" ca="1" si="2660"/>
        <v>21</v>
      </c>
      <c r="GM99" s="102">
        <f t="shared" ca="1" si="2660"/>
        <v>22</v>
      </c>
      <c r="GN99" s="102">
        <f t="shared" ca="1" si="2660"/>
        <v>23</v>
      </c>
      <c r="GO99" s="102">
        <f t="shared" ca="1" si="2660"/>
        <v>24</v>
      </c>
      <c r="GP99" s="102">
        <f t="shared" ca="1" si="2660"/>
        <v>25</v>
      </c>
      <c r="GQ99" s="102">
        <f t="shared" ca="1" si="2660"/>
        <v>26</v>
      </c>
      <c r="GR99" s="102">
        <f t="shared" ca="1" si="2660"/>
        <v>27</v>
      </c>
      <c r="GS99" s="102">
        <f t="shared" ca="1" si="2660"/>
        <v>28</v>
      </c>
      <c r="GT99" s="102">
        <f t="shared" ca="1" si="2660"/>
        <v>29</v>
      </c>
      <c r="GU99" s="102">
        <f t="shared" ca="1" si="2660"/>
        <v>30</v>
      </c>
    </row>
    <row r="100" spans="7:203" x14ac:dyDescent="0.25">
      <c r="G100" s="132"/>
      <c r="H100" s="133"/>
      <c r="I100" s="135" t="s">
        <v>1775</v>
      </c>
      <c r="J100" s="12" t="s">
        <v>1776</v>
      </c>
      <c r="EM100" s="105"/>
      <c r="EN100" s="105"/>
      <c r="FP100" s="105" t="str">
        <f t="shared" ref="FP100" ca="1" si="2661">IFERROR(IF(SUM(FR100:GU100)&gt;2,OFFSET($FR$73,$FO98*5/2,MATCH(1,FR100:GU100,0)-1),""),"")</f>
        <v/>
      </c>
      <c r="FQ100" s="102" t="str">
        <f ca="1">IFERROR(IF(LEFT(FP100,1)="C",IF(RIGHT(FP100,1)="+",LEFT(FP100,LEN(FP100)-1),CONCATENATE(FP100,"+")),IF(SUM($FR100:$GU100)&gt;$FP$18,OFFSET($FR$73,$FO98*5/2,MATCH(0.5,FR100:GU100,0)),"")),"")</f>
        <v/>
      </c>
      <c r="FR100" s="102" t="str">
        <f t="shared" ref="FR100:GU100" ca="1" si="2662">IF(AND($BV$6="D",LEFT(FR98,1)="C"),IF(COUNTIF($FR99:$GU99,FR99)&gt;$FP$18-1,INDEX(Hyb_Tech_Value,MATCH(FR98,Hyb_Code,0)),""),IF(COUNTIF($FR99:$GU99,FR99)&gt;$FP$18,INDEX(Hyb_Tech_Value,MATCH(FR98,Hyb_Code,0)),""))</f>
        <v/>
      </c>
      <c r="FS100" s="102" t="str">
        <f t="shared" ca="1" si="2662"/>
        <v/>
      </c>
      <c r="FT100" s="102" t="str">
        <f t="shared" ca="1" si="2662"/>
        <v/>
      </c>
      <c r="FU100" s="102" t="str">
        <f t="shared" ca="1" si="2662"/>
        <v/>
      </c>
      <c r="FV100" s="102" t="str">
        <f t="shared" ca="1" si="2662"/>
        <v/>
      </c>
      <c r="FW100" s="102" t="str">
        <f t="shared" ca="1" si="2662"/>
        <v/>
      </c>
      <c r="FX100" s="102" t="str">
        <f t="shared" ca="1" si="2662"/>
        <v/>
      </c>
      <c r="FY100" s="102" t="str">
        <f t="shared" ca="1" si="2662"/>
        <v/>
      </c>
      <c r="FZ100" s="102" t="str">
        <f t="shared" ca="1" si="2662"/>
        <v/>
      </c>
      <c r="GA100" s="102" t="str">
        <f t="shared" ca="1" si="2662"/>
        <v/>
      </c>
      <c r="GB100" s="102" t="str">
        <f t="shared" ca="1" si="2662"/>
        <v/>
      </c>
      <c r="GC100" s="102" t="str">
        <f t="shared" ca="1" si="2662"/>
        <v/>
      </c>
      <c r="GD100" s="102" t="str">
        <f t="shared" ca="1" si="2662"/>
        <v/>
      </c>
      <c r="GE100" s="102" t="str">
        <f t="shared" ca="1" si="2662"/>
        <v/>
      </c>
      <c r="GF100" s="102" t="str">
        <f t="shared" ca="1" si="2662"/>
        <v/>
      </c>
      <c r="GG100" s="102" t="str">
        <f t="shared" ca="1" si="2662"/>
        <v/>
      </c>
      <c r="GH100" s="102" t="str">
        <f t="shared" ca="1" si="2662"/>
        <v/>
      </c>
      <c r="GI100" s="102" t="str">
        <f t="shared" ca="1" si="2662"/>
        <v/>
      </c>
      <c r="GJ100" s="102" t="str">
        <f t="shared" ca="1" si="2662"/>
        <v/>
      </c>
      <c r="GK100" s="102" t="str">
        <f t="shared" ca="1" si="2662"/>
        <v/>
      </c>
      <c r="GL100" s="102" t="str">
        <f t="shared" ca="1" si="2662"/>
        <v/>
      </c>
      <c r="GM100" s="102" t="str">
        <f t="shared" ca="1" si="2662"/>
        <v/>
      </c>
      <c r="GN100" s="102" t="str">
        <f t="shared" ca="1" si="2662"/>
        <v/>
      </c>
      <c r="GO100" s="102" t="str">
        <f t="shared" ca="1" si="2662"/>
        <v/>
      </c>
      <c r="GP100" s="102" t="str">
        <f t="shared" ca="1" si="2662"/>
        <v/>
      </c>
      <c r="GQ100" s="102" t="str">
        <f t="shared" ca="1" si="2662"/>
        <v/>
      </c>
      <c r="GR100" s="102" t="str">
        <f t="shared" ca="1" si="2662"/>
        <v/>
      </c>
      <c r="GS100" s="102" t="str">
        <f t="shared" ca="1" si="2662"/>
        <v/>
      </c>
      <c r="GT100" s="102" t="str">
        <f t="shared" ca="1" si="2662"/>
        <v/>
      </c>
      <c r="GU100" s="102" t="str">
        <f t="shared" ca="1" si="2662"/>
        <v/>
      </c>
    </row>
    <row r="101" spans="7:203" x14ac:dyDescent="0.25">
      <c r="G101" s="132">
        <v>45594</v>
      </c>
      <c r="H101" s="133"/>
      <c r="I101" s="135" t="s">
        <v>1965</v>
      </c>
      <c r="J101" s="12" t="s">
        <v>1967</v>
      </c>
      <c r="EI101" s="102" t="str">
        <f t="shared" ref="EI101" si="2663">IF(SUM(EK101:FN101)&gt;5,"X","")</f>
        <v/>
      </c>
      <c r="EK101" s="102" t="str">
        <f t="shared" ref="EK101" si="2664">IF(EK48&lt;&gt;"",IF(OR(RIGHT(J47,4)="*0,5",RIGHT(J47,4)="*0,3"),0.5,1),"")</f>
        <v/>
      </c>
      <c r="EL101" s="102" t="str">
        <f t="shared" ref="EL101" si="2665">IF(EL48&lt;&gt;"",IF(OR(RIGHT(K47,4)="*0,5",RIGHT(K47,4)="*0,3"),0.5,1),"")</f>
        <v/>
      </c>
      <c r="EM101" s="102" t="str">
        <f t="shared" ref="EM101" si="2666">IF(EM48&lt;&gt;"",IF(OR(RIGHT(L47,4)="*0,5",RIGHT(L47,4)="*0,3"),0.5,1),"")</f>
        <v/>
      </c>
      <c r="EN101" s="102" t="str">
        <f t="shared" ref="EN101" si="2667">IF(EN48&lt;&gt;"",IF(OR(RIGHT(M47,4)="*0,5",RIGHT(M47,4)="*0,3"),0.5,1),"")</f>
        <v/>
      </c>
      <c r="EO101" s="102" t="str">
        <f t="shared" ref="EO101" si="2668">IF(EO48&lt;&gt;"",IF(OR(RIGHT(N47,4)="*0,5",RIGHT(N47,4)="*0,3"),0.5,1),"")</f>
        <v/>
      </c>
      <c r="EP101" s="102" t="str">
        <f t="shared" ref="EP101" si="2669">IF(EP48&lt;&gt;"",IF(OR(RIGHT(O47,4)="*0,5",RIGHT(O47,4)="*0,3"),0.5,1),"")</f>
        <v/>
      </c>
      <c r="EQ101" s="102" t="str">
        <f t="shared" ref="EQ101" si="2670">IF(EQ48&lt;&gt;"",IF(OR(RIGHT(P47,4)="*0,5",RIGHT(P47,4)="*0,3"),0.5,1),"")</f>
        <v/>
      </c>
      <c r="ER101" s="102" t="str">
        <f t="shared" ref="ER101" si="2671">IF(ER48&lt;&gt;"",IF(OR(RIGHT(Q47,4)="*0,5",RIGHT(Q47,4)="*0,3"),0.5,1),"")</f>
        <v/>
      </c>
      <c r="ES101" s="102" t="str">
        <f t="shared" ref="ES101" si="2672">IF(ES48&lt;&gt;"",IF(OR(RIGHT(R47,4)="*0,5",RIGHT(R47,4)="*0,3"),0.5,1),"")</f>
        <v/>
      </c>
      <c r="ET101" s="102" t="str">
        <f t="shared" ref="ET101" si="2673">IF(ET48&lt;&gt;"",IF(OR(RIGHT(S47,4)="*0,5",RIGHT(S47,4)="*0,3"),0.5,1),"")</f>
        <v/>
      </c>
      <c r="EU101" s="102" t="str">
        <f t="shared" ref="EU101" si="2674">IF(EU48&lt;&gt;"",IF(OR(RIGHT(T47,4)="*0,5",RIGHT(T47,4)="*0,3"),0.5,1),"")</f>
        <v/>
      </c>
      <c r="EV101" s="102" t="str">
        <f t="shared" ref="EV101" si="2675">IF(EV48&lt;&gt;"",IF(OR(RIGHT(U47,4)="*0,5",RIGHT(U47,4)="*0,3"),0.5,1),"")</f>
        <v/>
      </c>
      <c r="EW101" s="102" t="str">
        <f t="shared" ref="EW101" si="2676">IF(EW48&lt;&gt;"",IF(OR(RIGHT(V47,4)="*0,5",RIGHT(V47,4)="*0,3"),0.5,1),"")</f>
        <v/>
      </c>
      <c r="EX101" s="102" t="str">
        <f t="shared" ref="EX101" si="2677">IF(EX48&lt;&gt;"",IF(OR(RIGHT(W47,4)="*0,5",RIGHT(W47,4)="*0,3"),0.5,1),"")</f>
        <v/>
      </c>
      <c r="EY101" s="102" t="str">
        <f t="shared" ref="EY101" si="2678">IF(EY48&lt;&gt;"",IF(OR(RIGHT(X47,4)="*0,5",RIGHT(X47,4)="*0,3"),0.5,1),"")</f>
        <v/>
      </c>
      <c r="EZ101" s="102" t="str">
        <f t="shared" ref="EZ101" si="2679">IF(EZ48&lt;&gt;"",IF(OR(RIGHT(Y47,4)="*0,5",RIGHT(Y47,4)="*0,3"),0.5,1),"")</f>
        <v/>
      </c>
      <c r="FA101" s="102" t="str">
        <f t="shared" ref="FA101" si="2680">IF(FA48&lt;&gt;"",IF(OR(RIGHT(Z47,4)="*0,5",RIGHT(Z47,4)="*0,3"),0.5,1),"")</f>
        <v/>
      </c>
      <c r="FB101" s="102" t="str">
        <f t="shared" ref="FB101" si="2681">IF(FB48&lt;&gt;"",IF(OR(RIGHT(AA47,4)="*0,5",RIGHT(AA47,4)="*0,3"),0.5,1),"")</f>
        <v/>
      </c>
      <c r="FC101" s="102" t="str">
        <f t="shared" ref="FC101" si="2682">IF(FC48&lt;&gt;"",IF(OR(RIGHT(AB47,4)="*0,5",RIGHT(AB47,4)="*0,3"),0.5,1),"")</f>
        <v/>
      </c>
      <c r="FD101" s="102" t="str">
        <f t="shared" ref="FD101" si="2683">IF(FD48&lt;&gt;"",IF(OR(RIGHT(AC47,4)="*0,5",RIGHT(AC47,4)="*0,3"),0.5,1),"")</f>
        <v/>
      </c>
      <c r="FE101" s="102" t="str">
        <f t="shared" ref="FE101" si="2684">IF(FE48&lt;&gt;"",IF(OR(RIGHT(AD47,4)="*0,5",RIGHT(AD47,4)="*0,3"),0.5,1),"")</f>
        <v/>
      </c>
      <c r="FF101" s="102" t="str">
        <f t="shared" ref="FF101" si="2685">IF(FF48&lt;&gt;"",IF(OR(RIGHT(AE47,4)="*0,5",RIGHT(AE47,4)="*0,3"),0.5,1),"")</f>
        <v/>
      </c>
      <c r="FG101" s="102" t="str">
        <f t="shared" ref="FG101" si="2686">IF(FG48&lt;&gt;"",IF(OR(RIGHT(AF47,4)="*0,5",RIGHT(AF47,4)="*0,3"),0.5,1),"")</f>
        <v/>
      </c>
      <c r="FH101" s="102" t="str">
        <f t="shared" ref="FH101" si="2687">IF(FH48&lt;&gt;"",IF(OR(RIGHT(AG47,4)="*0,5",RIGHT(AG47,4)="*0,3"),0.5,1),"")</f>
        <v/>
      </c>
      <c r="FI101" s="102" t="str">
        <f t="shared" ref="FI101" si="2688">IF(FI48&lt;&gt;"",IF(OR(RIGHT(AH47,4)="*0,5",RIGHT(AH47,4)="*0,3"),0.5,1),"")</f>
        <v/>
      </c>
      <c r="FJ101" s="102" t="str">
        <f t="shared" ref="FJ101" si="2689">IF(FJ48&lt;&gt;"",IF(OR(RIGHT(AI47,4)="*0,5",RIGHT(AI47,4)="*0,3"),0.5,1),"")</f>
        <v/>
      </c>
      <c r="FK101" s="102" t="str">
        <f t="shared" ref="FK101" si="2690">IF(FK48&lt;&gt;"",IF(OR(RIGHT(AJ47,4)="*0,5",RIGHT(AJ47,4)="*0,3"),0.5,1),"")</f>
        <v/>
      </c>
      <c r="FL101" s="102" t="str">
        <f t="shared" ref="FL101" si="2691">IF(FL48&lt;&gt;"",IF(OR(RIGHT(AK47,4)="*0,5",RIGHT(AK47,4)="*0,3"),0.5,1),"")</f>
        <v/>
      </c>
      <c r="FM101" s="102" t="str">
        <f t="shared" ref="FM101" si="2692">IF(FM48&lt;&gt;"",IF(OR(RIGHT(AL47,4)="*0,5",RIGHT(AL47,4)="*0,3"),0.5,1),"")</f>
        <v/>
      </c>
      <c r="FN101" s="102" t="str">
        <f t="shared" ref="FN101" si="2693">IF(FN48&lt;&gt;"",IF(OR(RIGHT(AM47,4)="*0,5",RIGHT(AM47,4)="*0,3"),0.5,1),"")</f>
        <v/>
      </c>
      <c r="FQ101" s="102"/>
      <c r="FR101" s="102"/>
      <c r="FS101" s="102"/>
      <c r="FT101" s="102"/>
      <c r="FU101" s="102"/>
      <c r="FV101" s="102"/>
      <c r="FW101" s="102"/>
      <c r="FX101" s="102"/>
      <c r="FY101" s="102"/>
      <c r="FZ101" s="102"/>
      <c r="GA101" s="102"/>
      <c r="GB101" s="102"/>
      <c r="GC101" s="102"/>
      <c r="GD101" s="102"/>
      <c r="GE101" s="102"/>
      <c r="GF101" s="102"/>
      <c r="GG101" s="102"/>
      <c r="GH101" s="102"/>
      <c r="GI101" s="102"/>
      <c r="GJ101" s="102"/>
      <c r="GK101" s="102"/>
      <c r="GL101" s="102"/>
      <c r="GM101" s="102"/>
      <c r="GN101" s="102"/>
      <c r="GO101" s="102"/>
      <c r="GP101" s="102"/>
      <c r="GQ101" s="102"/>
      <c r="GR101" s="102"/>
      <c r="GS101" s="102"/>
      <c r="GT101" s="102"/>
      <c r="GU101" s="102"/>
    </row>
    <row r="102" spans="7:203" x14ac:dyDescent="0.25">
      <c r="G102" s="132">
        <v>45601</v>
      </c>
      <c r="H102" s="132"/>
      <c r="I102" s="135" t="s">
        <v>1968</v>
      </c>
      <c r="J102" s="12" t="s">
        <v>1969</v>
      </c>
      <c r="EM102" s="105"/>
      <c r="EN102" s="105"/>
      <c r="FQ102" s="102"/>
      <c r="FR102" s="102"/>
      <c r="FS102" s="102"/>
      <c r="FT102" s="102"/>
      <c r="FU102" s="102"/>
      <c r="FV102" s="102"/>
      <c r="FW102" s="102"/>
      <c r="FX102" s="102"/>
      <c r="FY102" s="102"/>
      <c r="FZ102" s="102"/>
      <c r="GA102" s="102"/>
      <c r="GB102" s="102"/>
      <c r="GC102" s="102"/>
      <c r="GD102" s="102"/>
      <c r="GE102" s="102"/>
      <c r="GF102" s="102"/>
      <c r="GG102" s="102"/>
      <c r="GH102" s="102"/>
      <c r="GI102" s="102"/>
      <c r="GJ102" s="102"/>
      <c r="GK102" s="102"/>
      <c r="GL102" s="102"/>
      <c r="GM102" s="102"/>
      <c r="GN102" s="102"/>
      <c r="GO102" s="102"/>
      <c r="GP102" s="102"/>
      <c r="GQ102" s="102"/>
      <c r="GR102" s="102"/>
      <c r="GS102" s="102"/>
      <c r="GT102" s="102"/>
      <c r="GU102" s="102"/>
    </row>
    <row r="103" spans="7:203" x14ac:dyDescent="0.25">
      <c r="G103" s="132">
        <v>45602</v>
      </c>
      <c r="H103" s="133"/>
      <c r="I103" s="135" t="s">
        <v>1973</v>
      </c>
      <c r="J103" s="12" t="s">
        <v>1974</v>
      </c>
      <c r="EI103" s="102" t="str">
        <f t="shared" ref="EI103" si="2694">IF(SUM(EK103:FN103)&gt;5,"X","")</f>
        <v/>
      </c>
      <c r="EK103" s="102" t="str">
        <f t="shared" ref="EK103" si="2695">IF(EK50&lt;&gt;"",IF(OR(RIGHT(J49,4)="*0,5",RIGHT(J49,4)="*0,3"),0.5,1),"")</f>
        <v/>
      </c>
      <c r="EL103" s="102" t="str">
        <f t="shared" ref="EL103" si="2696">IF(EL50&lt;&gt;"",IF(OR(RIGHT(K49,4)="*0,5",RIGHT(K49,4)="*0,3"),0.5,1),"")</f>
        <v/>
      </c>
      <c r="EM103" s="102" t="str">
        <f t="shared" ref="EM103" si="2697">IF(EM50&lt;&gt;"",IF(OR(RIGHT(L49,4)="*0,5",RIGHT(L49,4)="*0,3"),0.5,1),"")</f>
        <v/>
      </c>
      <c r="EN103" s="102" t="str">
        <f t="shared" ref="EN103" si="2698">IF(EN50&lt;&gt;"",IF(OR(RIGHT(M49,4)="*0,5",RIGHT(M49,4)="*0,3"),0.5,1),"")</f>
        <v/>
      </c>
      <c r="EO103" s="102" t="str">
        <f t="shared" ref="EO103" si="2699">IF(EO50&lt;&gt;"",IF(OR(RIGHT(N49,4)="*0,5",RIGHT(N49,4)="*0,3"),0.5,1),"")</f>
        <v/>
      </c>
      <c r="EP103" s="102" t="str">
        <f t="shared" ref="EP103" si="2700">IF(EP50&lt;&gt;"",IF(OR(RIGHT(O49,4)="*0,5",RIGHT(O49,4)="*0,3"),0.5,1),"")</f>
        <v/>
      </c>
      <c r="EQ103" s="102" t="str">
        <f t="shared" ref="EQ103" si="2701">IF(EQ50&lt;&gt;"",IF(OR(RIGHT(P49,4)="*0,5",RIGHT(P49,4)="*0,3"),0.5,1),"")</f>
        <v/>
      </c>
      <c r="ER103" s="102" t="str">
        <f t="shared" ref="ER103" si="2702">IF(ER50&lt;&gt;"",IF(OR(RIGHT(Q49,4)="*0,5",RIGHT(Q49,4)="*0,3"),0.5,1),"")</f>
        <v/>
      </c>
      <c r="ES103" s="102" t="str">
        <f t="shared" ref="ES103" si="2703">IF(ES50&lt;&gt;"",IF(OR(RIGHT(R49,4)="*0,5",RIGHT(R49,4)="*0,3"),0.5,1),"")</f>
        <v/>
      </c>
      <c r="ET103" s="102" t="str">
        <f t="shared" ref="ET103" si="2704">IF(ET50&lt;&gt;"",IF(OR(RIGHT(S49,4)="*0,5",RIGHT(S49,4)="*0,3"),0.5,1),"")</f>
        <v/>
      </c>
      <c r="EU103" s="102" t="str">
        <f t="shared" ref="EU103" si="2705">IF(EU50&lt;&gt;"",IF(OR(RIGHT(T49,4)="*0,5",RIGHT(T49,4)="*0,3"),0.5,1),"")</f>
        <v/>
      </c>
      <c r="EV103" s="102" t="str">
        <f t="shared" ref="EV103" si="2706">IF(EV50&lt;&gt;"",IF(OR(RIGHT(U49,4)="*0,5",RIGHT(U49,4)="*0,3"),0.5,1),"")</f>
        <v/>
      </c>
      <c r="EW103" s="102" t="str">
        <f t="shared" ref="EW103" si="2707">IF(EW50&lt;&gt;"",IF(OR(RIGHT(V49,4)="*0,5",RIGHT(V49,4)="*0,3"),0.5,1),"")</f>
        <v/>
      </c>
      <c r="EX103" s="102" t="str">
        <f t="shared" ref="EX103" si="2708">IF(EX50&lt;&gt;"",IF(OR(RIGHT(W49,4)="*0,5",RIGHT(W49,4)="*0,3"),0.5,1),"")</f>
        <v/>
      </c>
      <c r="EY103" s="102" t="str">
        <f t="shared" ref="EY103" si="2709">IF(EY50&lt;&gt;"",IF(OR(RIGHT(X49,4)="*0,5",RIGHT(X49,4)="*0,3"),0.5,1),"")</f>
        <v/>
      </c>
      <c r="EZ103" s="102" t="str">
        <f t="shared" ref="EZ103" si="2710">IF(EZ50&lt;&gt;"",IF(OR(RIGHT(Y49,4)="*0,5",RIGHT(Y49,4)="*0,3"),0.5,1),"")</f>
        <v/>
      </c>
      <c r="FA103" s="102" t="str">
        <f t="shared" ref="FA103" si="2711">IF(FA50&lt;&gt;"",IF(OR(RIGHT(Z49,4)="*0,5",RIGHT(Z49,4)="*0,3"),0.5,1),"")</f>
        <v/>
      </c>
      <c r="FB103" s="102" t="str">
        <f t="shared" ref="FB103" si="2712">IF(FB50&lt;&gt;"",IF(OR(RIGHT(AA49,4)="*0,5",RIGHT(AA49,4)="*0,3"),0.5,1),"")</f>
        <v/>
      </c>
      <c r="FC103" s="102" t="str">
        <f t="shared" ref="FC103" si="2713">IF(FC50&lt;&gt;"",IF(OR(RIGHT(AB49,4)="*0,5",RIGHT(AB49,4)="*0,3"),0.5,1),"")</f>
        <v/>
      </c>
      <c r="FD103" s="102" t="str">
        <f t="shared" ref="FD103" si="2714">IF(FD50&lt;&gt;"",IF(OR(RIGHT(AC49,4)="*0,5",RIGHT(AC49,4)="*0,3"),0.5,1),"")</f>
        <v/>
      </c>
      <c r="FE103" s="102" t="str">
        <f t="shared" ref="FE103" si="2715">IF(FE50&lt;&gt;"",IF(OR(RIGHT(AD49,4)="*0,5",RIGHT(AD49,4)="*0,3"),0.5,1),"")</f>
        <v/>
      </c>
      <c r="FF103" s="102" t="str">
        <f t="shared" ref="FF103" si="2716">IF(FF50&lt;&gt;"",IF(OR(RIGHT(AE49,4)="*0,5",RIGHT(AE49,4)="*0,3"),0.5,1),"")</f>
        <v/>
      </c>
      <c r="FG103" s="102" t="str">
        <f t="shared" ref="FG103" si="2717">IF(FG50&lt;&gt;"",IF(OR(RIGHT(AF49,4)="*0,5",RIGHT(AF49,4)="*0,3"),0.5,1),"")</f>
        <v/>
      </c>
      <c r="FH103" s="102" t="str">
        <f t="shared" ref="FH103" si="2718">IF(FH50&lt;&gt;"",IF(OR(RIGHT(AG49,4)="*0,5",RIGHT(AG49,4)="*0,3"),0.5,1),"")</f>
        <v/>
      </c>
      <c r="FI103" s="102" t="str">
        <f t="shared" ref="FI103" si="2719">IF(FI50&lt;&gt;"",IF(OR(RIGHT(AH49,4)="*0,5",RIGHT(AH49,4)="*0,3"),0.5,1),"")</f>
        <v/>
      </c>
      <c r="FJ103" s="102" t="str">
        <f t="shared" ref="FJ103" si="2720">IF(FJ50&lt;&gt;"",IF(OR(RIGHT(AI49,4)="*0,5",RIGHT(AI49,4)="*0,3"),0.5,1),"")</f>
        <v/>
      </c>
      <c r="FK103" s="102" t="str">
        <f t="shared" ref="FK103" si="2721">IF(FK50&lt;&gt;"",IF(OR(RIGHT(AJ49,4)="*0,5",RIGHT(AJ49,4)="*0,3"),0.5,1),"")</f>
        <v/>
      </c>
      <c r="FL103" s="102" t="str">
        <f t="shared" ref="FL103" si="2722">IF(FL50&lt;&gt;"",IF(OR(RIGHT(AK49,4)="*0,5",RIGHT(AK49,4)="*0,3"),0.5,1),"")</f>
        <v/>
      </c>
      <c r="FM103" s="102" t="str">
        <f t="shared" ref="FM103" si="2723">IF(FM50&lt;&gt;"",IF(OR(RIGHT(AL49,4)="*0,5",RIGHT(AL49,4)="*0,3"),0.5,1),"")</f>
        <v/>
      </c>
      <c r="FN103" s="102" t="str">
        <f t="shared" ref="FN103" si="2724">IF(FN50&lt;&gt;"",IF(OR(RIGHT(AM49,4)="*0,5",RIGHT(AM49,4)="*0,3"),0.5,1),"")</f>
        <v/>
      </c>
      <c r="FO103" s="105">
        <v>12</v>
      </c>
      <c r="FP103" s="102"/>
      <c r="FQ103" s="102"/>
      <c r="FR103" s="102">
        <f t="shared" ref="FR103:GU103" ca="1" si="2725">IFERROR(IF(AND(OFFSET($E$20,$FO103,0)="H",OFFSET(J$19,$FO103,0)&lt;&gt;""),UPPER(OFFSET(J$19,$FO103,0)),FR$18),FR$18)</f>
        <v>1</v>
      </c>
      <c r="FS103" s="102">
        <f t="shared" ca="1" si="2725"/>
        <v>2</v>
      </c>
      <c r="FT103" s="102">
        <f t="shared" ca="1" si="2725"/>
        <v>3</v>
      </c>
      <c r="FU103" s="102">
        <f t="shared" ca="1" si="2725"/>
        <v>4</v>
      </c>
      <c r="FV103" s="102">
        <f t="shared" ca="1" si="2725"/>
        <v>5</v>
      </c>
      <c r="FW103" s="102">
        <f t="shared" ca="1" si="2725"/>
        <v>6</v>
      </c>
      <c r="FX103" s="102">
        <f t="shared" ca="1" si="2725"/>
        <v>7</v>
      </c>
      <c r="FY103" s="102">
        <f t="shared" ca="1" si="2725"/>
        <v>8</v>
      </c>
      <c r="FZ103" s="102">
        <f t="shared" ca="1" si="2725"/>
        <v>9</v>
      </c>
      <c r="GA103" s="102">
        <f t="shared" ca="1" si="2725"/>
        <v>10</v>
      </c>
      <c r="GB103" s="102">
        <f t="shared" ca="1" si="2725"/>
        <v>11</v>
      </c>
      <c r="GC103" s="102">
        <f t="shared" ca="1" si="2725"/>
        <v>12</v>
      </c>
      <c r="GD103" s="102">
        <f t="shared" ca="1" si="2725"/>
        <v>13</v>
      </c>
      <c r="GE103" s="102">
        <f t="shared" ca="1" si="2725"/>
        <v>14</v>
      </c>
      <c r="GF103" s="102">
        <f t="shared" ca="1" si="2725"/>
        <v>15</v>
      </c>
      <c r="GG103" s="102">
        <f t="shared" ca="1" si="2725"/>
        <v>16</v>
      </c>
      <c r="GH103" s="102">
        <f t="shared" ca="1" si="2725"/>
        <v>17</v>
      </c>
      <c r="GI103" s="102">
        <f t="shared" ca="1" si="2725"/>
        <v>18</v>
      </c>
      <c r="GJ103" s="102">
        <f t="shared" ca="1" si="2725"/>
        <v>19</v>
      </c>
      <c r="GK103" s="102">
        <f t="shared" ca="1" si="2725"/>
        <v>20</v>
      </c>
      <c r="GL103" s="102">
        <f t="shared" ca="1" si="2725"/>
        <v>21</v>
      </c>
      <c r="GM103" s="102">
        <f t="shared" ca="1" si="2725"/>
        <v>22</v>
      </c>
      <c r="GN103" s="102">
        <f t="shared" ca="1" si="2725"/>
        <v>23</v>
      </c>
      <c r="GO103" s="102">
        <f t="shared" ca="1" si="2725"/>
        <v>24</v>
      </c>
      <c r="GP103" s="102">
        <f t="shared" ca="1" si="2725"/>
        <v>25</v>
      </c>
      <c r="GQ103" s="102">
        <f t="shared" ca="1" si="2725"/>
        <v>26</v>
      </c>
      <c r="GR103" s="102">
        <f t="shared" ca="1" si="2725"/>
        <v>27</v>
      </c>
      <c r="GS103" s="102">
        <f t="shared" ca="1" si="2725"/>
        <v>28</v>
      </c>
      <c r="GT103" s="102">
        <f t="shared" ca="1" si="2725"/>
        <v>29</v>
      </c>
      <c r="GU103" s="102">
        <f t="shared" ca="1" si="2725"/>
        <v>30</v>
      </c>
    </row>
    <row r="104" spans="7:203" x14ac:dyDescent="0.25">
      <c r="G104" s="132">
        <v>45606</v>
      </c>
      <c r="H104" s="133"/>
      <c r="I104" s="135" t="s">
        <v>1975</v>
      </c>
      <c r="J104" s="12" t="s">
        <v>1976</v>
      </c>
      <c r="EM104" s="105"/>
      <c r="EN104" s="105"/>
      <c r="FR104" s="102">
        <f t="shared" ref="FR104:GU104" ca="1" si="2726">IFERROR(IF(AND(OFFSET($E$20,$FO103,0)="H",OFFSET(J$19,$FO103,0)&lt;&gt;"",OFFSET($F49,$FO103,0)&lt;&gt;"Hybrid - Thrust + 2 connections"),INDEX(Hyb_Tech,MATCH(OFFSET(J$19,$FO103,0),Hyb_Code,0)),FR$72),FR$72)</f>
        <v>1</v>
      </c>
      <c r="FS104" s="102">
        <f t="shared" ca="1" si="2726"/>
        <v>2</v>
      </c>
      <c r="FT104" s="102">
        <f t="shared" ca="1" si="2726"/>
        <v>3</v>
      </c>
      <c r="FU104" s="102">
        <f t="shared" ca="1" si="2726"/>
        <v>4</v>
      </c>
      <c r="FV104" s="102">
        <f t="shared" ca="1" si="2726"/>
        <v>5</v>
      </c>
      <c r="FW104" s="102">
        <f t="shared" ca="1" si="2726"/>
        <v>6</v>
      </c>
      <c r="FX104" s="102">
        <f t="shared" ca="1" si="2726"/>
        <v>7</v>
      </c>
      <c r="FY104" s="102">
        <f t="shared" ca="1" si="2726"/>
        <v>8</v>
      </c>
      <c r="FZ104" s="102">
        <f t="shared" ca="1" si="2726"/>
        <v>9</v>
      </c>
      <c r="GA104" s="102">
        <f t="shared" ca="1" si="2726"/>
        <v>10</v>
      </c>
      <c r="GB104" s="102">
        <f t="shared" ca="1" si="2726"/>
        <v>11</v>
      </c>
      <c r="GC104" s="102">
        <f t="shared" ca="1" si="2726"/>
        <v>12</v>
      </c>
      <c r="GD104" s="102">
        <f t="shared" ca="1" si="2726"/>
        <v>13</v>
      </c>
      <c r="GE104" s="102">
        <f t="shared" ca="1" si="2726"/>
        <v>14</v>
      </c>
      <c r="GF104" s="102">
        <f t="shared" ca="1" si="2726"/>
        <v>15</v>
      </c>
      <c r="GG104" s="102">
        <f t="shared" ca="1" si="2726"/>
        <v>16</v>
      </c>
      <c r="GH104" s="102">
        <f t="shared" ca="1" si="2726"/>
        <v>17</v>
      </c>
      <c r="GI104" s="102">
        <f t="shared" ca="1" si="2726"/>
        <v>18</v>
      </c>
      <c r="GJ104" s="102">
        <f t="shared" ca="1" si="2726"/>
        <v>19</v>
      </c>
      <c r="GK104" s="102">
        <f t="shared" ca="1" si="2726"/>
        <v>20</v>
      </c>
      <c r="GL104" s="102">
        <f t="shared" ca="1" si="2726"/>
        <v>21</v>
      </c>
      <c r="GM104" s="102">
        <f t="shared" ca="1" si="2726"/>
        <v>22</v>
      </c>
      <c r="GN104" s="102">
        <f t="shared" ca="1" si="2726"/>
        <v>23</v>
      </c>
      <c r="GO104" s="102">
        <f t="shared" ca="1" si="2726"/>
        <v>24</v>
      </c>
      <c r="GP104" s="102">
        <f t="shared" ca="1" si="2726"/>
        <v>25</v>
      </c>
      <c r="GQ104" s="102">
        <f t="shared" ca="1" si="2726"/>
        <v>26</v>
      </c>
      <c r="GR104" s="102">
        <f t="shared" ca="1" si="2726"/>
        <v>27</v>
      </c>
      <c r="GS104" s="102">
        <f t="shared" ca="1" si="2726"/>
        <v>28</v>
      </c>
      <c r="GT104" s="102">
        <f t="shared" ca="1" si="2726"/>
        <v>29</v>
      </c>
      <c r="GU104" s="102">
        <f t="shared" ca="1" si="2726"/>
        <v>30</v>
      </c>
    </row>
    <row r="105" spans="7:203" x14ac:dyDescent="0.25">
      <c r="G105" s="132">
        <v>45607</v>
      </c>
      <c r="H105" s="133"/>
      <c r="I105" s="135" t="s">
        <v>2016</v>
      </c>
      <c r="J105" s="12" t="s">
        <v>2017</v>
      </c>
      <c r="EI105" s="102" t="str">
        <f t="shared" ref="EI105" si="2727">IF(SUM(EK105:FN105)&gt;5,"X","")</f>
        <v/>
      </c>
      <c r="EK105" s="102" t="str">
        <f t="shared" ref="EK105" si="2728">IF(EK52&lt;&gt;"",IF(OR(RIGHT(J51,4)="*0,5",RIGHT(J51,4)="*0,3"),0.5,1),"")</f>
        <v/>
      </c>
      <c r="EL105" s="102" t="str">
        <f t="shared" ref="EL105" si="2729">IF(EL52&lt;&gt;"",IF(OR(RIGHT(K51,4)="*0,5",RIGHT(K51,4)="*0,3"),0.5,1),"")</f>
        <v/>
      </c>
      <c r="EM105" s="102" t="str">
        <f t="shared" ref="EM105" si="2730">IF(EM52&lt;&gt;"",IF(OR(RIGHT(L51,4)="*0,5",RIGHT(L51,4)="*0,3"),0.5,1),"")</f>
        <v/>
      </c>
      <c r="EN105" s="102" t="str">
        <f t="shared" ref="EN105" si="2731">IF(EN52&lt;&gt;"",IF(OR(RIGHT(M51,4)="*0,5",RIGHT(M51,4)="*0,3"),0.5,1),"")</f>
        <v/>
      </c>
      <c r="EO105" s="102" t="str">
        <f t="shared" ref="EO105" si="2732">IF(EO52&lt;&gt;"",IF(OR(RIGHT(N51,4)="*0,5",RIGHT(N51,4)="*0,3"),0.5,1),"")</f>
        <v/>
      </c>
      <c r="EP105" s="102" t="str">
        <f t="shared" ref="EP105" si="2733">IF(EP52&lt;&gt;"",IF(OR(RIGHT(O51,4)="*0,5",RIGHT(O51,4)="*0,3"),0.5,1),"")</f>
        <v/>
      </c>
      <c r="EQ105" s="102" t="str">
        <f t="shared" ref="EQ105" si="2734">IF(EQ52&lt;&gt;"",IF(OR(RIGHT(P51,4)="*0,5",RIGHT(P51,4)="*0,3"),0.5,1),"")</f>
        <v/>
      </c>
      <c r="ER105" s="102" t="str">
        <f t="shared" ref="ER105" si="2735">IF(ER52&lt;&gt;"",IF(OR(RIGHT(Q51,4)="*0,5",RIGHT(Q51,4)="*0,3"),0.5,1),"")</f>
        <v/>
      </c>
      <c r="ES105" s="102" t="str">
        <f t="shared" ref="ES105" si="2736">IF(ES52&lt;&gt;"",IF(OR(RIGHT(R51,4)="*0,5",RIGHT(R51,4)="*0,3"),0.5,1),"")</f>
        <v/>
      </c>
      <c r="ET105" s="102" t="str">
        <f t="shared" ref="ET105" si="2737">IF(ET52&lt;&gt;"",IF(OR(RIGHT(S51,4)="*0,5",RIGHT(S51,4)="*0,3"),0.5,1),"")</f>
        <v/>
      </c>
      <c r="EU105" s="102" t="str">
        <f t="shared" ref="EU105" si="2738">IF(EU52&lt;&gt;"",IF(OR(RIGHT(T51,4)="*0,5",RIGHT(T51,4)="*0,3"),0.5,1),"")</f>
        <v/>
      </c>
      <c r="EV105" s="102" t="str">
        <f t="shared" ref="EV105" si="2739">IF(EV52&lt;&gt;"",IF(OR(RIGHT(U51,4)="*0,5",RIGHT(U51,4)="*0,3"),0.5,1),"")</f>
        <v/>
      </c>
      <c r="EW105" s="102" t="str">
        <f t="shared" ref="EW105" si="2740">IF(EW52&lt;&gt;"",IF(OR(RIGHT(V51,4)="*0,5",RIGHT(V51,4)="*0,3"),0.5,1),"")</f>
        <v/>
      </c>
      <c r="EX105" s="102" t="str">
        <f t="shared" ref="EX105" si="2741">IF(EX52&lt;&gt;"",IF(OR(RIGHT(W51,4)="*0,5",RIGHT(W51,4)="*0,3"),0.5,1),"")</f>
        <v/>
      </c>
      <c r="EY105" s="102" t="str">
        <f t="shared" ref="EY105" si="2742">IF(EY52&lt;&gt;"",IF(OR(RIGHT(X51,4)="*0,5",RIGHT(X51,4)="*0,3"),0.5,1),"")</f>
        <v/>
      </c>
      <c r="EZ105" s="102" t="str">
        <f t="shared" ref="EZ105" si="2743">IF(EZ52&lt;&gt;"",IF(OR(RIGHT(Y51,4)="*0,5",RIGHT(Y51,4)="*0,3"),0.5,1),"")</f>
        <v/>
      </c>
      <c r="FA105" s="102" t="str">
        <f t="shared" ref="FA105" si="2744">IF(FA52&lt;&gt;"",IF(OR(RIGHT(Z51,4)="*0,5",RIGHT(Z51,4)="*0,3"),0.5,1),"")</f>
        <v/>
      </c>
      <c r="FB105" s="102" t="str">
        <f t="shared" ref="FB105" si="2745">IF(FB52&lt;&gt;"",IF(OR(RIGHT(AA51,4)="*0,5",RIGHT(AA51,4)="*0,3"),0.5,1),"")</f>
        <v/>
      </c>
      <c r="FC105" s="102" t="str">
        <f t="shared" ref="FC105" si="2746">IF(FC52&lt;&gt;"",IF(OR(RIGHT(AB51,4)="*0,5",RIGHT(AB51,4)="*0,3"),0.5,1),"")</f>
        <v/>
      </c>
      <c r="FD105" s="102" t="str">
        <f t="shared" ref="FD105" si="2747">IF(FD52&lt;&gt;"",IF(OR(RIGHT(AC51,4)="*0,5",RIGHT(AC51,4)="*0,3"),0.5,1),"")</f>
        <v/>
      </c>
      <c r="FE105" s="102" t="str">
        <f t="shared" ref="FE105" si="2748">IF(FE52&lt;&gt;"",IF(OR(RIGHT(AD51,4)="*0,5",RIGHT(AD51,4)="*0,3"),0.5,1),"")</f>
        <v/>
      </c>
      <c r="FF105" s="102" t="str">
        <f t="shared" ref="FF105" si="2749">IF(FF52&lt;&gt;"",IF(OR(RIGHT(AE51,4)="*0,5",RIGHT(AE51,4)="*0,3"),0.5,1),"")</f>
        <v/>
      </c>
      <c r="FG105" s="102" t="str">
        <f t="shared" ref="FG105" si="2750">IF(FG52&lt;&gt;"",IF(OR(RIGHT(AF51,4)="*0,5",RIGHT(AF51,4)="*0,3"),0.5,1),"")</f>
        <v/>
      </c>
      <c r="FH105" s="102" t="str">
        <f t="shared" ref="FH105" si="2751">IF(FH52&lt;&gt;"",IF(OR(RIGHT(AG51,4)="*0,5",RIGHT(AG51,4)="*0,3"),0.5,1),"")</f>
        <v/>
      </c>
      <c r="FI105" s="102" t="str">
        <f t="shared" ref="FI105" si="2752">IF(FI52&lt;&gt;"",IF(OR(RIGHT(AH51,4)="*0,5",RIGHT(AH51,4)="*0,3"),0.5,1),"")</f>
        <v/>
      </c>
      <c r="FJ105" s="102" t="str">
        <f t="shared" ref="FJ105" si="2753">IF(FJ52&lt;&gt;"",IF(OR(RIGHT(AI51,4)="*0,5",RIGHT(AI51,4)="*0,3"),0.5,1),"")</f>
        <v/>
      </c>
      <c r="FK105" s="102" t="str">
        <f t="shared" ref="FK105" si="2754">IF(FK52&lt;&gt;"",IF(OR(RIGHT(AJ51,4)="*0,5",RIGHT(AJ51,4)="*0,3"),0.5,1),"")</f>
        <v/>
      </c>
      <c r="FL105" s="102" t="str">
        <f t="shared" ref="FL105" si="2755">IF(FL52&lt;&gt;"",IF(OR(RIGHT(AK51,4)="*0,5",RIGHT(AK51,4)="*0,3"),0.5,1),"")</f>
        <v/>
      </c>
      <c r="FM105" s="102" t="str">
        <f t="shared" ref="FM105" si="2756">IF(FM52&lt;&gt;"",IF(OR(RIGHT(AL51,4)="*0,5",RIGHT(AL51,4)="*0,3"),0.5,1),"")</f>
        <v/>
      </c>
      <c r="FN105" s="102" t="str">
        <f t="shared" ref="FN105" si="2757">IF(FN52&lt;&gt;"",IF(OR(RIGHT(AM51,4)="*0,5",RIGHT(AM51,4)="*0,3"),0.5,1),"")</f>
        <v/>
      </c>
      <c r="FP105" s="105" t="str">
        <f t="shared" ref="FP105" ca="1" si="2758">IFERROR(IF(SUM(FR105:GU105)&gt;2,OFFSET($FR$73,$FO103*5/2,MATCH(1,FR105:GU105,0)-1),""),"")</f>
        <v/>
      </c>
      <c r="FQ105" s="102" t="str">
        <f ca="1">IFERROR(IF(LEFT(FP105,1)="C",IF(RIGHT(FP105,1)="+",LEFT(FP105,LEN(FP105)-1),CONCATENATE(FP105,"+")),IF(SUM($FR105:$GU105)&gt;$FP$18,OFFSET($FR$73,$FO103*5/2,MATCH(0.5,FR105:GU105,0)),"")),"")</f>
        <v/>
      </c>
      <c r="FR105" s="102" t="str">
        <f t="shared" ref="FR105:GU105" ca="1" si="2759">IF(AND($BV$6="D",LEFT(FR103,1)="C"),IF(COUNTIF($FR104:$GU104,FR104)&gt;$FP$18-1,INDEX(Hyb_Tech_Value,MATCH(FR103,Hyb_Code,0)),""),IF(COUNTIF($FR104:$GU104,FR104)&gt;$FP$18,INDEX(Hyb_Tech_Value,MATCH(FR103,Hyb_Code,0)),""))</f>
        <v/>
      </c>
      <c r="FS105" s="102" t="str">
        <f t="shared" ca="1" si="2759"/>
        <v/>
      </c>
      <c r="FT105" s="102" t="str">
        <f t="shared" ca="1" si="2759"/>
        <v/>
      </c>
      <c r="FU105" s="102" t="str">
        <f t="shared" ca="1" si="2759"/>
        <v/>
      </c>
      <c r="FV105" s="102" t="str">
        <f t="shared" ca="1" si="2759"/>
        <v/>
      </c>
      <c r="FW105" s="102" t="str">
        <f t="shared" ca="1" si="2759"/>
        <v/>
      </c>
      <c r="FX105" s="102" t="str">
        <f t="shared" ca="1" si="2759"/>
        <v/>
      </c>
      <c r="FY105" s="102" t="str">
        <f t="shared" ca="1" si="2759"/>
        <v/>
      </c>
      <c r="FZ105" s="102" t="str">
        <f t="shared" ca="1" si="2759"/>
        <v/>
      </c>
      <c r="GA105" s="102" t="str">
        <f t="shared" ca="1" si="2759"/>
        <v/>
      </c>
      <c r="GB105" s="102" t="str">
        <f t="shared" ca="1" si="2759"/>
        <v/>
      </c>
      <c r="GC105" s="102" t="str">
        <f t="shared" ca="1" si="2759"/>
        <v/>
      </c>
      <c r="GD105" s="102" t="str">
        <f t="shared" ca="1" si="2759"/>
        <v/>
      </c>
      <c r="GE105" s="102" t="str">
        <f t="shared" ca="1" si="2759"/>
        <v/>
      </c>
      <c r="GF105" s="102" t="str">
        <f t="shared" ca="1" si="2759"/>
        <v/>
      </c>
      <c r="GG105" s="102" t="str">
        <f t="shared" ca="1" si="2759"/>
        <v/>
      </c>
      <c r="GH105" s="102" t="str">
        <f t="shared" ca="1" si="2759"/>
        <v/>
      </c>
      <c r="GI105" s="102" t="str">
        <f t="shared" ca="1" si="2759"/>
        <v/>
      </c>
      <c r="GJ105" s="102" t="str">
        <f t="shared" ca="1" si="2759"/>
        <v/>
      </c>
      <c r="GK105" s="102" t="str">
        <f t="shared" ca="1" si="2759"/>
        <v/>
      </c>
      <c r="GL105" s="102" t="str">
        <f t="shared" ca="1" si="2759"/>
        <v/>
      </c>
      <c r="GM105" s="102" t="str">
        <f t="shared" ca="1" si="2759"/>
        <v/>
      </c>
      <c r="GN105" s="102" t="str">
        <f t="shared" ca="1" si="2759"/>
        <v/>
      </c>
      <c r="GO105" s="102" t="str">
        <f t="shared" ca="1" si="2759"/>
        <v/>
      </c>
      <c r="GP105" s="102" t="str">
        <f t="shared" ca="1" si="2759"/>
        <v/>
      </c>
      <c r="GQ105" s="102" t="str">
        <f t="shared" ca="1" si="2759"/>
        <v/>
      </c>
      <c r="GR105" s="102" t="str">
        <f t="shared" ca="1" si="2759"/>
        <v/>
      </c>
      <c r="GS105" s="102" t="str">
        <f t="shared" ca="1" si="2759"/>
        <v/>
      </c>
      <c r="GT105" s="102" t="str">
        <f t="shared" ca="1" si="2759"/>
        <v/>
      </c>
      <c r="GU105" s="102" t="str">
        <f t="shared" ca="1" si="2759"/>
        <v/>
      </c>
    </row>
    <row r="106" spans="7:203" x14ac:dyDescent="0.25">
      <c r="G106" s="132">
        <v>45618</v>
      </c>
      <c r="H106" s="133"/>
      <c r="I106" s="12" t="s">
        <v>2269</v>
      </c>
      <c r="J106" s="12" t="s">
        <v>2021</v>
      </c>
      <c r="EM106" s="105"/>
      <c r="EN106" s="105"/>
      <c r="FQ106" s="102"/>
      <c r="FR106" s="102"/>
      <c r="FS106" s="102"/>
      <c r="FT106" s="102"/>
      <c r="FU106" s="102"/>
      <c r="FV106" s="102"/>
      <c r="FW106" s="102"/>
      <c r="FX106" s="102"/>
      <c r="FY106" s="102"/>
      <c r="FZ106" s="102"/>
      <c r="GA106" s="102"/>
      <c r="GB106" s="102"/>
      <c r="GC106" s="102"/>
      <c r="GD106" s="102"/>
      <c r="GE106" s="102"/>
      <c r="GF106" s="102"/>
      <c r="GG106" s="102"/>
      <c r="GH106" s="102"/>
      <c r="GI106" s="102"/>
      <c r="GJ106" s="102"/>
      <c r="GK106" s="102"/>
      <c r="GL106" s="102"/>
      <c r="GM106" s="102"/>
      <c r="GN106" s="102"/>
      <c r="GO106" s="102"/>
      <c r="GP106" s="102"/>
      <c r="GQ106" s="102"/>
      <c r="GR106" s="102"/>
      <c r="GS106" s="102"/>
      <c r="GT106" s="102"/>
      <c r="GU106" s="102"/>
    </row>
    <row r="107" spans="7:203" x14ac:dyDescent="0.25">
      <c r="G107" s="132">
        <v>45661</v>
      </c>
      <c r="H107" s="133"/>
      <c r="I107" s="12" t="s">
        <v>2270</v>
      </c>
      <c r="J107" s="12" t="s">
        <v>2271</v>
      </c>
      <c r="EI107" s="102" t="str">
        <f t="shared" ref="EI107" si="2760">IF(SUM(EK107:FN107)&gt;5,"X","")</f>
        <v/>
      </c>
      <c r="EK107" s="102" t="str">
        <f t="shared" ref="EK107" si="2761">IF(EK54&lt;&gt;"",IF(OR(RIGHT(J53,4)="*0,5",RIGHT(J53,4)="*0,3"),0.5,1),"")</f>
        <v/>
      </c>
      <c r="EL107" s="102" t="str">
        <f t="shared" ref="EL107" si="2762">IF(EL54&lt;&gt;"",IF(OR(RIGHT(K53,4)="*0,5",RIGHT(K53,4)="*0,3"),0.5,1),"")</f>
        <v/>
      </c>
      <c r="EM107" s="102" t="str">
        <f t="shared" ref="EM107" si="2763">IF(EM54&lt;&gt;"",IF(OR(RIGHT(L53,4)="*0,5",RIGHT(L53,4)="*0,3"),0.5,1),"")</f>
        <v/>
      </c>
      <c r="EN107" s="102" t="str">
        <f t="shared" ref="EN107" si="2764">IF(EN54&lt;&gt;"",IF(OR(RIGHT(M53,4)="*0,5",RIGHT(M53,4)="*0,3"),0.5,1),"")</f>
        <v/>
      </c>
      <c r="EO107" s="102" t="str">
        <f t="shared" ref="EO107" si="2765">IF(EO54&lt;&gt;"",IF(OR(RIGHT(N53,4)="*0,5",RIGHT(N53,4)="*0,3"),0.5,1),"")</f>
        <v/>
      </c>
      <c r="EP107" s="102" t="str">
        <f t="shared" ref="EP107" si="2766">IF(EP54&lt;&gt;"",IF(OR(RIGHT(O53,4)="*0,5",RIGHT(O53,4)="*0,3"),0.5,1),"")</f>
        <v/>
      </c>
      <c r="EQ107" s="102" t="str">
        <f t="shared" ref="EQ107" si="2767">IF(EQ54&lt;&gt;"",IF(OR(RIGHT(P53,4)="*0,5",RIGHT(P53,4)="*0,3"),0.5,1),"")</f>
        <v/>
      </c>
      <c r="ER107" s="102" t="str">
        <f t="shared" ref="ER107" si="2768">IF(ER54&lt;&gt;"",IF(OR(RIGHT(Q53,4)="*0,5",RIGHT(Q53,4)="*0,3"),0.5,1),"")</f>
        <v/>
      </c>
      <c r="ES107" s="102" t="str">
        <f t="shared" ref="ES107" si="2769">IF(ES54&lt;&gt;"",IF(OR(RIGHT(R53,4)="*0,5",RIGHT(R53,4)="*0,3"),0.5,1),"")</f>
        <v/>
      </c>
      <c r="ET107" s="102" t="str">
        <f t="shared" ref="ET107" si="2770">IF(ET54&lt;&gt;"",IF(OR(RIGHT(S53,4)="*0,5",RIGHT(S53,4)="*0,3"),0.5,1),"")</f>
        <v/>
      </c>
      <c r="EU107" s="102" t="str">
        <f t="shared" ref="EU107" si="2771">IF(EU54&lt;&gt;"",IF(OR(RIGHT(T53,4)="*0,5",RIGHT(T53,4)="*0,3"),0.5,1),"")</f>
        <v/>
      </c>
      <c r="EV107" s="102" t="str">
        <f t="shared" ref="EV107" si="2772">IF(EV54&lt;&gt;"",IF(OR(RIGHT(U53,4)="*0,5",RIGHT(U53,4)="*0,3"),0.5,1),"")</f>
        <v/>
      </c>
      <c r="EW107" s="102" t="str">
        <f t="shared" ref="EW107" si="2773">IF(EW54&lt;&gt;"",IF(OR(RIGHT(V53,4)="*0,5",RIGHT(V53,4)="*0,3"),0.5,1),"")</f>
        <v/>
      </c>
      <c r="EX107" s="102" t="str">
        <f t="shared" ref="EX107" si="2774">IF(EX54&lt;&gt;"",IF(OR(RIGHT(W53,4)="*0,5",RIGHT(W53,4)="*0,3"),0.5,1),"")</f>
        <v/>
      </c>
      <c r="EY107" s="102" t="str">
        <f t="shared" ref="EY107" si="2775">IF(EY54&lt;&gt;"",IF(OR(RIGHT(X53,4)="*0,5",RIGHT(X53,4)="*0,3"),0.5,1),"")</f>
        <v/>
      </c>
      <c r="EZ107" s="102" t="str">
        <f t="shared" ref="EZ107" si="2776">IF(EZ54&lt;&gt;"",IF(OR(RIGHT(Y53,4)="*0,5",RIGHT(Y53,4)="*0,3"),0.5,1),"")</f>
        <v/>
      </c>
      <c r="FA107" s="102" t="str">
        <f t="shared" ref="FA107" si="2777">IF(FA54&lt;&gt;"",IF(OR(RIGHT(Z53,4)="*0,5",RIGHT(Z53,4)="*0,3"),0.5,1),"")</f>
        <v/>
      </c>
      <c r="FB107" s="102" t="str">
        <f t="shared" ref="FB107" si="2778">IF(FB54&lt;&gt;"",IF(OR(RIGHT(AA53,4)="*0,5",RIGHT(AA53,4)="*0,3"),0.5,1),"")</f>
        <v/>
      </c>
      <c r="FC107" s="102" t="str">
        <f t="shared" ref="FC107" si="2779">IF(FC54&lt;&gt;"",IF(OR(RIGHT(AB53,4)="*0,5",RIGHT(AB53,4)="*0,3"),0.5,1),"")</f>
        <v/>
      </c>
      <c r="FD107" s="102" t="str">
        <f t="shared" ref="FD107" si="2780">IF(FD54&lt;&gt;"",IF(OR(RIGHT(AC53,4)="*0,5",RIGHT(AC53,4)="*0,3"),0.5,1),"")</f>
        <v/>
      </c>
      <c r="FE107" s="102" t="str">
        <f t="shared" ref="FE107" si="2781">IF(FE54&lt;&gt;"",IF(OR(RIGHT(AD53,4)="*0,5",RIGHT(AD53,4)="*0,3"),0.5,1),"")</f>
        <v/>
      </c>
      <c r="FF107" s="102" t="str">
        <f t="shared" ref="FF107" si="2782">IF(FF54&lt;&gt;"",IF(OR(RIGHT(AE53,4)="*0,5",RIGHT(AE53,4)="*0,3"),0.5,1),"")</f>
        <v/>
      </c>
      <c r="FG107" s="102" t="str">
        <f t="shared" ref="FG107" si="2783">IF(FG54&lt;&gt;"",IF(OR(RIGHT(AF53,4)="*0,5",RIGHT(AF53,4)="*0,3"),0.5,1),"")</f>
        <v/>
      </c>
      <c r="FH107" s="102" t="str">
        <f t="shared" ref="FH107" si="2784">IF(FH54&lt;&gt;"",IF(OR(RIGHT(AG53,4)="*0,5",RIGHT(AG53,4)="*0,3"),0.5,1),"")</f>
        <v/>
      </c>
      <c r="FI107" s="102" t="str">
        <f t="shared" ref="FI107" si="2785">IF(FI54&lt;&gt;"",IF(OR(RIGHT(AH53,4)="*0,5",RIGHT(AH53,4)="*0,3"),0.5,1),"")</f>
        <v/>
      </c>
      <c r="FJ107" s="102" t="str">
        <f t="shared" ref="FJ107" si="2786">IF(FJ54&lt;&gt;"",IF(OR(RIGHT(AI53,4)="*0,5",RIGHT(AI53,4)="*0,3"),0.5,1),"")</f>
        <v/>
      </c>
      <c r="FK107" s="102" t="str">
        <f t="shared" ref="FK107" si="2787">IF(FK54&lt;&gt;"",IF(OR(RIGHT(AJ53,4)="*0,5",RIGHT(AJ53,4)="*0,3"),0.5,1),"")</f>
        <v/>
      </c>
      <c r="FL107" s="102" t="str">
        <f t="shared" ref="FL107" si="2788">IF(FL54&lt;&gt;"",IF(OR(RIGHT(AK53,4)="*0,5",RIGHT(AK53,4)="*0,3"),0.5,1),"")</f>
        <v/>
      </c>
      <c r="FM107" s="102" t="str">
        <f t="shared" ref="FM107" si="2789">IF(FM54&lt;&gt;"",IF(OR(RIGHT(AL53,4)="*0,5",RIGHT(AL53,4)="*0,3"),0.5,1),"")</f>
        <v/>
      </c>
      <c r="FN107" s="102" t="str">
        <f t="shared" ref="FN107" si="2790">IF(FN54&lt;&gt;"",IF(OR(RIGHT(AM53,4)="*0,5",RIGHT(AM53,4)="*0,3"),0.5,1),"")</f>
        <v/>
      </c>
      <c r="FQ107" s="102"/>
      <c r="FR107" s="102"/>
      <c r="FS107" s="102"/>
      <c r="FT107" s="102"/>
      <c r="FU107" s="102"/>
      <c r="FV107" s="102"/>
      <c r="FW107" s="102"/>
      <c r="FX107" s="102"/>
      <c r="FY107" s="102"/>
      <c r="FZ107" s="102"/>
      <c r="GA107" s="102"/>
      <c r="GB107" s="102"/>
      <c r="GC107" s="102"/>
      <c r="GD107" s="102"/>
      <c r="GE107" s="102"/>
      <c r="GF107" s="102"/>
      <c r="GG107" s="102"/>
      <c r="GH107" s="102"/>
      <c r="GI107" s="102"/>
      <c r="GJ107" s="102"/>
      <c r="GK107" s="102"/>
      <c r="GL107" s="102"/>
      <c r="GM107" s="102"/>
      <c r="GN107" s="102"/>
      <c r="GO107" s="102"/>
      <c r="GP107" s="102"/>
      <c r="GQ107" s="102"/>
      <c r="GR107" s="102"/>
      <c r="GS107" s="102"/>
      <c r="GT107" s="102"/>
      <c r="GU107" s="102"/>
    </row>
    <row r="108" spans="7:203" x14ac:dyDescent="0.25">
      <c r="G108" s="132">
        <v>45682</v>
      </c>
      <c r="H108" s="133"/>
      <c r="I108" s="12" t="s">
        <v>2272</v>
      </c>
      <c r="J108" s="12" t="s">
        <v>2275</v>
      </c>
      <c r="EM108" s="105"/>
      <c r="EN108" s="105"/>
      <c r="FO108" s="105">
        <v>14</v>
      </c>
      <c r="FP108" s="102"/>
      <c r="FQ108" s="102"/>
      <c r="FR108" s="102">
        <f t="shared" ref="FR108:GU108" ca="1" si="2791">IFERROR(IF(AND(OFFSET($E$20,$FO108,0)="H",OFFSET(J$19,$FO108,0)&lt;&gt;""),UPPER(OFFSET(J$19,$FO108,0)),FR$18),FR$18)</f>
        <v>1</v>
      </c>
      <c r="FS108" s="102">
        <f t="shared" ca="1" si="2791"/>
        <v>2</v>
      </c>
      <c r="FT108" s="102">
        <f t="shared" ca="1" si="2791"/>
        <v>3</v>
      </c>
      <c r="FU108" s="102">
        <f t="shared" ca="1" si="2791"/>
        <v>4</v>
      </c>
      <c r="FV108" s="102">
        <f t="shared" ca="1" si="2791"/>
        <v>5</v>
      </c>
      <c r="FW108" s="102">
        <f t="shared" ca="1" si="2791"/>
        <v>6</v>
      </c>
      <c r="FX108" s="102">
        <f t="shared" ca="1" si="2791"/>
        <v>7</v>
      </c>
      <c r="FY108" s="102">
        <f t="shared" ca="1" si="2791"/>
        <v>8</v>
      </c>
      <c r="FZ108" s="102">
        <f t="shared" ca="1" si="2791"/>
        <v>9</v>
      </c>
      <c r="GA108" s="102">
        <f t="shared" ca="1" si="2791"/>
        <v>10</v>
      </c>
      <c r="GB108" s="102">
        <f t="shared" ca="1" si="2791"/>
        <v>11</v>
      </c>
      <c r="GC108" s="102">
        <f t="shared" ca="1" si="2791"/>
        <v>12</v>
      </c>
      <c r="GD108" s="102">
        <f t="shared" ca="1" si="2791"/>
        <v>13</v>
      </c>
      <c r="GE108" s="102">
        <f t="shared" ca="1" si="2791"/>
        <v>14</v>
      </c>
      <c r="GF108" s="102">
        <f t="shared" ca="1" si="2791"/>
        <v>15</v>
      </c>
      <c r="GG108" s="102">
        <f t="shared" ca="1" si="2791"/>
        <v>16</v>
      </c>
      <c r="GH108" s="102">
        <f t="shared" ca="1" si="2791"/>
        <v>17</v>
      </c>
      <c r="GI108" s="102">
        <f t="shared" ca="1" si="2791"/>
        <v>18</v>
      </c>
      <c r="GJ108" s="102">
        <f t="shared" ca="1" si="2791"/>
        <v>19</v>
      </c>
      <c r="GK108" s="102">
        <f t="shared" ca="1" si="2791"/>
        <v>20</v>
      </c>
      <c r="GL108" s="102">
        <f t="shared" ca="1" si="2791"/>
        <v>21</v>
      </c>
      <c r="GM108" s="102">
        <f t="shared" ca="1" si="2791"/>
        <v>22</v>
      </c>
      <c r="GN108" s="102">
        <f t="shared" ca="1" si="2791"/>
        <v>23</v>
      </c>
      <c r="GO108" s="102">
        <f t="shared" ca="1" si="2791"/>
        <v>24</v>
      </c>
      <c r="GP108" s="102">
        <f t="shared" ca="1" si="2791"/>
        <v>25</v>
      </c>
      <c r="GQ108" s="102">
        <f t="shared" ca="1" si="2791"/>
        <v>26</v>
      </c>
      <c r="GR108" s="102">
        <f t="shared" ca="1" si="2791"/>
        <v>27</v>
      </c>
      <c r="GS108" s="102">
        <f t="shared" ca="1" si="2791"/>
        <v>28</v>
      </c>
      <c r="GT108" s="102">
        <f t="shared" ca="1" si="2791"/>
        <v>29</v>
      </c>
      <c r="GU108" s="102">
        <f t="shared" ca="1" si="2791"/>
        <v>30</v>
      </c>
    </row>
    <row r="109" spans="7:203" x14ac:dyDescent="0.25">
      <c r="G109" s="132">
        <v>45683</v>
      </c>
      <c r="H109" s="133"/>
      <c r="I109" s="12" t="s">
        <v>2277</v>
      </c>
      <c r="J109" s="12" t="s">
        <v>2278</v>
      </c>
      <c r="EI109" s="102" t="str">
        <f t="shared" ref="EI109" si="2792">IF(SUM(EK109:FN109)&gt;5,"X","")</f>
        <v/>
      </c>
      <c r="EK109" s="102" t="str">
        <f t="shared" ref="EK109" si="2793">IF(EK56&lt;&gt;"",IF(OR(RIGHT(J55,4)="*0,5",RIGHT(J55,4)="*0,3"),0.5,1),"")</f>
        <v/>
      </c>
      <c r="EL109" s="102" t="str">
        <f t="shared" ref="EL109" si="2794">IF(EL56&lt;&gt;"",IF(OR(RIGHT(K55,4)="*0,5",RIGHT(K55,4)="*0,3"),0.5,1),"")</f>
        <v/>
      </c>
      <c r="EM109" s="102" t="str">
        <f t="shared" ref="EM109" si="2795">IF(EM56&lt;&gt;"",IF(OR(RIGHT(L55,4)="*0,5",RIGHT(L55,4)="*0,3"),0.5,1),"")</f>
        <v/>
      </c>
      <c r="EN109" s="102" t="str">
        <f t="shared" ref="EN109" si="2796">IF(EN56&lt;&gt;"",IF(OR(RIGHT(M55,4)="*0,5",RIGHT(M55,4)="*0,3"),0.5,1),"")</f>
        <v/>
      </c>
      <c r="EO109" s="102" t="str">
        <f t="shared" ref="EO109" si="2797">IF(EO56&lt;&gt;"",IF(OR(RIGHT(N55,4)="*0,5",RIGHT(N55,4)="*0,3"),0.5,1),"")</f>
        <v/>
      </c>
      <c r="EP109" s="102" t="str">
        <f t="shared" ref="EP109" si="2798">IF(EP56&lt;&gt;"",IF(OR(RIGHT(O55,4)="*0,5",RIGHT(O55,4)="*0,3"),0.5,1),"")</f>
        <v/>
      </c>
      <c r="EQ109" s="102" t="str">
        <f t="shared" ref="EQ109" si="2799">IF(EQ56&lt;&gt;"",IF(OR(RIGHT(P55,4)="*0,5",RIGHT(P55,4)="*0,3"),0.5,1),"")</f>
        <v/>
      </c>
      <c r="ER109" s="102" t="str">
        <f t="shared" ref="ER109" si="2800">IF(ER56&lt;&gt;"",IF(OR(RIGHT(Q55,4)="*0,5",RIGHT(Q55,4)="*0,3"),0.5,1),"")</f>
        <v/>
      </c>
      <c r="ES109" s="102" t="str">
        <f t="shared" ref="ES109" si="2801">IF(ES56&lt;&gt;"",IF(OR(RIGHT(R55,4)="*0,5",RIGHT(R55,4)="*0,3"),0.5,1),"")</f>
        <v/>
      </c>
      <c r="ET109" s="102" t="str">
        <f t="shared" ref="ET109" si="2802">IF(ET56&lt;&gt;"",IF(OR(RIGHT(S55,4)="*0,5",RIGHT(S55,4)="*0,3"),0.5,1),"")</f>
        <v/>
      </c>
      <c r="EU109" s="102" t="str">
        <f t="shared" ref="EU109" si="2803">IF(EU56&lt;&gt;"",IF(OR(RIGHT(T55,4)="*0,5",RIGHT(T55,4)="*0,3"),0.5,1),"")</f>
        <v/>
      </c>
      <c r="EV109" s="102" t="str">
        <f t="shared" ref="EV109" si="2804">IF(EV56&lt;&gt;"",IF(OR(RIGHT(U55,4)="*0,5",RIGHT(U55,4)="*0,3"),0.5,1),"")</f>
        <v/>
      </c>
      <c r="EW109" s="102" t="str">
        <f t="shared" ref="EW109" si="2805">IF(EW56&lt;&gt;"",IF(OR(RIGHT(V55,4)="*0,5",RIGHT(V55,4)="*0,3"),0.5,1),"")</f>
        <v/>
      </c>
      <c r="EX109" s="102" t="str">
        <f t="shared" ref="EX109" si="2806">IF(EX56&lt;&gt;"",IF(OR(RIGHT(W55,4)="*0,5",RIGHT(W55,4)="*0,3"),0.5,1),"")</f>
        <v/>
      </c>
      <c r="EY109" s="102" t="str">
        <f t="shared" ref="EY109" si="2807">IF(EY56&lt;&gt;"",IF(OR(RIGHT(X55,4)="*0,5",RIGHT(X55,4)="*0,3"),0.5,1),"")</f>
        <v/>
      </c>
      <c r="EZ109" s="102" t="str">
        <f t="shared" ref="EZ109" si="2808">IF(EZ56&lt;&gt;"",IF(OR(RIGHT(Y55,4)="*0,5",RIGHT(Y55,4)="*0,3"),0.5,1),"")</f>
        <v/>
      </c>
      <c r="FA109" s="102" t="str">
        <f t="shared" ref="FA109" si="2809">IF(FA56&lt;&gt;"",IF(OR(RIGHT(Z55,4)="*0,5",RIGHT(Z55,4)="*0,3"),0.5,1),"")</f>
        <v/>
      </c>
      <c r="FB109" s="102" t="str">
        <f t="shared" ref="FB109" si="2810">IF(FB56&lt;&gt;"",IF(OR(RIGHT(AA55,4)="*0,5",RIGHT(AA55,4)="*0,3"),0.5,1),"")</f>
        <v/>
      </c>
      <c r="FC109" s="102" t="str">
        <f t="shared" ref="FC109" si="2811">IF(FC56&lt;&gt;"",IF(OR(RIGHT(AB55,4)="*0,5",RIGHT(AB55,4)="*0,3"),0.5,1),"")</f>
        <v/>
      </c>
      <c r="FD109" s="102" t="str">
        <f t="shared" ref="FD109" si="2812">IF(FD56&lt;&gt;"",IF(OR(RIGHT(AC55,4)="*0,5",RIGHT(AC55,4)="*0,3"),0.5,1),"")</f>
        <v/>
      </c>
      <c r="FE109" s="102" t="str">
        <f t="shared" ref="FE109" si="2813">IF(FE56&lt;&gt;"",IF(OR(RIGHT(AD55,4)="*0,5",RIGHT(AD55,4)="*0,3"),0.5,1),"")</f>
        <v/>
      </c>
      <c r="FF109" s="102" t="str">
        <f t="shared" ref="FF109" si="2814">IF(FF56&lt;&gt;"",IF(OR(RIGHT(AE55,4)="*0,5",RIGHT(AE55,4)="*0,3"),0.5,1),"")</f>
        <v/>
      </c>
      <c r="FG109" s="102" t="str">
        <f t="shared" ref="FG109" si="2815">IF(FG56&lt;&gt;"",IF(OR(RIGHT(AF55,4)="*0,5",RIGHT(AF55,4)="*0,3"),0.5,1),"")</f>
        <v/>
      </c>
      <c r="FH109" s="102" t="str">
        <f t="shared" ref="FH109" si="2816">IF(FH56&lt;&gt;"",IF(OR(RIGHT(AG55,4)="*0,5",RIGHT(AG55,4)="*0,3"),0.5,1),"")</f>
        <v/>
      </c>
      <c r="FI109" s="102" t="str">
        <f t="shared" ref="FI109" si="2817">IF(FI56&lt;&gt;"",IF(OR(RIGHT(AH55,4)="*0,5",RIGHT(AH55,4)="*0,3"),0.5,1),"")</f>
        <v/>
      </c>
      <c r="FJ109" s="102" t="str">
        <f t="shared" ref="FJ109" si="2818">IF(FJ56&lt;&gt;"",IF(OR(RIGHT(AI55,4)="*0,5",RIGHT(AI55,4)="*0,3"),0.5,1),"")</f>
        <v/>
      </c>
      <c r="FK109" s="102" t="str">
        <f t="shared" ref="FK109" si="2819">IF(FK56&lt;&gt;"",IF(OR(RIGHT(AJ55,4)="*0,5",RIGHT(AJ55,4)="*0,3"),0.5,1),"")</f>
        <v/>
      </c>
      <c r="FL109" s="102" t="str">
        <f t="shared" ref="FL109" si="2820">IF(FL56&lt;&gt;"",IF(OR(RIGHT(AK55,4)="*0,5",RIGHT(AK55,4)="*0,3"),0.5,1),"")</f>
        <v/>
      </c>
      <c r="FM109" s="102" t="str">
        <f t="shared" ref="FM109" si="2821">IF(FM56&lt;&gt;"",IF(OR(RIGHT(AL55,4)="*0,5",RIGHT(AL55,4)="*0,3"),0.5,1),"")</f>
        <v/>
      </c>
      <c r="FN109" s="102" t="str">
        <f t="shared" ref="FN109" si="2822">IF(FN56&lt;&gt;"",IF(OR(RIGHT(AM55,4)="*0,5",RIGHT(AM55,4)="*0,3"),0.5,1),"")</f>
        <v/>
      </c>
      <c r="FR109" s="102">
        <f t="shared" ref="FR109:GU109" ca="1" si="2823">IFERROR(IF(AND(OFFSET($E$20,$FO108,0)="H",OFFSET(J$19,$FO108,0)&lt;&gt;"",OFFSET($F54,$FO108,0)&lt;&gt;"Hybrid - Thrust + 2 connections"),INDEX(Hyb_Tech,MATCH(OFFSET(J$19,$FO108,0),Hyb_Code,0)),FR$72),FR$72)</f>
        <v>1</v>
      </c>
      <c r="FS109" s="102">
        <f t="shared" ca="1" si="2823"/>
        <v>2</v>
      </c>
      <c r="FT109" s="102">
        <f t="shared" ca="1" si="2823"/>
        <v>3</v>
      </c>
      <c r="FU109" s="102">
        <f t="shared" ca="1" si="2823"/>
        <v>4</v>
      </c>
      <c r="FV109" s="102">
        <f t="shared" ca="1" si="2823"/>
        <v>5</v>
      </c>
      <c r="FW109" s="102">
        <f t="shared" ca="1" si="2823"/>
        <v>6</v>
      </c>
      <c r="FX109" s="102">
        <f t="shared" ca="1" si="2823"/>
        <v>7</v>
      </c>
      <c r="FY109" s="102">
        <f t="shared" ca="1" si="2823"/>
        <v>8</v>
      </c>
      <c r="FZ109" s="102">
        <f t="shared" ca="1" si="2823"/>
        <v>9</v>
      </c>
      <c r="GA109" s="102">
        <f t="shared" ca="1" si="2823"/>
        <v>10</v>
      </c>
      <c r="GB109" s="102">
        <f t="shared" ca="1" si="2823"/>
        <v>11</v>
      </c>
      <c r="GC109" s="102">
        <f t="shared" ca="1" si="2823"/>
        <v>12</v>
      </c>
      <c r="GD109" s="102">
        <f t="shared" ca="1" si="2823"/>
        <v>13</v>
      </c>
      <c r="GE109" s="102">
        <f t="shared" ca="1" si="2823"/>
        <v>14</v>
      </c>
      <c r="GF109" s="102">
        <f t="shared" ca="1" si="2823"/>
        <v>15</v>
      </c>
      <c r="GG109" s="102">
        <f t="shared" ca="1" si="2823"/>
        <v>16</v>
      </c>
      <c r="GH109" s="102">
        <f t="shared" ca="1" si="2823"/>
        <v>17</v>
      </c>
      <c r="GI109" s="102">
        <f t="shared" ca="1" si="2823"/>
        <v>18</v>
      </c>
      <c r="GJ109" s="102">
        <f t="shared" ca="1" si="2823"/>
        <v>19</v>
      </c>
      <c r="GK109" s="102">
        <f t="shared" ca="1" si="2823"/>
        <v>20</v>
      </c>
      <c r="GL109" s="102">
        <f t="shared" ca="1" si="2823"/>
        <v>21</v>
      </c>
      <c r="GM109" s="102">
        <f t="shared" ca="1" si="2823"/>
        <v>22</v>
      </c>
      <c r="GN109" s="102">
        <f t="shared" ca="1" si="2823"/>
        <v>23</v>
      </c>
      <c r="GO109" s="102">
        <f t="shared" ca="1" si="2823"/>
        <v>24</v>
      </c>
      <c r="GP109" s="102">
        <f t="shared" ca="1" si="2823"/>
        <v>25</v>
      </c>
      <c r="GQ109" s="102">
        <f t="shared" ca="1" si="2823"/>
        <v>26</v>
      </c>
      <c r="GR109" s="102">
        <f t="shared" ca="1" si="2823"/>
        <v>27</v>
      </c>
      <c r="GS109" s="102">
        <f t="shared" ca="1" si="2823"/>
        <v>28</v>
      </c>
      <c r="GT109" s="102">
        <f t="shared" ca="1" si="2823"/>
        <v>29</v>
      </c>
      <c r="GU109" s="102">
        <f t="shared" ca="1" si="2823"/>
        <v>30</v>
      </c>
    </row>
    <row r="110" spans="7:203" x14ac:dyDescent="0.25">
      <c r="G110" s="132">
        <v>45705</v>
      </c>
      <c r="H110" s="133"/>
      <c r="I110" s="12" t="s">
        <v>2315</v>
      </c>
      <c r="J110" s="12" t="s">
        <v>2316</v>
      </c>
      <c r="EM110" s="105"/>
      <c r="EN110" s="105"/>
      <c r="FP110" s="105" t="str">
        <f t="shared" ref="FP110" ca="1" si="2824">IFERROR(IF(SUM(FR110:GU110)&gt;2,OFFSET($FR$73,$FO108*5/2,MATCH(1,FR110:GU110,0)-1),""),"")</f>
        <v/>
      </c>
      <c r="FQ110" s="102" t="str">
        <f ca="1">IFERROR(IF(LEFT(FP110,1)="C",IF(RIGHT(FP110,1)="+",LEFT(FP110,LEN(FP110)-1),CONCATENATE(FP110,"+")),IF(SUM($FR110:$GU110)&gt;$FP$18,OFFSET($FR$73,$FO108*5/2,MATCH(0.5,FR110:GU110,0)),"")),"")</f>
        <v/>
      </c>
      <c r="FR110" s="102" t="str">
        <f t="shared" ref="FR110:GU110" ca="1" si="2825">IF(AND($BV$6="D",LEFT(FR108,1)="C"),IF(COUNTIF($FR109:$GU109,FR109)&gt;$FP$18-1,INDEX(Hyb_Tech_Value,MATCH(FR108,Hyb_Code,0)),""),IF(COUNTIF($FR109:$GU109,FR109)&gt;$FP$18,INDEX(Hyb_Tech_Value,MATCH(FR108,Hyb_Code,0)),""))</f>
        <v/>
      </c>
      <c r="FS110" s="102" t="str">
        <f t="shared" ca="1" si="2825"/>
        <v/>
      </c>
      <c r="FT110" s="102" t="str">
        <f t="shared" ca="1" si="2825"/>
        <v/>
      </c>
      <c r="FU110" s="102" t="str">
        <f t="shared" ca="1" si="2825"/>
        <v/>
      </c>
      <c r="FV110" s="102" t="str">
        <f t="shared" ca="1" si="2825"/>
        <v/>
      </c>
      <c r="FW110" s="102" t="str">
        <f t="shared" ca="1" si="2825"/>
        <v/>
      </c>
      <c r="FX110" s="102" t="str">
        <f t="shared" ca="1" si="2825"/>
        <v/>
      </c>
      <c r="FY110" s="102" t="str">
        <f t="shared" ca="1" si="2825"/>
        <v/>
      </c>
      <c r="FZ110" s="102" t="str">
        <f t="shared" ca="1" si="2825"/>
        <v/>
      </c>
      <c r="GA110" s="102" t="str">
        <f t="shared" ca="1" si="2825"/>
        <v/>
      </c>
      <c r="GB110" s="102" t="str">
        <f t="shared" ca="1" si="2825"/>
        <v/>
      </c>
      <c r="GC110" s="102" t="str">
        <f t="shared" ca="1" si="2825"/>
        <v/>
      </c>
      <c r="GD110" s="102" t="str">
        <f t="shared" ca="1" si="2825"/>
        <v/>
      </c>
      <c r="GE110" s="102" t="str">
        <f t="shared" ca="1" si="2825"/>
        <v/>
      </c>
      <c r="GF110" s="102" t="str">
        <f t="shared" ca="1" si="2825"/>
        <v/>
      </c>
      <c r="GG110" s="102" t="str">
        <f t="shared" ca="1" si="2825"/>
        <v/>
      </c>
      <c r="GH110" s="102" t="str">
        <f t="shared" ca="1" si="2825"/>
        <v/>
      </c>
      <c r="GI110" s="102" t="str">
        <f t="shared" ca="1" si="2825"/>
        <v/>
      </c>
      <c r="GJ110" s="102" t="str">
        <f t="shared" ca="1" si="2825"/>
        <v/>
      </c>
      <c r="GK110" s="102" t="str">
        <f t="shared" ca="1" si="2825"/>
        <v/>
      </c>
      <c r="GL110" s="102" t="str">
        <f t="shared" ca="1" si="2825"/>
        <v/>
      </c>
      <c r="GM110" s="102" t="str">
        <f t="shared" ca="1" si="2825"/>
        <v/>
      </c>
      <c r="GN110" s="102" t="str">
        <f t="shared" ca="1" si="2825"/>
        <v/>
      </c>
      <c r="GO110" s="102" t="str">
        <f t="shared" ca="1" si="2825"/>
        <v/>
      </c>
      <c r="GP110" s="102" t="str">
        <f t="shared" ca="1" si="2825"/>
        <v/>
      </c>
      <c r="GQ110" s="102" t="str">
        <f t="shared" ca="1" si="2825"/>
        <v/>
      </c>
      <c r="GR110" s="102" t="str">
        <f t="shared" ca="1" si="2825"/>
        <v/>
      </c>
      <c r="GS110" s="102" t="str">
        <f t="shared" ca="1" si="2825"/>
        <v/>
      </c>
      <c r="GT110" s="102" t="str">
        <f t="shared" ca="1" si="2825"/>
        <v/>
      </c>
      <c r="GU110" s="102" t="str">
        <f t="shared" ca="1" si="2825"/>
        <v/>
      </c>
    </row>
    <row r="111" spans="7:203" x14ac:dyDescent="0.25">
      <c r="G111" s="132">
        <v>45710</v>
      </c>
      <c r="H111" s="133"/>
      <c r="I111" s="12" t="s">
        <v>2317</v>
      </c>
      <c r="J111" s="12" t="s">
        <v>2318</v>
      </c>
      <c r="EI111" s="102" t="str">
        <f t="shared" ref="EI111" si="2826">IF(SUM(EK111:FN111)&gt;5,"X","")</f>
        <v/>
      </c>
      <c r="EK111" s="102" t="str">
        <f t="shared" ref="EK111" si="2827">IF(EK58&lt;&gt;"",IF(OR(RIGHT(J57,4)="*0,5",RIGHT(J57,4)="*0,3"),0.5,1),"")</f>
        <v/>
      </c>
      <c r="EL111" s="102" t="str">
        <f t="shared" ref="EL111" si="2828">IF(EL58&lt;&gt;"",IF(OR(RIGHT(K57,4)="*0,5",RIGHT(K57,4)="*0,3"),0.5,1),"")</f>
        <v/>
      </c>
      <c r="EM111" s="102" t="str">
        <f t="shared" ref="EM111" si="2829">IF(EM58&lt;&gt;"",IF(OR(RIGHT(L57,4)="*0,5",RIGHT(L57,4)="*0,3"),0.5,1),"")</f>
        <v/>
      </c>
      <c r="EN111" s="102" t="str">
        <f t="shared" ref="EN111" si="2830">IF(EN58&lt;&gt;"",IF(OR(RIGHT(M57,4)="*0,5",RIGHT(M57,4)="*0,3"),0.5,1),"")</f>
        <v/>
      </c>
      <c r="EO111" s="102" t="str">
        <f t="shared" ref="EO111" si="2831">IF(EO58&lt;&gt;"",IF(OR(RIGHT(N57,4)="*0,5",RIGHT(N57,4)="*0,3"),0.5,1),"")</f>
        <v/>
      </c>
      <c r="EP111" s="102" t="str">
        <f t="shared" ref="EP111" si="2832">IF(EP58&lt;&gt;"",IF(OR(RIGHT(O57,4)="*0,5",RIGHT(O57,4)="*0,3"),0.5,1),"")</f>
        <v/>
      </c>
      <c r="EQ111" s="102" t="str">
        <f t="shared" ref="EQ111" si="2833">IF(EQ58&lt;&gt;"",IF(OR(RIGHT(P57,4)="*0,5",RIGHT(P57,4)="*0,3"),0.5,1),"")</f>
        <v/>
      </c>
      <c r="ER111" s="102" t="str">
        <f t="shared" ref="ER111" si="2834">IF(ER58&lt;&gt;"",IF(OR(RIGHT(Q57,4)="*0,5",RIGHT(Q57,4)="*0,3"),0.5,1),"")</f>
        <v/>
      </c>
      <c r="ES111" s="102" t="str">
        <f t="shared" ref="ES111" si="2835">IF(ES58&lt;&gt;"",IF(OR(RIGHT(R57,4)="*0,5",RIGHT(R57,4)="*0,3"),0.5,1),"")</f>
        <v/>
      </c>
      <c r="ET111" s="102" t="str">
        <f t="shared" ref="ET111" si="2836">IF(ET58&lt;&gt;"",IF(OR(RIGHT(S57,4)="*0,5",RIGHT(S57,4)="*0,3"),0.5,1),"")</f>
        <v/>
      </c>
      <c r="EU111" s="102" t="str">
        <f t="shared" ref="EU111" si="2837">IF(EU58&lt;&gt;"",IF(OR(RIGHT(T57,4)="*0,5",RIGHT(T57,4)="*0,3"),0.5,1),"")</f>
        <v/>
      </c>
      <c r="EV111" s="102" t="str">
        <f t="shared" ref="EV111" si="2838">IF(EV58&lt;&gt;"",IF(OR(RIGHT(U57,4)="*0,5",RIGHT(U57,4)="*0,3"),0.5,1),"")</f>
        <v/>
      </c>
      <c r="EW111" s="102" t="str">
        <f t="shared" ref="EW111" si="2839">IF(EW58&lt;&gt;"",IF(OR(RIGHT(V57,4)="*0,5",RIGHT(V57,4)="*0,3"),0.5,1),"")</f>
        <v/>
      </c>
      <c r="EX111" s="102" t="str">
        <f t="shared" ref="EX111" si="2840">IF(EX58&lt;&gt;"",IF(OR(RIGHT(W57,4)="*0,5",RIGHT(W57,4)="*0,3"),0.5,1),"")</f>
        <v/>
      </c>
      <c r="EY111" s="102" t="str">
        <f t="shared" ref="EY111" si="2841">IF(EY58&lt;&gt;"",IF(OR(RIGHT(X57,4)="*0,5",RIGHT(X57,4)="*0,3"),0.5,1),"")</f>
        <v/>
      </c>
      <c r="EZ111" s="102" t="str">
        <f t="shared" ref="EZ111" si="2842">IF(EZ58&lt;&gt;"",IF(OR(RIGHT(Y57,4)="*0,5",RIGHT(Y57,4)="*0,3"),0.5,1),"")</f>
        <v/>
      </c>
      <c r="FA111" s="102" t="str">
        <f t="shared" ref="FA111" si="2843">IF(FA58&lt;&gt;"",IF(OR(RIGHT(Z57,4)="*0,5",RIGHT(Z57,4)="*0,3"),0.5,1),"")</f>
        <v/>
      </c>
      <c r="FB111" s="102" t="str">
        <f t="shared" ref="FB111" si="2844">IF(FB58&lt;&gt;"",IF(OR(RIGHT(AA57,4)="*0,5",RIGHT(AA57,4)="*0,3"),0.5,1),"")</f>
        <v/>
      </c>
      <c r="FC111" s="102" t="str">
        <f t="shared" ref="FC111" si="2845">IF(FC58&lt;&gt;"",IF(OR(RIGHT(AB57,4)="*0,5",RIGHT(AB57,4)="*0,3"),0.5,1),"")</f>
        <v/>
      </c>
      <c r="FD111" s="102" t="str">
        <f t="shared" ref="FD111" si="2846">IF(FD58&lt;&gt;"",IF(OR(RIGHT(AC57,4)="*0,5",RIGHT(AC57,4)="*0,3"),0.5,1),"")</f>
        <v/>
      </c>
      <c r="FE111" s="102" t="str">
        <f t="shared" ref="FE111" si="2847">IF(FE58&lt;&gt;"",IF(OR(RIGHT(AD57,4)="*0,5",RIGHT(AD57,4)="*0,3"),0.5,1),"")</f>
        <v/>
      </c>
      <c r="FF111" s="102" t="str">
        <f t="shared" ref="FF111" si="2848">IF(FF58&lt;&gt;"",IF(OR(RIGHT(AE57,4)="*0,5",RIGHT(AE57,4)="*0,3"),0.5,1),"")</f>
        <v/>
      </c>
      <c r="FG111" s="102" t="str">
        <f t="shared" ref="FG111" si="2849">IF(FG58&lt;&gt;"",IF(OR(RIGHT(AF57,4)="*0,5",RIGHT(AF57,4)="*0,3"),0.5,1),"")</f>
        <v/>
      </c>
      <c r="FH111" s="102" t="str">
        <f t="shared" ref="FH111" si="2850">IF(FH58&lt;&gt;"",IF(OR(RIGHT(AG57,4)="*0,5",RIGHT(AG57,4)="*0,3"),0.5,1),"")</f>
        <v/>
      </c>
      <c r="FI111" s="102" t="str">
        <f t="shared" ref="FI111" si="2851">IF(FI58&lt;&gt;"",IF(OR(RIGHT(AH57,4)="*0,5",RIGHT(AH57,4)="*0,3"),0.5,1),"")</f>
        <v/>
      </c>
      <c r="FJ111" s="102" t="str">
        <f t="shared" ref="FJ111" si="2852">IF(FJ58&lt;&gt;"",IF(OR(RIGHT(AI57,4)="*0,5",RIGHT(AI57,4)="*0,3"),0.5,1),"")</f>
        <v/>
      </c>
      <c r="FK111" s="102" t="str">
        <f t="shared" ref="FK111" si="2853">IF(FK58&lt;&gt;"",IF(OR(RIGHT(AJ57,4)="*0,5",RIGHT(AJ57,4)="*0,3"),0.5,1),"")</f>
        <v/>
      </c>
      <c r="FL111" s="102" t="str">
        <f t="shared" ref="FL111" si="2854">IF(FL58&lt;&gt;"",IF(OR(RIGHT(AK57,4)="*0,5",RIGHT(AK57,4)="*0,3"),0.5,1),"")</f>
        <v/>
      </c>
      <c r="FM111" s="102" t="str">
        <f t="shared" ref="FM111" si="2855">IF(FM58&lt;&gt;"",IF(OR(RIGHT(AL57,4)="*0,5",RIGHT(AL57,4)="*0,3"),0.5,1),"")</f>
        <v/>
      </c>
      <c r="FN111" s="102" t="str">
        <f t="shared" ref="FN111" si="2856">IF(FN58&lt;&gt;"",IF(OR(RIGHT(AM57,4)="*0,5",RIGHT(AM57,4)="*0,3"),0.5,1),"")</f>
        <v/>
      </c>
      <c r="FQ111" s="102"/>
      <c r="FR111" s="102"/>
      <c r="FS111" s="102"/>
      <c r="FT111" s="102"/>
      <c r="FU111" s="102"/>
      <c r="FV111" s="102"/>
      <c r="FW111" s="102"/>
      <c r="FX111" s="102"/>
      <c r="FY111" s="102"/>
      <c r="FZ111" s="102"/>
      <c r="GA111" s="102"/>
      <c r="GB111" s="102"/>
      <c r="GC111" s="102"/>
      <c r="GD111" s="102"/>
      <c r="GE111" s="102"/>
      <c r="GF111" s="102"/>
      <c r="GG111" s="102"/>
      <c r="GH111" s="102"/>
      <c r="GI111" s="102"/>
      <c r="GJ111" s="102"/>
      <c r="GK111" s="102"/>
      <c r="GL111" s="102"/>
      <c r="GM111" s="102"/>
      <c r="GN111" s="102"/>
      <c r="GO111" s="102"/>
      <c r="GP111" s="102"/>
      <c r="GQ111" s="102"/>
      <c r="GR111" s="102"/>
      <c r="GS111" s="102"/>
      <c r="GT111" s="102"/>
      <c r="GU111" s="102"/>
    </row>
    <row r="112" spans="7:203" x14ac:dyDescent="0.25">
      <c r="G112" s="132">
        <v>45714</v>
      </c>
      <c r="H112" s="133"/>
      <c r="I112" s="12" t="s">
        <v>2321</v>
      </c>
      <c r="J112" s="12" t="s">
        <v>2324</v>
      </c>
      <c r="EI112" s="172"/>
      <c r="EJ112" s="172"/>
      <c r="EK112" s="172"/>
      <c r="EL112" s="172"/>
      <c r="EM112" s="117"/>
      <c r="EN112" s="117"/>
      <c r="EO112" s="117"/>
      <c r="EP112" s="117"/>
      <c r="EQ112" s="117"/>
      <c r="ER112" s="117"/>
      <c r="ES112" s="117"/>
      <c r="ET112" s="117"/>
      <c r="EU112" s="117"/>
      <c r="EV112" s="117"/>
      <c r="EW112" s="117"/>
      <c r="EX112" s="117"/>
      <c r="EY112" s="117"/>
      <c r="EZ112" s="117"/>
      <c r="FA112" s="117"/>
      <c r="FB112" s="117"/>
      <c r="FC112" s="117"/>
      <c r="FD112" s="117"/>
      <c r="FE112" s="117"/>
      <c r="FF112" s="117"/>
      <c r="FG112" s="117"/>
      <c r="FH112" s="117"/>
      <c r="FI112" s="117"/>
      <c r="FJ112" s="117"/>
      <c r="FK112" s="117"/>
      <c r="FL112" s="117"/>
      <c r="FM112" s="117"/>
      <c r="FN112" s="117"/>
      <c r="FQ112" s="102"/>
      <c r="FR112" s="102"/>
      <c r="FS112" s="102"/>
      <c r="FT112" s="102"/>
      <c r="FU112" s="102"/>
      <c r="FV112" s="102"/>
      <c r="FW112" s="102"/>
      <c r="FX112" s="102"/>
      <c r="FY112" s="102"/>
      <c r="FZ112" s="102"/>
      <c r="GA112" s="102"/>
      <c r="GB112" s="102"/>
      <c r="GC112" s="102"/>
      <c r="GD112" s="102"/>
      <c r="GE112" s="102"/>
      <c r="GF112" s="102"/>
      <c r="GG112" s="102"/>
      <c r="GH112" s="102"/>
      <c r="GI112" s="102"/>
      <c r="GJ112" s="102"/>
      <c r="GK112" s="102"/>
      <c r="GL112" s="102"/>
      <c r="GM112" s="102"/>
      <c r="GN112" s="102"/>
      <c r="GO112" s="102"/>
      <c r="GP112" s="102"/>
      <c r="GQ112" s="102"/>
      <c r="GR112" s="102"/>
      <c r="GS112" s="102"/>
      <c r="GT112" s="102"/>
      <c r="GU112" s="102"/>
    </row>
    <row r="113" spans="7:203" x14ac:dyDescent="0.25">
      <c r="G113" s="132">
        <v>45714</v>
      </c>
      <c r="H113" s="133"/>
      <c r="I113" s="12" t="s">
        <v>2322</v>
      </c>
      <c r="J113" s="12" t="s">
        <v>2323</v>
      </c>
      <c r="EO113" s="102"/>
      <c r="EP113" s="102"/>
      <c r="EQ113" s="102"/>
      <c r="ER113" s="102"/>
      <c r="ES113" s="102"/>
      <c r="ET113" s="102"/>
      <c r="EU113" s="102"/>
      <c r="EV113" s="102"/>
      <c r="EW113" s="102"/>
      <c r="EX113" s="102"/>
      <c r="EY113" s="102"/>
      <c r="EZ113" s="102"/>
      <c r="FA113" s="102"/>
      <c r="FB113" s="102"/>
      <c r="FC113" s="102"/>
      <c r="FD113" s="102"/>
      <c r="FE113" s="102"/>
      <c r="FF113" s="102"/>
      <c r="FG113" s="102"/>
      <c r="FH113" s="102"/>
      <c r="FI113" s="102"/>
      <c r="FJ113" s="102"/>
      <c r="FK113" s="102"/>
      <c r="FL113" s="102"/>
      <c r="FM113" s="102"/>
      <c r="FN113" s="102"/>
      <c r="FO113" s="105">
        <v>16</v>
      </c>
      <c r="FP113" s="102"/>
      <c r="FQ113" s="102"/>
      <c r="FR113" s="102">
        <f t="shared" ref="FR113:GU113" ca="1" si="2857">IFERROR(IF(AND(OFFSET($E$20,$FO113,0)="H",OFFSET(J$19,$FO113,0)&lt;&gt;""),UPPER(OFFSET(J$19,$FO113,0)),FR$18),FR$18)</f>
        <v>1</v>
      </c>
      <c r="FS113" s="102">
        <f t="shared" ca="1" si="2857"/>
        <v>2</v>
      </c>
      <c r="FT113" s="102">
        <f t="shared" ca="1" si="2857"/>
        <v>3</v>
      </c>
      <c r="FU113" s="102">
        <f t="shared" ca="1" si="2857"/>
        <v>4</v>
      </c>
      <c r="FV113" s="102">
        <f t="shared" ca="1" si="2857"/>
        <v>5</v>
      </c>
      <c r="FW113" s="102">
        <f t="shared" ca="1" si="2857"/>
        <v>6</v>
      </c>
      <c r="FX113" s="102">
        <f t="shared" ca="1" si="2857"/>
        <v>7</v>
      </c>
      <c r="FY113" s="102">
        <f t="shared" ca="1" si="2857"/>
        <v>8</v>
      </c>
      <c r="FZ113" s="102">
        <f t="shared" ca="1" si="2857"/>
        <v>9</v>
      </c>
      <c r="GA113" s="102">
        <f t="shared" ca="1" si="2857"/>
        <v>10</v>
      </c>
      <c r="GB113" s="102">
        <f t="shared" ca="1" si="2857"/>
        <v>11</v>
      </c>
      <c r="GC113" s="102">
        <f t="shared" ca="1" si="2857"/>
        <v>12</v>
      </c>
      <c r="GD113" s="102">
        <f t="shared" ca="1" si="2857"/>
        <v>13</v>
      </c>
      <c r="GE113" s="102">
        <f t="shared" ca="1" si="2857"/>
        <v>14</v>
      </c>
      <c r="GF113" s="102">
        <f t="shared" ca="1" si="2857"/>
        <v>15</v>
      </c>
      <c r="GG113" s="102">
        <f t="shared" ca="1" si="2857"/>
        <v>16</v>
      </c>
      <c r="GH113" s="102">
        <f t="shared" ca="1" si="2857"/>
        <v>17</v>
      </c>
      <c r="GI113" s="102">
        <f t="shared" ca="1" si="2857"/>
        <v>18</v>
      </c>
      <c r="GJ113" s="102">
        <f t="shared" ca="1" si="2857"/>
        <v>19</v>
      </c>
      <c r="GK113" s="102">
        <f t="shared" ca="1" si="2857"/>
        <v>20</v>
      </c>
      <c r="GL113" s="102">
        <f t="shared" ca="1" si="2857"/>
        <v>21</v>
      </c>
      <c r="GM113" s="102">
        <f t="shared" ca="1" si="2857"/>
        <v>22</v>
      </c>
      <c r="GN113" s="102">
        <f t="shared" ca="1" si="2857"/>
        <v>23</v>
      </c>
      <c r="GO113" s="102">
        <f t="shared" ca="1" si="2857"/>
        <v>24</v>
      </c>
      <c r="GP113" s="102">
        <f t="shared" ca="1" si="2857"/>
        <v>25</v>
      </c>
      <c r="GQ113" s="102">
        <f t="shared" ca="1" si="2857"/>
        <v>26</v>
      </c>
      <c r="GR113" s="102">
        <f t="shared" ca="1" si="2857"/>
        <v>27</v>
      </c>
      <c r="GS113" s="102">
        <f t="shared" ca="1" si="2857"/>
        <v>28</v>
      </c>
      <c r="GT113" s="102">
        <f t="shared" ca="1" si="2857"/>
        <v>29</v>
      </c>
      <c r="GU113" s="102">
        <f t="shared" ca="1" si="2857"/>
        <v>30</v>
      </c>
    </row>
    <row r="114" spans="7:203" x14ac:dyDescent="0.25">
      <c r="G114" s="132">
        <v>45780</v>
      </c>
      <c r="H114" s="133"/>
      <c r="I114" s="12" t="s">
        <v>2325</v>
      </c>
      <c r="J114" s="12" t="s">
        <v>2326</v>
      </c>
      <c r="EM114" s="105"/>
      <c r="EN114" s="105"/>
      <c r="FR114" s="102">
        <f t="shared" ref="FR114:GU114" ca="1" si="2858">IFERROR(IF(AND(OFFSET($E$20,$FO113,0)="H",OFFSET(J$19,$FO113,0)&lt;&gt;"",OFFSET($F59,$FO113,0)&lt;&gt;"Hybrid - Thrust + 2 connections"),INDEX(Hyb_Tech,MATCH(OFFSET(J$19,$FO113,0),Hyb_Code,0)),FR$72),FR$72)</f>
        <v>1</v>
      </c>
      <c r="FS114" s="102">
        <f t="shared" ca="1" si="2858"/>
        <v>2</v>
      </c>
      <c r="FT114" s="102">
        <f t="shared" ca="1" si="2858"/>
        <v>3</v>
      </c>
      <c r="FU114" s="102">
        <f t="shared" ca="1" si="2858"/>
        <v>4</v>
      </c>
      <c r="FV114" s="102">
        <f t="shared" ca="1" si="2858"/>
        <v>5</v>
      </c>
      <c r="FW114" s="102">
        <f t="shared" ca="1" si="2858"/>
        <v>6</v>
      </c>
      <c r="FX114" s="102">
        <f t="shared" ca="1" si="2858"/>
        <v>7</v>
      </c>
      <c r="FY114" s="102">
        <f t="shared" ca="1" si="2858"/>
        <v>8</v>
      </c>
      <c r="FZ114" s="102">
        <f t="shared" ca="1" si="2858"/>
        <v>9</v>
      </c>
      <c r="GA114" s="102">
        <f t="shared" ca="1" si="2858"/>
        <v>10</v>
      </c>
      <c r="GB114" s="102">
        <f t="shared" ca="1" si="2858"/>
        <v>11</v>
      </c>
      <c r="GC114" s="102">
        <f t="shared" ca="1" si="2858"/>
        <v>12</v>
      </c>
      <c r="GD114" s="102">
        <f t="shared" ca="1" si="2858"/>
        <v>13</v>
      </c>
      <c r="GE114" s="102">
        <f t="shared" ca="1" si="2858"/>
        <v>14</v>
      </c>
      <c r="GF114" s="102">
        <f t="shared" ca="1" si="2858"/>
        <v>15</v>
      </c>
      <c r="GG114" s="102">
        <f t="shared" ca="1" si="2858"/>
        <v>16</v>
      </c>
      <c r="GH114" s="102">
        <f t="shared" ca="1" si="2858"/>
        <v>17</v>
      </c>
      <c r="GI114" s="102">
        <f t="shared" ca="1" si="2858"/>
        <v>18</v>
      </c>
      <c r="GJ114" s="102">
        <f t="shared" ca="1" si="2858"/>
        <v>19</v>
      </c>
      <c r="GK114" s="102">
        <f t="shared" ca="1" si="2858"/>
        <v>20</v>
      </c>
      <c r="GL114" s="102">
        <f t="shared" ca="1" si="2858"/>
        <v>21</v>
      </c>
      <c r="GM114" s="102">
        <f t="shared" ca="1" si="2858"/>
        <v>22</v>
      </c>
      <c r="GN114" s="102">
        <f t="shared" ca="1" si="2858"/>
        <v>23</v>
      </c>
      <c r="GO114" s="102">
        <f t="shared" ca="1" si="2858"/>
        <v>24</v>
      </c>
      <c r="GP114" s="102">
        <f t="shared" ca="1" si="2858"/>
        <v>25</v>
      </c>
      <c r="GQ114" s="102">
        <f t="shared" ca="1" si="2858"/>
        <v>26</v>
      </c>
      <c r="GR114" s="102">
        <f t="shared" ca="1" si="2858"/>
        <v>27</v>
      </c>
      <c r="GS114" s="102">
        <f t="shared" ca="1" si="2858"/>
        <v>28</v>
      </c>
      <c r="GT114" s="102">
        <f t="shared" ca="1" si="2858"/>
        <v>29</v>
      </c>
      <c r="GU114" s="102">
        <f t="shared" ca="1" si="2858"/>
        <v>30</v>
      </c>
    </row>
    <row r="115" spans="7:203" x14ac:dyDescent="0.25">
      <c r="G115" s="132">
        <v>45781</v>
      </c>
      <c r="H115" s="133"/>
      <c r="I115" s="12" t="s">
        <v>2327</v>
      </c>
      <c r="J115" s="12" t="s">
        <v>2329</v>
      </c>
      <c r="EO115" s="102"/>
      <c r="EP115" s="102"/>
      <c r="EQ115" s="102"/>
      <c r="ER115" s="102"/>
      <c r="ES115" s="102"/>
      <c r="ET115" s="102"/>
      <c r="EU115" s="102"/>
      <c r="EV115" s="102"/>
      <c r="EW115" s="102"/>
      <c r="EX115" s="102"/>
      <c r="EY115" s="102"/>
      <c r="EZ115" s="102"/>
      <c r="FA115" s="102"/>
      <c r="FB115" s="102"/>
      <c r="FC115" s="102"/>
      <c r="FD115" s="102"/>
      <c r="FE115" s="102"/>
      <c r="FF115" s="102"/>
      <c r="FG115" s="102"/>
      <c r="FH115" s="102"/>
      <c r="FI115" s="102"/>
      <c r="FJ115" s="102"/>
      <c r="FK115" s="102"/>
      <c r="FL115" s="102"/>
      <c r="FM115" s="102"/>
      <c r="FN115" s="102"/>
      <c r="FP115" s="105" t="str">
        <f t="shared" ref="FP115" ca="1" si="2859">IFERROR(IF(SUM(FR115:GU115)&gt;2,OFFSET($FR$73,$FO113*5/2,MATCH(1,FR115:GU115,0)-1),""),"")</f>
        <v/>
      </c>
      <c r="FQ115" s="102" t="str">
        <f ca="1">IFERROR(IF(LEFT(FP115,1)="C",IF(RIGHT(FP115,1)="+",LEFT(FP115,LEN(FP115)-1),CONCATENATE(FP115,"+")),IF(SUM($FR115:$GU115)&gt;$FP$18,OFFSET($FR$73,$FO113*5/2,MATCH(0.5,FR115:GU115,0)),"")),"")</f>
        <v/>
      </c>
      <c r="FR115" s="102" t="str">
        <f t="shared" ref="FR115:GU115" ca="1" si="2860">IF(AND($BV$6="D",LEFT(FR113,1)="C"),IF(COUNTIF($FR114:$GU114,FR114)&gt;$FP$18-1,INDEX(Hyb_Tech_Value,MATCH(FR113,Hyb_Code,0)),""),IF(COUNTIF($FR114:$GU114,FR114)&gt;$FP$18,INDEX(Hyb_Tech_Value,MATCH(FR113,Hyb_Code,0)),""))</f>
        <v/>
      </c>
      <c r="FS115" s="102" t="str">
        <f t="shared" ca="1" si="2860"/>
        <v/>
      </c>
      <c r="FT115" s="102" t="str">
        <f t="shared" ca="1" si="2860"/>
        <v/>
      </c>
      <c r="FU115" s="102" t="str">
        <f t="shared" ca="1" si="2860"/>
        <v/>
      </c>
      <c r="FV115" s="102" t="str">
        <f t="shared" ca="1" si="2860"/>
        <v/>
      </c>
      <c r="FW115" s="102" t="str">
        <f t="shared" ca="1" si="2860"/>
        <v/>
      </c>
      <c r="FX115" s="102" t="str">
        <f t="shared" ca="1" si="2860"/>
        <v/>
      </c>
      <c r="FY115" s="102" t="str">
        <f t="shared" ca="1" si="2860"/>
        <v/>
      </c>
      <c r="FZ115" s="102" t="str">
        <f t="shared" ca="1" si="2860"/>
        <v/>
      </c>
      <c r="GA115" s="102" t="str">
        <f t="shared" ca="1" si="2860"/>
        <v/>
      </c>
      <c r="GB115" s="102" t="str">
        <f t="shared" ca="1" si="2860"/>
        <v/>
      </c>
      <c r="GC115" s="102" t="str">
        <f t="shared" ca="1" si="2860"/>
        <v/>
      </c>
      <c r="GD115" s="102" t="str">
        <f t="shared" ca="1" si="2860"/>
        <v/>
      </c>
      <c r="GE115" s="102" t="str">
        <f t="shared" ca="1" si="2860"/>
        <v/>
      </c>
      <c r="GF115" s="102" t="str">
        <f t="shared" ca="1" si="2860"/>
        <v/>
      </c>
      <c r="GG115" s="102" t="str">
        <f t="shared" ca="1" si="2860"/>
        <v/>
      </c>
      <c r="GH115" s="102" t="str">
        <f t="shared" ca="1" si="2860"/>
        <v/>
      </c>
      <c r="GI115" s="102" t="str">
        <f t="shared" ca="1" si="2860"/>
        <v/>
      </c>
      <c r="GJ115" s="102" t="str">
        <f t="shared" ca="1" si="2860"/>
        <v/>
      </c>
      <c r="GK115" s="102" t="str">
        <f t="shared" ca="1" si="2860"/>
        <v/>
      </c>
      <c r="GL115" s="102" t="str">
        <f t="shared" ca="1" si="2860"/>
        <v/>
      </c>
      <c r="GM115" s="102" t="str">
        <f t="shared" ca="1" si="2860"/>
        <v/>
      </c>
      <c r="GN115" s="102" t="str">
        <f t="shared" ca="1" si="2860"/>
        <v/>
      </c>
      <c r="GO115" s="102" t="str">
        <f t="shared" ca="1" si="2860"/>
        <v/>
      </c>
      <c r="GP115" s="102" t="str">
        <f t="shared" ca="1" si="2860"/>
        <v/>
      </c>
      <c r="GQ115" s="102" t="str">
        <f t="shared" ca="1" si="2860"/>
        <v/>
      </c>
      <c r="GR115" s="102" t="str">
        <f t="shared" ca="1" si="2860"/>
        <v/>
      </c>
      <c r="GS115" s="102" t="str">
        <f t="shared" ca="1" si="2860"/>
        <v/>
      </c>
      <c r="GT115" s="102" t="str">
        <f t="shared" ca="1" si="2860"/>
        <v/>
      </c>
      <c r="GU115" s="102" t="str">
        <f t="shared" ca="1" si="2860"/>
        <v/>
      </c>
    </row>
    <row r="116" spans="7:203" x14ac:dyDescent="0.25">
      <c r="G116" s="132">
        <v>45850</v>
      </c>
      <c r="H116" s="133"/>
      <c r="I116" s="12" t="s">
        <v>2330</v>
      </c>
      <c r="J116" s="12" t="s">
        <v>2343</v>
      </c>
      <c r="EM116" s="105"/>
      <c r="EN116" s="105"/>
      <c r="FQ116" s="102"/>
      <c r="FR116" s="102"/>
      <c r="FS116" s="102"/>
      <c r="FT116" s="102"/>
      <c r="FU116" s="102"/>
      <c r="FV116" s="102"/>
      <c r="FW116" s="102"/>
      <c r="FX116" s="102"/>
      <c r="FY116" s="102"/>
      <c r="FZ116" s="102"/>
      <c r="GA116" s="102"/>
      <c r="GB116" s="102"/>
      <c r="GC116" s="102"/>
      <c r="GD116" s="102"/>
      <c r="GE116" s="102"/>
      <c r="GF116" s="102"/>
      <c r="GG116" s="102"/>
      <c r="GH116" s="102"/>
      <c r="GI116" s="102"/>
      <c r="GJ116" s="102"/>
      <c r="GK116" s="102"/>
      <c r="GL116" s="102"/>
      <c r="GM116" s="102"/>
      <c r="GN116" s="102"/>
      <c r="GO116" s="102"/>
      <c r="GP116" s="102"/>
      <c r="GQ116" s="102"/>
      <c r="GR116" s="102"/>
      <c r="GS116" s="102"/>
      <c r="GT116" s="102"/>
      <c r="GU116" s="102"/>
    </row>
    <row r="117" spans="7:203" x14ac:dyDescent="0.25">
      <c r="G117" s="132">
        <v>45979</v>
      </c>
      <c r="H117" s="133"/>
      <c r="I117" s="12" t="s">
        <v>2344</v>
      </c>
      <c r="J117" s="12" t="s">
        <v>2351</v>
      </c>
      <c r="EO117" s="102"/>
      <c r="EP117" s="102"/>
      <c r="EQ117" s="102"/>
      <c r="ER117" s="102"/>
      <c r="ES117" s="102"/>
      <c r="ET117" s="102"/>
      <c r="EU117" s="102"/>
      <c r="EV117" s="102"/>
      <c r="EW117" s="102"/>
      <c r="EX117" s="102"/>
      <c r="EY117" s="102"/>
      <c r="EZ117" s="102"/>
      <c r="FA117" s="102"/>
      <c r="FB117" s="102"/>
      <c r="FC117" s="102"/>
      <c r="FD117" s="102"/>
      <c r="FE117" s="102"/>
      <c r="FF117" s="102"/>
      <c r="FG117" s="102"/>
      <c r="FH117" s="102"/>
      <c r="FI117" s="102"/>
      <c r="FJ117" s="102"/>
      <c r="FK117" s="102"/>
      <c r="FL117" s="102"/>
      <c r="FM117" s="102"/>
      <c r="FN117" s="102"/>
      <c r="FQ117" s="102"/>
      <c r="FR117" s="102"/>
      <c r="FS117" s="102"/>
      <c r="FT117" s="102"/>
      <c r="FU117" s="102"/>
      <c r="FV117" s="102"/>
      <c r="FW117" s="102"/>
      <c r="FX117" s="102"/>
      <c r="FY117" s="102"/>
      <c r="FZ117" s="102"/>
      <c r="GA117" s="102"/>
      <c r="GB117" s="102"/>
      <c r="GC117" s="102"/>
      <c r="GD117" s="102"/>
      <c r="GE117" s="102"/>
      <c r="GF117" s="102"/>
      <c r="GG117" s="102"/>
      <c r="GH117" s="102"/>
      <c r="GI117" s="102"/>
      <c r="GJ117" s="102"/>
      <c r="GK117" s="102"/>
      <c r="GL117" s="102"/>
      <c r="GM117" s="102"/>
      <c r="GN117" s="102"/>
      <c r="GO117" s="102"/>
      <c r="GP117" s="102"/>
      <c r="GQ117" s="102"/>
      <c r="GR117" s="102"/>
      <c r="GS117" s="102"/>
      <c r="GT117" s="102"/>
      <c r="GU117" s="102"/>
    </row>
    <row r="118" spans="7:203" x14ac:dyDescent="0.25">
      <c r="G118" s="132">
        <v>45982</v>
      </c>
      <c r="H118" s="133"/>
      <c r="I118" s="12" t="s">
        <v>2425</v>
      </c>
      <c r="J118" s="12" t="s">
        <v>2426</v>
      </c>
      <c r="EM118" s="105"/>
      <c r="EN118" s="105"/>
      <c r="FO118" s="105">
        <v>18</v>
      </c>
      <c r="FP118" s="102"/>
      <c r="FQ118" s="102"/>
      <c r="FR118" s="102">
        <f t="shared" ref="FR118:GU118" ca="1" si="2861">IFERROR(IF(AND(OFFSET($E$20,$FO118,0)="H",OFFSET(J$19,$FO118,0)&lt;&gt;""),UPPER(OFFSET(J$19,$FO118,0)),FR$18),FR$18)</f>
        <v>1</v>
      </c>
      <c r="FS118" s="102">
        <f t="shared" ca="1" si="2861"/>
        <v>2</v>
      </c>
      <c r="FT118" s="102">
        <f t="shared" ca="1" si="2861"/>
        <v>3</v>
      </c>
      <c r="FU118" s="102">
        <f t="shared" ca="1" si="2861"/>
        <v>4</v>
      </c>
      <c r="FV118" s="102">
        <f t="shared" ca="1" si="2861"/>
        <v>5</v>
      </c>
      <c r="FW118" s="102">
        <f t="shared" ca="1" si="2861"/>
        <v>6</v>
      </c>
      <c r="FX118" s="102">
        <f t="shared" ca="1" si="2861"/>
        <v>7</v>
      </c>
      <c r="FY118" s="102">
        <f t="shared" ca="1" si="2861"/>
        <v>8</v>
      </c>
      <c r="FZ118" s="102">
        <f t="shared" ca="1" si="2861"/>
        <v>9</v>
      </c>
      <c r="GA118" s="102">
        <f t="shared" ca="1" si="2861"/>
        <v>10</v>
      </c>
      <c r="GB118" s="102">
        <f t="shared" ca="1" si="2861"/>
        <v>11</v>
      </c>
      <c r="GC118" s="102">
        <f t="shared" ca="1" si="2861"/>
        <v>12</v>
      </c>
      <c r="GD118" s="102">
        <f t="shared" ca="1" si="2861"/>
        <v>13</v>
      </c>
      <c r="GE118" s="102">
        <f t="shared" ca="1" si="2861"/>
        <v>14</v>
      </c>
      <c r="GF118" s="102">
        <f t="shared" ca="1" si="2861"/>
        <v>15</v>
      </c>
      <c r="GG118" s="102">
        <f t="shared" ca="1" si="2861"/>
        <v>16</v>
      </c>
      <c r="GH118" s="102">
        <f t="shared" ca="1" si="2861"/>
        <v>17</v>
      </c>
      <c r="GI118" s="102">
        <f t="shared" ca="1" si="2861"/>
        <v>18</v>
      </c>
      <c r="GJ118" s="102">
        <f t="shared" ca="1" si="2861"/>
        <v>19</v>
      </c>
      <c r="GK118" s="102">
        <f t="shared" ca="1" si="2861"/>
        <v>20</v>
      </c>
      <c r="GL118" s="102">
        <f t="shared" ca="1" si="2861"/>
        <v>21</v>
      </c>
      <c r="GM118" s="102">
        <f t="shared" ca="1" si="2861"/>
        <v>22</v>
      </c>
      <c r="GN118" s="102">
        <f t="shared" ca="1" si="2861"/>
        <v>23</v>
      </c>
      <c r="GO118" s="102">
        <f t="shared" ca="1" si="2861"/>
        <v>24</v>
      </c>
      <c r="GP118" s="102">
        <f t="shared" ca="1" si="2861"/>
        <v>25</v>
      </c>
      <c r="GQ118" s="102">
        <f t="shared" ca="1" si="2861"/>
        <v>26</v>
      </c>
      <c r="GR118" s="102">
        <f t="shared" ca="1" si="2861"/>
        <v>27</v>
      </c>
      <c r="GS118" s="102">
        <f t="shared" ca="1" si="2861"/>
        <v>28</v>
      </c>
      <c r="GT118" s="102">
        <f t="shared" ca="1" si="2861"/>
        <v>29</v>
      </c>
      <c r="GU118" s="102">
        <f t="shared" ca="1" si="2861"/>
        <v>30</v>
      </c>
    </row>
    <row r="119" spans="7:203" x14ac:dyDescent="0.25">
      <c r="G119" s="132">
        <v>45988</v>
      </c>
      <c r="H119" s="133"/>
      <c r="I119" s="12" t="s">
        <v>2427</v>
      </c>
      <c r="J119" s="12" t="s">
        <v>2428</v>
      </c>
      <c r="EO119" s="102"/>
      <c r="EP119" s="102"/>
      <c r="EQ119" s="102"/>
      <c r="ER119" s="102"/>
      <c r="ES119" s="102"/>
      <c r="ET119" s="102"/>
      <c r="EU119" s="102"/>
      <c r="EV119" s="102"/>
      <c r="EW119" s="102"/>
      <c r="EX119" s="102"/>
      <c r="EY119" s="102"/>
      <c r="EZ119" s="102"/>
      <c r="FA119" s="102"/>
      <c r="FB119" s="102"/>
      <c r="FC119" s="102"/>
      <c r="FD119" s="102"/>
      <c r="FE119" s="102"/>
      <c r="FF119" s="102"/>
      <c r="FG119" s="102"/>
      <c r="FH119" s="102"/>
      <c r="FI119" s="102"/>
      <c r="FJ119" s="102"/>
      <c r="FK119" s="102"/>
      <c r="FL119" s="102"/>
      <c r="FM119" s="102"/>
      <c r="FN119" s="102"/>
      <c r="FR119" s="102">
        <f t="shared" ref="FR119:GU119" ca="1" si="2862">IFERROR(IF(AND(OFFSET($E$20,$FO118,0)="H",OFFSET(J$19,$FO118,0)&lt;&gt;"",OFFSET($F64,$FO118,0)&lt;&gt;"Hybrid - Thrust + 2 connections"),INDEX(Hyb_Tech,MATCH(OFFSET(J$19,$FO118,0),Hyb_Code,0)),FR$72),FR$72)</f>
        <v>1</v>
      </c>
      <c r="FS119" s="102">
        <f t="shared" ca="1" si="2862"/>
        <v>2</v>
      </c>
      <c r="FT119" s="102">
        <f t="shared" ca="1" si="2862"/>
        <v>3</v>
      </c>
      <c r="FU119" s="102">
        <f t="shared" ca="1" si="2862"/>
        <v>4</v>
      </c>
      <c r="FV119" s="102">
        <f t="shared" ca="1" si="2862"/>
        <v>5</v>
      </c>
      <c r="FW119" s="102">
        <f t="shared" ca="1" si="2862"/>
        <v>6</v>
      </c>
      <c r="FX119" s="102">
        <f t="shared" ca="1" si="2862"/>
        <v>7</v>
      </c>
      <c r="FY119" s="102">
        <f t="shared" ca="1" si="2862"/>
        <v>8</v>
      </c>
      <c r="FZ119" s="102">
        <f t="shared" ca="1" si="2862"/>
        <v>9</v>
      </c>
      <c r="GA119" s="102">
        <f t="shared" ca="1" si="2862"/>
        <v>10</v>
      </c>
      <c r="GB119" s="102">
        <f t="shared" ca="1" si="2862"/>
        <v>11</v>
      </c>
      <c r="GC119" s="102">
        <f t="shared" ca="1" si="2862"/>
        <v>12</v>
      </c>
      <c r="GD119" s="102">
        <f t="shared" ca="1" si="2862"/>
        <v>13</v>
      </c>
      <c r="GE119" s="102">
        <f t="shared" ca="1" si="2862"/>
        <v>14</v>
      </c>
      <c r="GF119" s="102">
        <f t="shared" ca="1" si="2862"/>
        <v>15</v>
      </c>
      <c r="GG119" s="102">
        <f t="shared" ca="1" si="2862"/>
        <v>16</v>
      </c>
      <c r="GH119" s="102">
        <f t="shared" ca="1" si="2862"/>
        <v>17</v>
      </c>
      <c r="GI119" s="102">
        <f t="shared" ca="1" si="2862"/>
        <v>18</v>
      </c>
      <c r="GJ119" s="102">
        <f t="shared" ca="1" si="2862"/>
        <v>19</v>
      </c>
      <c r="GK119" s="102">
        <f t="shared" ca="1" si="2862"/>
        <v>20</v>
      </c>
      <c r="GL119" s="102">
        <f t="shared" ca="1" si="2862"/>
        <v>21</v>
      </c>
      <c r="GM119" s="102">
        <f t="shared" ca="1" si="2862"/>
        <v>22</v>
      </c>
      <c r="GN119" s="102">
        <f t="shared" ca="1" si="2862"/>
        <v>23</v>
      </c>
      <c r="GO119" s="102">
        <f t="shared" ca="1" si="2862"/>
        <v>24</v>
      </c>
      <c r="GP119" s="102">
        <f t="shared" ca="1" si="2862"/>
        <v>25</v>
      </c>
      <c r="GQ119" s="102">
        <f t="shared" ca="1" si="2862"/>
        <v>26</v>
      </c>
      <c r="GR119" s="102">
        <f t="shared" ca="1" si="2862"/>
        <v>27</v>
      </c>
      <c r="GS119" s="102">
        <f t="shared" ca="1" si="2862"/>
        <v>28</v>
      </c>
      <c r="GT119" s="102">
        <f t="shared" ca="1" si="2862"/>
        <v>29</v>
      </c>
      <c r="GU119" s="102">
        <f t="shared" ca="1" si="2862"/>
        <v>30</v>
      </c>
    </row>
    <row r="120" spans="7:203" x14ac:dyDescent="0.25">
      <c r="G120" s="132">
        <v>46005</v>
      </c>
      <c r="H120" s="133"/>
      <c r="I120" s="12" t="s">
        <v>2429</v>
      </c>
      <c r="J120" s="12" t="s">
        <v>2430</v>
      </c>
      <c r="EM120" s="105"/>
      <c r="EN120" s="105"/>
      <c r="FP120" s="105" t="str">
        <f t="shared" ref="FP120" ca="1" si="2863">IFERROR(IF(SUM(FR120:GU120)&gt;2,OFFSET($FR$73,$FO118*5/2,MATCH(1,FR120:GU120,0)-1),""),"")</f>
        <v/>
      </c>
      <c r="FQ120" s="102" t="str">
        <f ca="1">IFERROR(IF(LEFT(FP120,1)="C",IF(RIGHT(FP120,1)="+",LEFT(FP120,LEN(FP120)-1),CONCATENATE(FP120,"+")),IF(SUM($FR120:$GU120)&gt;$FP$18,OFFSET($FR$73,$FO118*5/2,MATCH(0.5,FR120:GU120,0)),"")),"")</f>
        <v/>
      </c>
      <c r="FR120" s="102" t="str">
        <f t="shared" ref="FR120:GU120" ca="1" si="2864">IF(AND($BV$6="D",LEFT(FR118,1)="C"),IF(COUNTIF($FR119:$GU119,FR119)&gt;$FP$18-1,INDEX(Hyb_Tech_Value,MATCH(FR118,Hyb_Code,0)),""),IF(COUNTIF($FR119:$GU119,FR119)&gt;$FP$18,INDEX(Hyb_Tech_Value,MATCH(FR118,Hyb_Code,0)),""))</f>
        <v/>
      </c>
      <c r="FS120" s="102" t="str">
        <f t="shared" ca="1" si="2864"/>
        <v/>
      </c>
      <c r="FT120" s="102" t="str">
        <f t="shared" ca="1" si="2864"/>
        <v/>
      </c>
      <c r="FU120" s="102" t="str">
        <f t="shared" ca="1" si="2864"/>
        <v/>
      </c>
      <c r="FV120" s="102" t="str">
        <f t="shared" ca="1" si="2864"/>
        <v/>
      </c>
      <c r="FW120" s="102" t="str">
        <f t="shared" ca="1" si="2864"/>
        <v/>
      </c>
      <c r="FX120" s="102" t="str">
        <f t="shared" ca="1" si="2864"/>
        <v/>
      </c>
      <c r="FY120" s="102" t="str">
        <f t="shared" ca="1" si="2864"/>
        <v/>
      </c>
      <c r="FZ120" s="102" t="str">
        <f t="shared" ca="1" si="2864"/>
        <v/>
      </c>
      <c r="GA120" s="102" t="str">
        <f t="shared" ca="1" si="2864"/>
        <v/>
      </c>
      <c r="GB120" s="102" t="str">
        <f t="shared" ca="1" si="2864"/>
        <v/>
      </c>
      <c r="GC120" s="102" t="str">
        <f t="shared" ca="1" si="2864"/>
        <v/>
      </c>
      <c r="GD120" s="102" t="str">
        <f t="shared" ca="1" si="2864"/>
        <v/>
      </c>
      <c r="GE120" s="102" t="str">
        <f t="shared" ca="1" si="2864"/>
        <v/>
      </c>
      <c r="GF120" s="102" t="str">
        <f t="shared" ca="1" si="2864"/>
        <v/>
      </c>
      <c r="GG120" s="102" t="str">
        <f t="shared" ca="1" si="2864"/>
        <v/>
      </c>
      <c r="GH120" s="102" t="str">
        <f t="shared" ca="1" si="2864"/>
        <v/>
      </c>
      <c r="GI120" s="102" t="str">
        <f t="shared" ca="1" si="2864"/>
        <v/>
      </c>
      <c r="GJ120" s="102" t="str">
        <f t="shared" ca="1" si="2864"/>
        <v/>
      </c>
      <c r="GK120" s="102" t="str">
        <f t="shared" ca="1" si="2864"/>
        <v/>
      </c>
      <c r="GL120" s="102" t="str">
        <f t="shared" ca="1" si="2864"/>
        <v/>
      </c>
      <c r="GM120" s="102" t="str">
        <f t="shared" ca="1" si="2864"/>
        <v/>
      </c>
      <c r="GN120" s="102" t="str">
        <f t="shared" ca="1" si="2864"/>
        <v/>
      </c>
      <c r="GO120" s="102" t="str">
        <f t="shared" ca="1" si="2864"/>
        <v/>
      </c>
      <c r="GP120" s="102" t="str">
        <f t="shared" ca="1" si="2864"/>
        <v/>
      </c>
      <c r="GQ120" s="102" t="str">
        <f t="shared" ca="1" si="2864"/>
        <v/>
      </c>
      <c r="GR120" s="102" t="str">
        <f t="shared" ca="1" si="2864"/>
        <v/>
      </c>
      <c r="GS120" s="102" t="str">
        <f t="shared" ca="1" si="2864"/>
        <v/>
      </c>
      <c r="GT120" s="102" t="str">
        <f t="shared" ca="1" si="2864"/>
        <v/>
      </c>
      <c r="GU120" s="102" t="str">
        <f t="shared" ca="1" si="2864"/>
        <v/>
      </c>
    </row>
    <row r="121" spans="7:203" x14ac:dyDescent="0.25">
      <c r="G121" s="132">
        <v>46006</v>
      </c>
      <c r="H121" s="133"/>
      <c r="I121" s="12" t="s">
        <v>2431</v>
      </c>
      <c r="J121" s="12" t="s">
        <v>2432</v>
      </c>
      <c r="EO121" s="102"/>
      <c r="EP121" s="102"/>
      <c r="EQ121" s="102"/>
      <c r="ER121" s="102"/>
      <c r="ES121" s="102"/>
      <c r="ET121" s="102"/>
      <c r="EU121" s="102"/>
      <c r="EV121" s="102"/>
      <c r="EW121" s="102"/>
      <c r="EX121" s="102"/>
      <c r="EY121" s="102"/>
      <c r="EZ121" s="102"/>
      <c r="FA121" s="102"/>
      <c r="FB121" s="102"/>
      <c r="FC121" s="102"/>
      <c r="FD121" s="102"/>
      <c r="FE121" s="102"/>
      <c r="FF121" s="102"/>
      <c r="FG121" s="102"/>
      <c r="FH121" s="102"/>
      <c r="FI121" s="102"/>
      <c r="FJ121" s="102"/>
      <c r="FK121" s="102"/>
      <c r="FL121" s="102"/>
      <c r="FM121" s="102"/>
      <c r="FN121" s="102"/>
      <c r="FQ121" s="102"/>
      <c r="FR121" s="102"/>
      <c r="FS121" s="102"/>
      <c r="FT121" s="102"/>
      <c r="FU121" s="102"/>
      <c r="FV121" s="102"/>
      <c r="FW121" s="102"/>
      <c r="FX121" s="102"/>
      <c r="FY121" s="102"/>
      <c r="FZ121" s="102"/>
      <c r="GA121" s="102"/>
      <c r="GB121" s="102"/>
      <c r="GC121" s="102"/>
      <c r="GD121" s="102"/>
      <c r="GE121" s="102"/>
      <c r="GF121" s="102"/>
      <c r="GG121" s="102"/>
      <c r="GH121" s="102"/>
      <c r="GI121" s="102"/>
      <c r="GJ121" s="102"/>
      <c r="GK121" s="102"/>
      <c r="GL121" s="102"/>
      <c r="GM121" s="102"/>
      <c r="GN121" s="102"/>
      <c r="GO121" s="102"/>
      <c r="GP121" s="102"/>
      <c r="GQ121" s="102"/>
      <c r="GR121" s="102"/>
      <c r="GS121" s="102"/>
      <c r="GT121" s="102"/>
      <c r="GU121" s="102"/>
    </row>
    <row r="122" spans="7:203" x14ac:dyDescent="0.25">
      <c r="G122" s="132">
        <v>46047</v>
      </c>
      <c r="H122" s="133"/>
      <c r="I122" s="12" t="s">
        <v>2433</v>
      </c>
      <c r="J122" s="12" t="s">
        <v>2434</v>
      </c>
      <c r="EM122" s="105"/>
      <c r="EN122" s="105"/>
      <c r="FQ122" s="102"/>
      <c r="FR122" s="102"/>
      <c r="FS122" s="102"/>
      <c r="FT122" s="102"/>
      <c r="FU122" s="102"/>
      <c r="FV122" s="102"/>
      <c r="FW122" s="102"/>
      <c r="FX122" s="102"/>
      <c r="FY122" s="102"/>
      <c r="FZ122" s="102"/>
      <c r="GA122" s="102"/>
      <c r="GB122" s="102"/>
      <c r="GC122" s="102"/>
      <c r="GD122" s="102"/>
      <c r="GE122" s="102"/>
      <c r="GF122" s="102"/>
      <c r="GG122" s="102"/>
      <c r="GH122" s="102"/>
      <c r="GI122" s="102"/>
      <c r="GJ122" s="102"/>
      <c r="GK122" s="102"/>
      <c r="GL122" s="102"/>
      <c r="GM122" s="102"/>
      <c r="GN122" s="102"/>
      <c r="GO122" s="102"/>
      <c r="GP122" s="102"/>
      <c r="GQ122" s="102"/>
      <c r="GR122" s="102"/>
      <c r="GS122" s="102"/>
      <c r="GT122" s="102"/>
      <c r="GU122" s="102"/>
    </row>
    <row r="123" spans="7:203" x14ac:dyDescent="0.25">
      <c r="G123" s="132">
        <v>46059</v>
      </c>
      <c r="H123" s="133"/>
      <c r="I123" s="12" t="s">
        <v>2435</v>
      </c>
      <c r="J123" s="12" t="s">
        <v>2436</v>
      </c>
      <c r="EO123" s="102"/>
      <c r="EP123" s="102"/>
      <c r="EQ123" s="102"/>
      <c r="ER123" s="102"/>
      <c r="ES123" s="102"/>
      <c r="ET123" s="102"/>
      <c r="EU123" s="102"/>
      <c r="EV123" s="102"/>
      <c r="EW123" s="102"/>
      <c r="EX123" s="102"/>
      <c r="EY123" s="102"/>
      <c r="EZ123" s="102"/>
      <c r="FA123" s="102"/>
      <c r="FB123" s="102"/>
      <c r="FC123" s="102"/>
      <c r="FD123" s="102"/>
      <c r="FE123" s="102"/>
      <c r="FF123" s="102"/>
      <c r="FG123" s="102"/>
      <c r="FH123" s="102"/>
      <c r="FI123" s="102"/>
      <c r="FJ123" s="102"/>
      <c r="FK123" s="102"/>
      <c r="FL123" s="102"/>
      <c r="FM123" s="102"/>
      <c r="FN123" s="102"/>
      <c r="FO123" s="105">
        <v>20</v>
      </c>
      <c r="FP123" s="102"/>
      <c r="FQ123" s="102"/>
      <c r="FR123" s="102">
        <f t="shared" ref="FR123:GU123" ca="1" si="2865">IFERROR(IF(AND(OFFSET($E$20,$FO123,0)="H",OFFSET(J$19,$FO123,0)&lt;&gt;""),UPPER(OFFSET(J$19,$FO123,0)),FR$18),FR$18)</f>
        <v>1</v>
      </c>
      <c r="FS123" s="102">
        <f t="shared" ca="1" si="2865"/>
        <v>2</v>
      </c>
      <c r="FT123" s="102">
        <f t="shared" ca="1" si="2865"/>
        <v>3</v>
      </c>
      <c r="FU123" s="102">
        <f t="shared" ca="1" si="2865"/>
        <v>4</v>
      </c>
      <c r="FV123" s="102">
        <f t="shared" ca="1" si="2865"/>
        <v>5</v>
      </c>
      <c r="FW123" s="102">
        <f t="shared" ca="1" si="2865"/>
        <v>6</v>
      </c>
      <c r="FX123" s="102">
        <f t="shared" ca="1" si="2865"/>
        <v>7</v>
      </c>
      <c r="FY123" s="102">
        <f t="shared" ca="1" si="2865"/>
        <v>8</v>
      </c>
      <c r="FZ123" s="102">
        <f t="shared" ca="1" si="2865"/>
        <v>9</v>
      </c>
      <c r="GA123" s="102">
        <f t="shared" ca="1" si="2865"/>
        <v>10</v>
      </c>
      <c r="GB123" s="102">
        <f t="shared" ca="1" si="2865"/>
        <v>11</v>
      </c>
      <c r="GC123" s="102">
        <f t="shared" ca="1" si="2865"/>
        <v>12</v>
      </c>
      <c r="GD123" s="102">
        <f t="shared" ca="1" si="2865"/>
        <v>13</v>
      </c>
      <c r="GE123" s="102">
        <f t="shared" ca="1" si="2865"/>
        <v>14</v>
      </c>
      <c r="GF123" s="102">
        <f t="shared" ca="1" si="2865"/>
        <v>15</v>
      </c>
      <c r="GG123" s="102">
        <f t="shared" ca="1" si="2865"/>
        <v>16</v>
      </c>
      <c r="GH123" s="102">
        <f t="shared" ca="1" si="2865"/>
        <v>17</v>
      </c>
      <c r="GI123" s="102">
        <f t="shared" ca="1" si="2865"/>
        <v>18</v>
      </c>
      <c r="GJ123" s="102">
        <f t="shared" ca="1" si="2865"/>
        <v>19</v>
      </c>
      <c r="GK123" s="102">
        <f t="shared" ca="1" si="2865"/>
        <v>20</v>
      </c>
      <c r="GL123" s="102">
        <f t="shared" ca="1" si="2865"/>
        <v>21</v>
      </c>
      <c r="GM123" s="102">
        <f t="shared" ca="1" si="2865"/>
        <v>22</v>
      </c>
      <c r="GN123" s="102">
        <f t="shared" ca="1" si="2865"/>
        <v>23</v>
      </c>
      <c r="GO123" s="102">
        <f t="shared" ca="1" si="2865"/>
        <v>24</v>
      </c>
      <c r="GP123" s="102">
        <f t="shared" ca="1" si="2865"/>
        <v>25</v>
      </c>
      <c r="GQ123" s="102">
        <f t="shared" ca="1" si="2865"/>
        <v>26</v>
      </c>
      <c r="GR123" s="102">
        <f t="shared" ca="1" si="2865"/>
        <v>27</v>
      </c>
      <c r="GS123" s="102">
        <f t="shared" ca="1" si="2865"/>
        <v>28</v>
      </c>
      <c r="GT123" s="102">
        <f t="shared" ca="1" si="2865"/>
        <v>29</v>
      </c>
      <c r="GU123" s="102">
        <f t="shared" ca="1" si="2865"/>
        <v>30</v>
      </c>
    </row>
    <row r="124" spans="7:203" x14ac:dyDescent="0.25">
      <c r="G124" s="132">
        <v>46156</v>
      </c>
      <c r="H124" s="133"/>
      <c r="I124" s="12" t="s">
        <v>2448</v>
      </c>
      <c r="J124" s="12" t="s">
        <v>2449</v>
      </c>
      <c r="EM124" s="105"/>
      <c r="EN124" s="105"/>
      <c r="FR124" s="102">
        <f t="shared" ref="FR124:GU124" ca="1" si="2866">IFERROR(IF(AND(OFFSET($E$20,$FO123,0)="H",OFFSET(J$19,$FO123,0)&lt;&gt;"",OFFSET($F69,$FO123,0)&lt;&gt;"Hybrid - Thrust + 2 connections"),INDEX(Hyb_Tech,MATCH(OFFSET(J$19,$FO123,0),Hyb_Code,0)),FR$72),FR$72)</f>
        <v>1</v>
      </c>
      <c r="FS124" s="102">
        <f t="shared" ca="1" si="2866"/>
        <v>2</v>
      </c>
      <c r="FT124" s="102">
        <f t="shared" ca="1" si="2866"/>
        <v>3</v>
      </c>
      <c r="FU124" s="102">
        <f t="shared" ca="1" si="2866"/>
        <v>4</v>
      </c>
      <c r="FV124" s="102">
        <f t="shared" ca="1" si="2866"/>
        <v>5</v>
      </c>
      <c r="FW124" s="102">
        <f t="shared" ca="1" si="2866"/>
        <v>6</v>
      </c>
      <c r="FX124" s="102">
        <f t="shared" ca="1" si="2866"/>
        <v>7</v>
      </c>
      <c r="FY124" s="102">
        <f t="shared" ca="1" si="2866"/>
        <v>8</v>
      </c>
      <c r="FZ124" s="102">
        <f t="shared" ca="1" si="2866"/>
        <v>9</v>
      </c>
      <c r="GA124" s="102">
        <f t="shared" ca="1" si="2866"/>
        <v>10</v>
      </c>
      <c r="GB124" s="102">
        <f t="shared" ca="1" si="2866"/>
        <v>11</v>
      </c>
      <c r="GC124" s="102">
        <f t="shared" ca="1" si="2866"/>
        <v>12</v>
      </c>
      <c r="GD124" s="102">
        <f t="shared" ca="1" si="2866"/>
        <v>13</v>
      </c>
      <c r="GE124" s="102">
        <f t="shared" ca="1" si="2866"/>
        <v>14</v>
      </c>
      <c r="GF124" s="102">
        <f t="shared" ca="1" si="2866"/>
        <v>15</v>
      </c>
      <c r="GG124" s="102">
        <f t="shared" ca="1" si="2866"/>
        <v>16</v>
      </c>
      <c r="GH124" s="102">
        <f t="shared" ca="1" si="2866"/>
        <v>17</v>
      </c>
      <c r="GI124" s="102">
        <f t="shared" ca="1" si="2866"/>
        <v>18</v>
      </c>
      <c r="GJ124" s="102">
        <f t="shared" ca="1" si="2866"/>
        <v>19</v>
      </c>
      <c r="GK124" s="102">
        <f t="shared" ca="1" si="2866"/>
        <v>20</v>
      </c>
      <c r="GL124" s="102">
        <f t="shared" ca="1" si="2866"/>
        <v>21</v>
      </c>
      <c r="GM124" s="102">
        <f t="shared" ca="1" si="2866"/>
        <v>22</v>
      </c>
      <c r="GN124" s="102">
        <f t="shared" ca="1" si="2866"/>
        <v>23</v>
      </c>
      <c r="GO124" s="102">
        <f t="shared" ca="1" si="2866"/>
        <v>24</v>
      </c>
      <c r="GP124" s="102">
        <f t="shared" ca="1" si="2866"/>
        <v>25</v>
      </c>
      <c r="GQ124" s="102">
        <f t="shared" ca="1" si="2866"/>
        <v>26</v>
      </c>
      <c r="GR124" s="102">
        <f t="shared" ca="1" si="2866"/>
        <v>27</v>
      </c>
      <c r="GS124" s="102">
        <f t="shared" ca="1" si="2866"/>
        <v>28</v>
      </c>
      <c r="GT124" s="102">
        <f t="shared" ca="1" si="2866"/>
        <v>29</v>
      </c>
      <c r="GU124" s="102">
        <f t="shared" ca="1" si="2866"/>
        <v>30</v>
      </c>
    </row>
    <row r="125" spans="7:203" x14ac:dyDescent="0.25">
      <c r="EO125" s="102"/>
      <c r="EP125" s="102"/>
      <c r="EQ125" s="102"/>
      <c r="ER125" s="102"/>
      <c r="ES125" s="102"/>
      <c r="ET125" s="102"/>
      <c r="EU125" s="102"/>
      <c r="EV125" s="102"/>
      <c r="EW125" s="102"/>
      <c r="EX125" s="102"/>
      <c r="EY125" s="102"/>
      <c r="EZ125" s="102"/>
      <c r="FA125" s="102"/>
      <c r="FB125" s="102"/>
      <c r="FC125" s="102"/>
      <c r="FD125" s="102"/>
      <c r="FE125" s="102"/>
      <c r="FF125" s="102"/>
      <c r="FG125" s="102"/>
      <c r="FH125" s="102"/>
      <c r="FI125" s="102"/>
      <c r="FJ125" s="102"/>
      <c r="FK125" s="102"/>
      <c r="FL125" s="102"/>
      <c r="FM125" s="102"/>
      <c r="FN125" s="102"/>
      <c r="FP125" s="105" t="str">
        <f t="shared" ref="FP125" ca="1" si="2867">IFERROR(IF(SUM(FR125:GU125)&gt;2,OFFSET($FR$73,$FO123*5/2,MATCH(1,FR125:GU125,0)-1),""),"")</f>
        <v/>
      </c>
      <c r="FQ125" s="102" t="str">
        <f ca="1">IFERROR(IF(LEFT(FP125,1)="C",IF(RIGHT(FP125,1)="+",LEFT(FP125,LEN(FP125)-1),CONCATENATE(FP125,"+")),IF(SUM($FR125:$GU125)&gt;$FP$18,OFFSET($FR$73,$FO123*5/2,MATCH(0.5,FR125:GU125,0)),"")),"")</f>
        <v/>
      </c>
      <c r="FR125" s="102" t="str">
        <f t="shared" ref="FR125:GU125" ca="1" si="2868">IF(AND($BV$6="D",LEFT(FR123,1)="C"),IF(COUNTIF($FR124:$GU124,FR124)&gt;$FP$18-1,INDEX(Hyb_Tech_Value,MATCH(FR123,Hyb_Code,0)),""),IF(COUNTIF($FR124:$GU124,FR124)&gt;$FP$18,INDEX(Hyb_Tech_Value,MATCH(FR123,Hyb_Code,0)),""))</f>
        <v/>
      </c>
      <c r="FS125" s="102" t="str">
        <f t="shared" ca="1" si="2868"/>
        <v/>
      </c>
      <c r="FT125" s="102" t="str">
        <f t="shared" ca="1" si="2868"/>
        <v/>
      </c>
      <c r="FU125" s="102" t="str">
        <f t="shared" ca="1" si="2868"/>
        <v/>
      </c>
      <c r="FV125" s="102" t="str">
        <f t="shared" ca="1" si="2868"/>
        <v/>
      </c>
      <c r="FW125" s="102" t="str">
        <f t="shared" ca="1" si="2868"/>
        <v/>
      </c>
      <c r="FX125" s="102" t="str">
        <f t="shared" ca="1" si="2868"/>
        <v/>
      </c>
      <c r="FY125" s="102" t="str">
        <f t="shared" ca="1" si="2868"/>
        <v/>
      </c>
      <c r="FZ125" s="102" t="str">
        <f t="shared" ca="1" si="2868"/>
        <v/>
      </c>
      <c r="GA125" s="102" t="str">
        <f t="shared" ca="1" si="2868"/>
        <v/>
      </c>
      <c r="GB125" s="102" t="str">
        <f t="shared" ca="1" si="2868"/>
        <v/>
      </c>
      <c r="GC125" s="102" t="str">
        <f t="shared" ca="1" si="2868"/>
        <v/>
      </c>
      <c r="GD125" s="102" t="str">
        <f t="shared" ca="1" si="2868"/>
        <v/>
      </c>
      <c r="GE125" s="102" t="str">
        <f t="shared" ca="1" si="2868"/>
        <v/>
      </c>
      <c r="GF125" s="102" t="str">
        <f t="shared" ca="1" si="2868"/>
        <v/>
      </c>
      <c r="GG125" s="102" t="str">
        <f t="shared" ca="1" si="2868"/>
        <v/>
      </c>
      <c r="GH125" s="102" t="str">
        <f t="shared" ca="1" si="2868"/>
        <v/>
      </c>
      <c r="GI125" s="102" t="str">
        <f t="shared" ca="1" si="2868"/>
        <v/>
      </c>
      <c r="GJ125" s="102" t="str">
        <f t="shared" ca="1" si="2868"/>
        <v/>
      </c>
      <c r="GK125" s="102" t="str">
        <f t="shared" ca="1" si="2868"/>
        <v/>
      </c>
      <c r="GL125" s="102" t="str">
        <f t="shared" ca="1" si="2868"/>
        <v/>
      </c>
      <c r="GM125" s="102" t="str">
        <f t="shared" ca="1" si="2868"/>
        <v/>
      </c>
      <c r="GN125" s="102" t="str">
        <f t="shared" ca="1" si="2868"/>
        <v/>
      </c>
      <c r="GO125" s="102" t="str">
        <f t="shared" ca="1" si="2868"/>
        <v/>
      </c>
      <c r="GP125" s="102" t="str">
        <f t="shared" ca="1" si="2868"/>
        <v/>
      </c>
      <c r="GQ125" s="102" t="str">
        <f t="shared" ca="1" si="2868"/>
        <v/>
      </c>
      <c r="GR125" s="102" t="str">
        <f t="shared" ca="1" si="2868"/>
        <v/>
      </c>
      <c r="GS125" s="102" t="str">
        <f t="shared" ca="1" si="2868"/>
        <v/>
      </c>
      <c r="GT125" s="102" t="str">
        <f t="shared" ca="1" si="2868"/>
        <v/>
      </c>
      <c r="GU125" s="102" t="str">
        <f t="shared" ca="1" si="2868"/>
        <v/>
      </c>
    </row>
    <row r="126" spans="7:203" x14ac:dyDescent="0.25">
      <c r="EM126" s="105"/>
      <c r="EN126" s="105"/>
      <c r="FQ126" s="102"/>
      <c r="FR126" s="102"/>
      <c r="FS126" s="102"/>
      <c r="FT126" s="102"/>
      <c r="FU126" s="102"/>
      <c r="FV126" s="102"/>
      <c r="FW126" s="102"/>
      <c r="FX126" s="102"/>
      <c r="FY126" s="102"/>
      <c r="FZ126" s="102"/>
      <c r="GA126" s="102"/>
      <c r="GB126" s="102"/>
      <c r="GC126" s="102"/>
      <c r="GD126" s="102"/>
      <c r="GE126" s="102"/>
      <c r="GF126" s="102"/>
      <c r="GG126" s="102"/>
      <c r="GH126" s="102"/>
      <c r="GI126" s="102"/>
      <c r="GJ126" s="102"/>
      <c r="GK126" s="102"/>
      <c r="GL126" s="102"/>
      <c r="GM126" s="102"/>
      <c r="GN126" s="102"/>
      <c r="GO126" s="102"/>
      <c r="GP126" s="102"/>
      <c r="GQ126" s="102"/>
      <c r="GR126" s="102"/>
      <c r="GS126" s="102"/>
      <c r="GT126" s="102"/>
      <c r="GU126" s="102"/>
    </row>
    <row r="127" spans="7:203" x14ac:dyDescent="0.25">
      <c r="EO127" s="102"/>
      <c r="EP127" s="102"/>
      <c r="EQ127" s="102"/>
      <c r="ER127" s="102"/>
      <c r="ES127" s="102"/>
      <c r="ET127" s="102"/>
      <c r="EU127" s="102"/>
      <c r="EV127" s="102"/>
      <c r="EW127" s="102"/>
      <c r="EX127" s="102"/>
      <c r="EY127" s="102"/>
      <c r="EZ127" s="102"/>
      <c r="FA127" s="102"/>
      <c r="FB127" s="102"/>
      <c r="FC127" s="102"/>
      <c r="FD127" s="102"/>
      <c r="FE127" s="102"/>
      <c r="FF127" s="102"/>
      <c r="FG127" s="102"/>
      <c r="FH127" s="102"/>
      <c r="FI127" s="102"/>
      <c r="FJ127" s="102"/>
      <c r="FK127" s="102"/>
      <c r="FL127" s="102"/>
      <c r="FM127" s="102"/>
      <c r="FN127" s="102"/>
      <c r="FQ127" s="102"/>
      <c r="FR127" s="102"/>
      <c r="FS127" s="102"/>
      <c r="FT127" s="102"/>
      <c r="FU127" s="102"/>
      <c r="FV127" s="102"/>
      <c r="FW127" s="102"/>
      <c r="FX127" s="102"/>
      <c r="FY127" s="102"/>
      <c r="FZ127" s="102"/>
      <c r="GA127" s="102"/>
      <c r="GB127" s="102"/>
      <c r="GC127" s="102"/>
      <c r="GD127" s="102"/>
      <c r="GE127" s="102"/>
      <c r="GF127" s="102"/>
      <c r="GG127" s="102"/>
      <c r="GH127" s="102"/>
      <c r="GI127" s="102"/>
      <c r="GJ127" s="102"/>
      <c r="GK127" s="102"/>
      <c r="GL127" s="102"/>
      <c r="GM127" s="102"/>
      <c r="GN127" s="102"/>
      <c r="GO127" s="102"/>
      <c r="GP127" s="102"/>
      <c r="GQ127" s="102"/>
      <c r="GR127" s="102"/>
      <c r="GS127" s="102"/>
      <c r="GT127" s="102"/>
      <c r="GU127" s="102"/>
    </row>
    <row r="128" spans="7:203" x14ac:dyDescent="0.25">
      <c r="EM128" s="105"/>
      <c r="EN128" s="105"/>
      <c r="FO128" s="105">
        <v>22</v>
      </c>
      <c r="FP128" s="102"/>
      <c r="FQ128" s="102"/>
      <c r="FR128" s="102">
        <f t="shared" ref="FR128:GU128" ca="1" si="2869">IFERROR(IF(AND(OFFSET($E$20,$FO128,0)="H",OFFSET(J$19,$FO128,0)&lt;&gt;""),UPPER(OFFSET(J$19,$FO128,0)),FR$18),FR$18)</f>
        <v>1</v>
      </c>
      <c r="FS128" s="102">
        <f t="shared" ca="1" si="2869"/>
        <v>2</v>
      </c>
      <c r="FT128" s="102">
        <f t="shared" ca="1" si="2869"/>
        <v>3</v>
      </c>
      <c r="FU128" s="102">
        <f t="shared" ca="1" si="2869"/>
        <v>4</v>
      </c>
      <c r="FV128" s="102">
        <f t="shared" ca="1" si="2869"/>
        <v>5</v>
      </c>
      <c r="FW128" s="102">
        <f t="shared" ca="1" si="2869"/>
        <v>6</v>
      </c>
      <c r="FX128" s="102">
        <f t="shared" ca="1" si="2869"/>
        <v>7</v>
      </c>
      <c r="FY128" s="102">
        <f t="shared" ca="1" si="2869"/>
        <v>8</v>
      </c>
      <c r="FZ128" s="102">
        <f t="shared" ca="1" si="2869"/>
        <v>9</v>
      </c>
      <c r="GA128" s="102">
        <f t="shared" ca="1" si="2869"/>
        <v>10</v>
      </c>
      <c r="GB128" s="102">
        <f t="shared" ca="1" si="2869"/>
        <v>11</v>
      </c>
      <c r="GC128" s="102">
        <f t="shared" ca="1" si="2869"/>
        <v>12</v>
      </c>
      <c r="GD128" s="102">
        <f t="shared" ca="1" si="2869"/>
        <v>13</v>
      </c>
      <c r="GE128" s="102">
        <f t="shared" ca="1" si="2869"/>
        <v>14</v>
      </c>
      <c r="GF128" s="102">
        <f t="shared" ca="1" si="2869"/>
        <v>15</v>
      </c>
      <c r="GG128" s="102">
        <f t="shared" ca="1" si="2869"/>
        <v>16</v>
      </c>
      <c r="GH128" s="102">
        <f t="shared" ca="1" si="2869"/>
        <v>17</v>
      </c>
      <c r="GI128" s="102">
        <f t="shared" ca="1" si="2869"/>
        <v>18</v>
      </c>
      <c r="GJ128" s="102">
        <f t="shared" ca="1" si="2869"/>
        <v>19</v>
      </c>
      <c r="GK128" s="102">
        <f t="shared" ca="1" si="2869"/>
        <v>20</v>
      </c>
      <c r="GL128" s="102">
        <f t="shared" ca="1" si="2869"/>
        <v>21</v>
      </c>
      <c r="GM128" s="102">
        <f t="shared" ca="1" si="2869"/>
        <v>22</v>
      </c>
      <c r="GN128" s="102">
        <f t="shared" ca="1" si="2869"/>
        <v>23</v>
      </c>
      <c r="GO128" s="102">
        <f t="shared" ca="1" si="2869"/>
        <v>24</v>
      </c>
      <c r="GP128" s="102">
        <f t="shared" ca="1" si="2869"/>
        <v>25</v>
      </c>
      <c r="GQ128" s="102">
        <f t="shared" ca="1" si="2869"/>
        <v>26</v>
      </c>
      <c r="GR128" s="102">
        <f t="shared" ca="1" si="2869"/>
        <v>27</v>
      </c>
      <c r="GS128" s="102">
        <f t="shared" ca="1" si="2869"/>
        <v>28</v>
      </c>
      <c r="GT128" s="102">
        <f t="shared" ca="1" si="2869"/>
        <v>29</v>
      </c>
      <c r="GU128" s="102">
        <f t="shared" ca="1" si="2869"/>
        <v>30</v>
      </c>
    </row>
    <row r="129" spans="143:203" x14ac:dyDescent="0.25">
      <c r="EO129" s="102"/>
      <c r="EP129" s="102"/>
      <c r="EQ129" s="102"/>
      <c r="ER129" s="102"/>
      <c r="ES129" s="102"/>
      <c r="ET129" s="102"/>
      <c r="EU129" s="102"/>
      <c r="EV129" s="102"/>
      <c r="EW129" s="102"/>
      <c r="EX129" s="102"/>
      <c r="EY129" s="102"/>
      <c r="EZ129" s="102"/>
      <c r="FA129" s="102"/>
      <c r="FB129" s="102"/>
      <c r="FC129" s="102"/>
      <c r="FD129" s="102"/>
      <c r="FE129" s="102"/>
      <c r="FF129" s="102"/>
      <c r="FG129" s="102"/>
      <c r="FH129" s="102"/>
      <c r="FI129" s="102"/>
      <c r="FJ129" s="102"/>
      <c r="FK129" s="102"/>
      <c r="FL129" s="102"/>
      <c r="FM129" s="102"/>
      <c r="FN129" s="102"/>
      <c r="FR129" s="102">
        <f t="shared" ref="FR129:GU129" ca="1" si="2870">IFERROR(IF(AND(OFFSET($E$20,$FO128,0)="H",OFFSET(J$19,$FO128,0)&lt;&gt;"",OFFSET($F74,$FO128,0)&lt;&gt;"Hybrid - Thrust + 2 connections"),INDEX(Hyb_Tech,MATCH(OFFSET(J$19,$FO128,0),Hyb_Code,0)),FR$72),FR$72)</f>
        <v>1</v>
      </c>
      <c r="FS129" s="102">
        <f t="shared" ca="1" si="2870"/>
        <v>2</v>
      </c>
      <c r="FT129" s="102">
        <f t="shared" ca="1" si="2870"/>
        <v>3</v>
      </c>
      <c r="FU129" s="102">
        <f t="shared" ca="1" si="2870"/>
        <v>4</v>
      </c>
      <c r="FV129" s="102">
        <f t="shared" ca="1" si="2870"/>
        <v>5</v>
      </c>
      <c r="FW129" s="102">
        <f t="shared" ca="1" si="2870"/>
        <v>6</v>
      </c>
      <c r="FX129" s="102">
        <f t="shared" ca="1" si="2870"/>
        <v>7</v>
      </c>
      <c r="FY129" s="102">
        <f t="shared" ca="1" si="2870"/>
        <v>8</v>
      </c>
      <c r="FZ129" s="102">
        <f t="shared" ca="1" si="2870"/>
        <v>9</v>
      </c>
      <c r="GA129" s="102">
        <f t="shared" ca="1" si="2870"/>
        <v>10</v>
      </c>
      <c r="GB129" s="102">
        <f t="shared" ca="1" si="2870"/>
        <v>11</v>
      </c>
      <c r="GC129" s="102">
        <f t="shared" ca="1" si="2870"/>
        <v>12</v>
      </c>
      <c r="GD129" s="102">
        <f t="shared" ca="1" si="2870"/>
        <v>13</v>
      </c>
      <c r="GE129" s="102">
        <f t="shared" ca="1" si="2870"/>
        <v>14</v>
      </c>
      <c r="GF129" s="102">
        <f t="shared" ca="1" si="2870"/>
        <v>15</v>
      </c>
      <c r="GG129" s="102">
        <f t="shared" ca="1" si="2870"/>
        <v>16</v>
      </c>
      <c r="GH129" s="102">
        <f t="shared" ca="1" si="2870"/>
        <v>17</v>
      </c>
      <c r="GI129" s="102">
        <f t="shared" ca="1" si="2870"/>
        <v>18</v>
      </c>
      <c r="GJ129" s="102">
        <f t="shared" ca="1" si="2870"/>
        <v>19</v>
      </c>
      <c r="GK129" s="102">
        <f t="shared" ca="1" si="2870"/>
        <v>20</v>
      </c>
      <c r="GL129" s="102">
        <f t="shared" ca="1" si="2870"/>
        <v>21</v>
      </c>
      <c r="GM129" s="102">
        <f t="shared" ca="1" si="2870"/>
        <v>22</v>
      </c>
      <c r="GN129" s="102">
        <f t="shared" ca="1" si="2870"/>
        <v>23</v>
      </c>
      <c r="GO129" s="102">
        <f t="shared" ca="1" si="2870"/>
        <v>24</v>
      </c>
      <c r="GP129" s="102">
        <f t="shared" ca="1" si="2870"/>
        <v>25</v>
      </c>
      <c r="GQ129" s="102">
        <f t="shared" ca="1" si="2870"/>
        <v>26</v>
      </c>
      <c r="GR129" s="102">
        <f t="shared" ca="1" si="2870"/>
        <v>27</v>
      </c>
      <c r="GS129" s="102">
        <f t="shared" ca="1" si="2870"/>
        <v>28</v>
      </c>
      <c r="GT129" s="102">
        <f t="shared" ca="1" si="2870"/>
        <v>29</v>
      </c>
      <c r="GU129" s="102">
        <f t="shared" ca="1" si="2870"/>
        <v>30</v>
      </c>
    </row>
    <row r="130" spans="143:203" x14ac:dyDescent="0.25">
      <c r="EM130" s="105"/>
      <c r="EN130" s="105"/>
      <c r="FP130" s="105" t="str">
        <f t="shared" ref="FP130" ca="1" si="2871">IFERROR(IF(SUM(FR130:GU130)&gt;2,OFFSET($FR$73,$FO128*5/2,MATCH(1,FR130:GU130,0)-1),""),"")</f>
        <v/>
      </c>
      <c r="FQ130" s="102" t="str">
        <f ca="1">IFERROR(IF(LEFT(FP130,1)="C",IF(RIGHT(FP130,1)="+",LEFT(FP130,LEN(FP130)-1),CONCATENATE(FP130,"+")),IF(SUM($FR130:$GU130)&gt;$FP$18,OFFSET($FR$73,$FO128*5/2,MATCH(0.5,FR130:GU130,0)),"")),"")</f>
        <v/>
      </c>
      <c r="FR130" s="102" t="str">
        <f t="shared" ref="FR130:GU130" ca="1" si="2872">IF(AND($BV$6="D",LEFT(FR128,1)="C"),IF(COUNTIF($FR129:$GU129,FR129)&gt;$FP$18-1,INDEX(Hyb_Tech_Value,MATCH(FR128,Hyb_Code,0)),""),IF(COUNTIF($FR129:$GU129,FR129)&gt;$FP$18,INDEX(Hyb_Tech_Value,MATCH(FR128,Hyb_Code,0)),""))</f>
        <v/>
      </c>
      <c r="FS130" s="102" t="str">
        <f t="shared" ca="1" si="2872"/>
        <v/>
      </c>
      <c r="FT130" s="102" t="str">
        <f t="shared" ca="1" si="2872"/>
        <v/>
      </c>
      <c r="FU130" s="102" t="str">
        <f t="shared" ca="1" si="2872"/>
        <v/>
      </c>
      <c r="FV130" s="102" t="str">
        <f t="shared" ca="1" si="2872"/>
        <v/>
      </c>
      <c r="FW130" s="102" t="str">
        <f t="shared" ca="1" si="2872"/>
        <v/>
      </c>
      <c r="FX130" s="102" t="str">
        <f t="shared" ca="1" si="2872"/>
        <v/>
      </c>
      <c r="FY130" s="102" t="str">
        <f t="shared" ca="1" si="2872"/>
        <v/>
      </c>
      <c r="FZ130" s="102" t="str">
        <f t="shared" ca="1" si="2872"/>
        <v/>
      </c>
      <c r="GA130" s="102" t="str">
        <f t="shared" ca="1" si="2872"/>
        <v/>
      </c>
      <c r="GB130" s="102" t="str">
        <f t="shared" ca="1" si="2872"/>
        <v/>
      </c>
      <c r="GC130" s="102" t="str">
        <f t="shared" ca="1" si="2872"/>
        <v/>
      </c>
      <c r="GD130" s="102" t="str">
        <f t="shared" ca="1" si="2872"/>
        <v/>
      </c>
      <c r="GE130" s="102" t="str">
        <f t="shared" ca="1" si="2872"/>
        <v/>
      </c>
      <c r="GF130" s="102" t="str">
        <f t="shared" ca="1" si="2872"/>
        <v/>
      </c>
      <c r="GG130" s="102" t="str">
        <f t="shared" ca="1" si="2872"/>
        <v/>
      </c>
      <c r="GH130" s="102" t="str">
        <f t="shared" ca="1" si="2872"/>
        <v/>
      </c>
      <c r="GI130" s="102" t="str">
        <f t="shared" ca="1" si="2872"/>
        <v/>
      </c>
      <c r="GJ130" s="102" t="str">
        <f t="shared" ca="1" si="2872"/>
        <v/>
      </c>
      <c r="GK130" s="102" t="str">
        <f t="shared" ca="1" si="2872"/>
        <v/>
      </c>
      <c r="GL130" s="102" t="str">
        <f t="shared" ca="1" si="2872"/>
        <v/>
      </c>
      <c r="GM130" s="102" t="str">
        <f t="shared" ca="1" si="2872"/>
        <v/>
      </c>
      <c r="GN130" s="102" t="str">
        <f t="shared" ca="1" si="2872"/>
        <v/>
      </c>
      <c r="GO130" s="102" t="str">
        <f t="shared" ca="1" si="2872"/>
        <v/>
      </c>
      <c r="GP130" s="102" t="str">
        <f t="shared" ca="1" si="2872"/>
        <v/>
      </c>
      <c r="GQ130" s="102" t="str">
        <f t="shared" ca="1" si="2872"/>
        <v/>
      </c>
      <c r="GR130" s="102" t="str">
        <f t="shared" ca="1" si="2872"/>
        <v/>
      </c>
      <c r="GS130" s="102" t="str">
        <f t="shared" ca="1" si="2872"/>
        <v/>
      </c>
      <c r="GT130" s="102" t="str">
        <f t="shared" ca="1" si="2872"/>
        <v/>
      </c>
      <c r="GU130" s="102" t="str">
        <f t="shared" ca="1" si="2872"/>
        <v/>
      </c>
    </row>
    <row r="131" spans="143:203" x14ac:dyDescent="0.25">
      <c r="EO131" s="102"/>
      <c r="EP131" s="102"/>
      <c r="EQ131" s="102"/>
      <c r="ER131" s="102"/>
      <c r="ES131" s="102"/>
      <c r="ET131" s="102"/>
      <c r="EU131" s="102"/>
      <c r="EV131" s="102"/>
      <c r="EW131" s="102"/>
      <c r="EX131" s="102"/>
      <c r="EY131" s="102"/>
      <c r="EZ131" s="102"/>
      <c r="FA131" s="102"/>
      <c r="FB131" s="102"/>
      <c r="FC131" s="102"/>
      <c r="FD131" s="102"/>
      <c r="FE131" s="102"/>
      <c r="FF131" s="102"/>
      <c r="FG131" s="102"/>
      <c r="FH131" s="102"/>
      <c r="FI131" s="102"/>
      <c r="FJ131" s="102"/>
      <c r="FK131" s="102"/>
      <c r="FL131" s="102"/>
      <c r="FM131" s="102"/>
      <c r="FN131" s="102"/>
      <c r="FQ131" s="102"/>
      <c r="FR131" s="102"/>
      <c r="FS131" s="102"/>
      <c r="FT131" s="102"/>
      <c r="FU131" s="102"/>
      <c r="FV131" s="102"/>
      <c r="FW131" s="102"/>
      <c r="FX131" s="102"/>
      <c r="FY131" s="102"/>
      <c r="FZ131" s="102"/>
      <c r="GA131" s="102"/>
      <c r="GB131" s="102"/>
      <c r="GC131" s="102"/>
      <c r="GD131" s="102"/>
      <c r="GE131" s="102"/>
      <c r="GF131" s="102"/>
      <c r="GG131" s="102"/>
      <c r="GH131" s="102"/>
      <c r="GI131" s="102"/>
      <c r="GJ131" s="102"/>
      <c r="GK131" s="102"/>
      <c r="GL131" s="102"/>
      <c r="GM131" s="102"/>
      <c r="GN131" s="102"/>
      <c r="GO131" s="102"/>
      <c r="GP131" s="102"/>
      <c r="GQ131" s="102"/>
      <c r="GR131" s="102"/>
      <c r="GS131" s="102"/>
      <c r="GT131" s="102"/>
      <c r="GU131" s="102"/>
    </row>
    <row r="132" spans="143:203" x14ac:dyDescent="0.25">
      <c r="EM132" s="105"/>
      <c r="EN132" s="105"/>
      <c r="FQ132" s="102"/>
      <c r="FR132" s="102"/>
      <c r="FS132" s="102"/>
      <c r="FT132" s="102"/>
      <c r="FU132" s="102"/>
      <c r="FV132" s="102"/>
      <c r="FW132" s="102"/>
      <c r="FX132" s="102"/>
      <c r="FY132" s="102"/>
      <c r="FZ132" s="102"/>
      <c r="GA132" s="102"/>
      <c r="GB132" s="102"/>
      <c r="GC132" s="102"/>
      <c r="GD132" s="102"/>
      <c r="GE132" s="102"/>
      <c r="GF132" s="102"/>
      <c r="GG132" s="102"/>
      <c r="GH132" s="102"/>
      <c r="GI132" s="102"/>
      <c r="GJ132" s="102"/>
      <c r="GK132" s="102"/>
      <c r="GL132" s="102"/>
      <c r="GM132" s="102"/>
      <c r="GN132" s="102"/>
      <c r="GO132" s="102"/>
      <c r="GP132" s="102"/>
      <c r="GQ132" s="102"/>
      <c r="GR132" s="102"/>
      <c r="GS132" s="102"/>
      <c r="GT132" s="102"/>
      <c r="GU132" s="102"/>
    </row>
    <row r="133" spans="143:203" x14ac:dyDescent="0.25">
      <c r="EO133" s="102"/>
      <c r="EP133" s="102"/>
      <c r="EQ133" s="102"/>
      <c r="ER133" s="102"/>
      <c r="ES133" s="102"/>
      <c r="ET133" s="102"/>
      <c r="EU133" s="102"/>
      <c r="EV133" s="102"/>
      <c r="EW133" s="102"/>
      <c r="EX133" s="102"/>
      <c r="EY133" s="102"/>
      <c r="EZ133" s="102"/>
      <c r="FA133" s="102"/>
      <c r="FB133" s="102"/>
      <c r="FC133" s="102"/>
      <c r="FD133" s="102"/>
      <c r="FE133" s="102"/>
      <c r="FF133" s="102"/>
      <c r="FG133" s="102"/>
      <c r="FH133" s="102"/>
      <c r="FI133" s="102"/>
      <c r="FJ133" s="102"/>
      <c r="FK133" s="102"/>
      <c r="FL133" s="102"/>
      <c r="FM133" s="102"/>
      <c r="FN133" s="102"/>
      <c r="FO133" s="105">
        <v>24</v>
      </c>
      <c r="FP133" s="102"/>
      <c r="FQ133" s="102"/>
      <c r="FR133" s="102">
        <f t="shared" ref="FR133:GU133" ca="1" si="2873">IFERROR(IF(AND(OFFSET($E$20,$FO133,0)="H",OFFSET(J$19,$FO133,0)&lt;&gt;""),UPPER(OFFSET(J$19,$FO133,0)),FR$18),FR$18)</f>
        <v>1</v>
      </c>
      <c r="FS133" s="102">
        <f t="shared" ca="1" si="2873"/>
        <v>2</v>
      </c>
      <c r="FT133" s="102">
        <f t="shared" ca="1" si="2873"/>
        <v>3</v>
      </c>
      <c r="FU133" s="102">
        <f t="shared" ca="1" si="2873"/>
        <v>4</v>
      </c>
      <c r="FV133" s="102">
        <f t="shared" ca="1" si="2873"/>
        <v>5</v>
      </c>
      <c r="FW133" s="102">
        <f t="shared" ca="1" si="2873"/>
        <v>6</v>
      </c>
      <c r="FX133" s="102">
        <f t="shared" ca="1" si="2873"/>
        <v>7</v>
      </c>
      <c r="FY133" s="102">
        <f t="shared" ca="1" si="2873"/>
        <v>8</v>
      </c>
      <c r="FZ133" s="102">
        <f t="shared" ca="1" si="2873"/>
        <v>9</v>
      </c>
      <c r="GA133" s="102">
        <f t="shared" ca="1" si="2873"/>
        <v>10</v>
      </c>
      <c r="GB133" s="102">
        <f t="shared" ca="1" si="2873"/>
        <v>11</v>
      </c>
      <c r="GC133" s="102">
        <f t="shared" ca="1" si="2873"/>
        <v>12</v>
      </c>
      <c r="GD133" s="102">
        <f t="shared" ca="1" si="2873"/>
        <v>13</v>
      </c>
      <c r="GE133" s="102">
        <f t="shared" ca="1" si="2873"/>
        <v>14</v>
      </c>
      <c r="GF133" s="102">
        <f t="shared" ca="1" si="2873"/>
        <v>15</v>
      </c>
      <c r="GG133" s="102">
        <f t="shared" ca="1" si="2873"/>
        <v>16</v>
      </c>
      <c r="GH133" s="102">
        <f t="shared" ca="1" si="2873"/>
        <v>17</v>
      </c>
      <c r="GI133" s="102">
        <f t="shared" ca="1" si="2873"/>
        <v>18</v>
      </c>
      <c r="GJ133" s="102">
        <f t="shared" ca="1" si="2873"/>
        <v>19</v>
      </c>
      <c r="GK133" s="102">
        <f t="shared" ca="1" si="2873"/>
        <v>20</v>
      </c>
      <c r="GL133" s="102">
        <f t="shared" ca="1" si="2873"/>
        <v>21</v>
      </c>
      <c r="GM133" s="102">
        <f t="shared" ca="1" si="2873"/>
        <v>22</v>
      </c>
      <c r="GN133" s="102">
        <f t="shared" ca="1" si="2873"/>
        <v>23</v>
      </c>
      <c r="GO133" s="102">
        <f t="shared" ca="1" si="2873"/>
        <v>24</v>
      </c>
      <c r="GP133" s="102">
        <f t="shared" ca="1" si="2873"/>
        <v>25</v>
      </c>
      <c r="GQ133" s="102">
        <f t="shared" ca="1" si="2873"/>
        <v>26</v>
      </c>
      <c r="GR133" s="102">
        <f t="shared" ca="1" si="2873"/>
        <v>27</v>
      </c>
      <c r="GS133" s="102">
        <f t="shared" ca="1" si="2873"/>
        <v>28</v>
      </c>
      <c r="GT133" s="102">
        <f t="shared" ca="1" si="2873"/>
        <v>29</v>
      </c>
      <c r="GU133" s="102">
        <f t="shared" ca="1" si="2873"/>
        <v>30</v>
      </c>
    </row>
    <row r="134" spans="143:203" x14ac:dyDescent="0.25">
      <c r="EM134" s="105"/>
      <c r="EN134" s="105"/>
      <c r="FR134" s="102">
        <f t="shared" ref="FR134:GU134" ca="1" si="2874">IFERROR(IF(AND(OFFSET($E$20,$FO133,0)="H",OFFSET(J$19,$FO133,0)&lt;&gt;"",OFFSET($F79,$FO133,0)&lt;&gt;"Hybrid - Thrust + 2 connections"),INDEX(Hyb_Tech,MATCH(OFFSET(J$19,$FO133,0),Hyb_Code,0)),FR$72),FR$72)</f>
        <v>1</v>
      </c>
      <c r="FS134" s="102">
        <f t="shared" ca="1" si="2874"/>
        <v>2</v>
      </c>
      <c r="FT134" s="102">
        <f t="shared" ca="1" si="2874"/>
        <v>3</v>
      </c>
      <c r="FU134" s="102">
        <f t="shared" ca="1" si="2874"/>
        <v>4</v>
      </c>
      <c r="FV134" s="102">
        <f t="shared" ca="1" si="2874"/>
        <v>5</v>
      </c>
      <c r="FW134" s="102">
        <f t="shared" ca="1" si="2874"/>
        <v>6</v>
      </c>
      <c r="FX134" s="102">
        <f t="shared" ca="1" si="2874"/>
        <v>7</v>
      </c>
      <c r="FY134" s="102">
        <f t="shared" ca="1" si="2874"/>
        <v>8</v>
      </c>
      <c r="FZ134" s="102">
        <f t="shared" ca="1" si="2874"/>
        <v>9</v>
      </c>
      <c r="GA134" s="102">
        <f t="shared" ca="1" si="2874"/>
        <v>10</v>
      </c>
      <c r="GB134" s="102">
        <f t="shared" ca="1" si="2874"/>
        <v>11</v>
      </c>
      <c r="GC134" s="102">
        <f t="shared" ca="1" si="2874"/>
        <v>12</v>
      </c>
      <c r="GD134" s="102">
        <f t="shared" ca="1" si="2874"/>
        <v>13</v>
      </c>
      <c r="GE134" s="102">
        <f t="shared" ca="1" si="2874"/>
        <v>14</v>
      </c>
      <c r="GF134" s="102">
        <f t="shared" ca="1" si="2874"/>
        <v>15</v>
      </c>
      <c r="GG134" s="102">
        <f t="shared" ca="1" si="2874"/>
        <v>16</v>
      </c>
      <c r="GH134" s="102">
        <f t="shared" ca="1" si="2874"/>
        <v>17</v>
      </c>
      <c r="GI134" s="102">
        <f t="shared" ca="1" si="2874"/>
        <v>18</v>
      </c>
      <c r="GJ134" s="102">
        <f t="shared" ca="1" si="2874"/>
        <v>19</v>
      </c>
      <c r="GK134" s="102">
        <f t="shared" ca="1" si="2874"/>
        <v>20</v>
      </c>
      <c r="GL134" s="102">
        <f t="shared" ca="1" si="2874"/>
        <v>21</v>
      </c>
      <c r="GM134" s="102">
        <f t="shared" ca="1" si="2874"/>
        <v>22</v>
      </c>
      <c r="GN134" s="102">
        <f t="shared" ca="1" si="2874"/>
        <v>23</v>
      </c>
      <c r="GO134" s="102">
        <f t="shared" ca="1" si="2874"/>
        <v>24</v>
      </c>
      <c r="GP134" s="102">
        <f t="shared" ca="1" si="2874"/>
        <v>25</v>
      </c>
      <c r="GQ134" s="102">
        <f t="shared" ca="1" si="2874"/>
        <v>26</v>
      </c>
      <c r="GR134" s="102">
        <f t="shared" ca="1" si="2874"/>
        <v>27</v>
      </c>
      <c r="GS134" s="102">
        <f t="shared" ca="1" si="2874"/>
        <v>28</v>
      </c>
      <c r="GT134" s="102">
        <f t="shared" ca="1" si="2874"/>
        <v>29</v>
      </c>
      <c r="GU134" s="102">
        <f t="shared" ca="1" si="2874"/>
        <v>30</v>
      </c>
    </row>
    <row r="135" spans="143:203" x14ac:dyDescent="0.25">
      <c r="EO135" s="102"/>
      <c r="EP135" s="102"/>
      <c r="EQ135" s="102"/>
      <c r="ER135" s="102"/>
      <c r="ES135" s="102"/>
      <c r="ET135" s="102"/>
      <c r="EU135" s="102"/>
      <c r="EV135" s="102"/>
      <c r="EW135" s="102"/>
      <c r="EX135" s="102"/>
      <c r="EY135" s="102"/>
      <c r="EZ135" s="102"/>
      <c r="FA135" s="102"/>
      <c r="FB135" s="102"/>
      <c r="FC135" s="102"/>
      <c r="FD135" s="102"/>
      <c r="FE135" s="102"/>
      <c r="FF135" s="102"/>
      <c r="FG135" s="102"/>
      <c r="FH135" s="102"/>
      <c r="FI135" s="102"/>
      <c r="FJ135" s="102"/>
      <c r="FK135" s="102"/>
      <c r="FL135" s="102"/>
      <c r="FM135" s="102"/>
      <c r="FN135" s="102"/>
      <c r="FP135" s="105" t="str">
        <f t="shared" ref="FP135" ca="1" si="2875">IFERROR(IF(SUM(FR135:GU135)&gt;2,OFFSET($FR$73,$FO133*5/2,MATCH(1,FR135:GU135,0)-1),""),"")</f>
        <v/>
      </c>
      <c r="FQ135" s="102" t="str">
        <f ca="1">IFERROR(IF(LEFT(FP135,1)="C",IF(RIGHT(FP135,1)="+",LEFT(FP135,LEN(FP135)-1),CONCATENATE(FP135,"+")),IF(SUM($FR135:$GU135)&gt;$FP$18,OFFSET($FR$73,$FO133*5/2,MATCH(0.5,FR135:GU135,0)),"")),"")</f>
        <v/>
      </c>
      <c r="FR135" s="102" t="str">
        <f t="shared" ref="FR135:GU135" ca="1" si="2876">IF(AND($BV$6="D",LEFT(FR133,1)="C"),IF(COUNTIF($FR134:$GU134,FR134)&gt;$FP$18-1,INDEX(Hyb_Tech_Value,MATCH(FR133,Hyb_Code,0)),""),IF(COUNTIF($FR134:$GU134,FR134)&gt;$FP$18,INDEX(Hyb_Tech_Value,MATCH(FR133,Hyb_Code,0)),""))</f>
        <v/>
      </c>
      <c r="FS135" s="102" t="str">
        <f t="shared" ca="1" si="2876"/>
        <v/>
      </c>
      <c r="FT135" s="102" t="str">
        <f t="shared" ca="1" si="2876"/>
        <v/>
      </c>
      <c r="FU135" s="102" t="str">
        <f t="shared" ca="1" si="2876"/>
        <v/>
      </c>
      <c r="FV135" s="102" t="str">
        <f t="shared" ca="1" si="2876"/>
        <v/>
      </c>
      <c r="FW135" s="102" t="str">
        <f t="shared" ca="1" si="2876"/>
        <v/>
      </c>
      <c r="FX135" s="102" t="str">
        <f t="shared" ca="1" si="2876"/>
        <v/>
      </c>
      <c r="FY135" s="102" t="str">
        <f t="shared" ca="1" si="2876"/>
        <v/>
      </c>
      <c r="FZ135" s="102" t="str">
        <f t="shared" ca="1" si="2876"/>
        <v/>
      </c>
      <c r="GA135" s="102" t="str">
        <f t="shared" ca="1" si="2876"/>
        <v/>
      </c>
      <c r="GB135" s="102" t="str">
        <f t="shared" ca="1" si="2876"/>
        <v/>
      </c>
      <c r="GC135" s="102" t="str">
        <f t="shared" ca="1" si="2876"/>
        <v/>
      </c>
      <c r="GD135" s="102" t="str">
        <f t="shared" ca="1" si="2876"/>
        <v/>
      </c>
      <c r="GE135" s="102" t="str">
        <f t="shared" ca="1" si="2876"/>
        <v/>
      </c>
      <c r="GF135" s="102" t="str">
        <f t="shared" ca="1" si="2876"/>
        <v/>
      </c>
      <c r="GG135" s="102" t="str">
        <f t="shared" ca="1" si="2876"/>
        <v/>
      </c>
      <c r="GH135" s="102" t="str">
        <f t="shared" ca="1" si="2876"/>
        <v/>
      </c>
      <c r="GI135" s="102" t="str">
        <f t="shared" ca="1" si="2876"/>
        <v/>
      </c>
      <c r="GJ135" s="102" t="str">
        <f t="shared" ca="1" si="2876"/>
        <v/>
      </c>
      <c r="GK135" s="102" t="str">
        <f t="shared" ca="1" si="2876"/>
        <v/>
      </c>
      <c r="GL135" s="102" t="str">
        <f t="shared" ca="1" si="2876"/>
        <v/>
      </c>
      <c r="GM135" s="102" t="str">
        <f t="shared" ca="1" si="2876"/>
        <v/>
      </c>
      <c r="GN135" s="102" t="str">
        <f t="shared" ca="1" si="2876"/>
        <v/>
      </c>
      <c r="GO135" s="102" t="str">
        <f t="shared" ca="1" si="2876"/>
        <v/>
      </c>
      <c r="GP135" s="102" t="str">
        <f t="shared" ca="1" si="2876"/>
        <v/>
      </c>
      <c r="GQ135" s="102" t="str">
        <f t="shared" ca="1" si="2876"/>
        <v/>
      </c>
      <c r="GR135" s="102" t="str">
        <f t="shared" ca="1" si="2876"/>
        <v/>
      </c>
      <c r="GS135" s="102" t="str">
        <f t="shared" ca="1" si="2876"/>
        <v/>
      </c>
      <c r="GT135" s="102" t="str">
        <f t="shared" ca="1" si="2876"/>
        <v/>
      </c>
      <c r="GU135" s="102" t="str">
        <f t="shared" ca="1" si="2876"/>
        <v/>
      </c>
    </row>
    <row r="136" spans="143:203" x14ac:dyDescent="0.25">
      <c r="EM136" s="105"/>
      <c r="EN136" s="105"/>
      <c r="FQ136" s="102"/>
      <c r="FR136" s="102"/>
      <c r="FS136" s="102"/>
      <c r="FT136" s="102"/>
      <c r="FU136" s="102"/>
      <c r="FV136" s="102"/>
      <c r="FW136" s="102"/>
      <c r="FX136" s="102"/>
      <c r="FY136" s="102"/>
      <c r="FZ136" s="102"/>
      <c r="GA136" s="102"/>
      <c r="GB136" s="102"/>
      <c r="GC136" s="102"/>
      <c r="GD136" s="102"/>
      <c r="GE136" s="102"/>
      <c r="GF136" s="102"/>
      <c r="GG136" s="102"/>
      <c r="GH136" s="102"/>
      <c r="GI136" s="102"/>
      <c r="GJ136" s="102"/>
      <c r="GK136" s="102"/>
      <c r="GL136" s="102"/>
      <c r="GM136" s="102"/>
      <c r="GN136" s="102"/>
      <c r="GO136" s="102"/>
      <c r="GP136" s="102"/>
      <c r="GQ136" s="102"/>
      <c r="GR136" s="102"/>
      <c r="GS136" s="102"/>
      <c r="GT136" s="102"/>
      <c r="GU136" s="102"/>
    </row>
    <row r="137" spans="143:203" x14ac:dyDescent="0.25">
      <c r="EO137" s="102"/>
      <c r="EP137" s="102"/>
      <c r="EQ137" s="102"/>
      <c r="ER137" s="102"/>
      <c r="ES137" s="102"/>
      <c r="ET137" s="102"/>
      <c r="EU137" s="102"/>
      <c r="EV137" s="102"/>
      <c r="EW137" s="102"/>
      <c r="EX137" s="102"/>
      <c r="EY137" s="102"/>
      <c r="EZ137" s="102"/>
      <c r="FA137" s="102"/>
      <c r="FB137" s="102"/>
      <c r="FC137" s="102"/>
      <c r="FD137" s="102"/>
      <c r="FE137" s="102"/>
      <c r="FF137" s="102"/>
      <c r="FG137" s="102"/>
      <c r="FH137" s="102"/>
      <c r="FI137" s="102"/>
      <c r="FJ137" s="102"/>
      <c r="FK137" s="102"/>
      <c r="FL137" s="102"/>
      <c r="FM137" s="102"/>
      <c r="FN137" s="102"/>
      <c r="FQ137" s="102"/>
      <c r="FR137" s="102"/>
      <c r="FS137" s="102"/>
      <c r="FT137" s="102"/>
      <c r="FU137" s="102"/>
      <c r="FV137" s="102"/>
      <c r="FW137" s="102"/>
      <c r="FX137" s="102"/>
      <c r="FY137" s="102"/>
      <c r="FZ137" s="102"/>
      <c r="GA137" s="102"/>
      <c r="GB137" s="102"/>
      <c r="GC137" s="102"/>
      <c r="GD137" s="102"/>
      <c r="GE137" s="102"/>
      <c r="GF137" s="102"/>
      <c r="GG137" s="102"/>
      <c r="GH137" s="102"/>
      <c r="GI137" s="102"/>
      <c r="GJ137" s="102"/>
      <c r="GK137" s="102"/>
      <c r="GL137" s="102"/>
      <c r="GM137" s="102"/>
      <c r="GN137" s="102"/>
      <c r="GO137" s="102"/>
      <c r="GP137" s="102"/>
      <c r="GQ137" s="102"/>
      <c r="GR137" s="102"/>
      <c r="GS137" s="102"/>
      <c r="GT137" s="102"/>
      <c r="GU137" s="102"/>
    </row>
    <row r="138" spans="143:203" x14ac:dyDescent="0.25">
      <c r="EM138" s="105"/>
      <c r="EN138" s="105"/>
      <c r="FO138" s="105">
        <v>26</v>
      </c>
      <c r="FP138" s="102"/>
      <c r="FQ138" s="102"/>
      <c r="FR138" s="102">
        <f t="shared" ref="FR138:GU138" ca="1" si="2877">IFERROR(IF(AND(OFFSET($E$20,$FO138,0)="H",OFFSET(J$19,$FO138,0)&lt;&gt;""),UPPER(OFFSET(J$19,$FO138,0)),FR$18),FR$18)</f>
        <v>1</v>
      </c>
      <c r="FS138" s="102">
        <f t="shared" ca="1" si="2877"/>
        <v>2</v>
      </c>
      <c r="FT138" s="102">
        <f t="shared" ca="1" si="2877"/>
        <v>3</v>
      </c>
      <c r="FU138" s="102">
        <f t="shared" ca="1" si="2877"/>
        <v>4</v>
      </c>
      <c r="FV138" s="102">
        <f t="shared" ca="1" si="2877"/>
        <v>5</v>
      </c>
      <c r="FW138" s="102">
        <f t="shared" ca="1" si="2877"/>
        <v>6</v>
      </c>
      <c r="FX138" s="102">
        <f t="shared" ca="1" si="2877"/>
        <v>7</v>
      </c>
      <c r="FY138" s="102">
        <f t="shared" ca="1" si="2877"/>
        <v>8</v>
      </c>
      <c r="FZ138" s="102">
        <f t="shared" ca="1" si="2877"/>
        <v>9</v>
      </c>
      <c r="GA138" s="102">
        <f t="shared" ca="1" si="2877"/>
        <v>10</v>
      </c>
      <c r="GB138" s="102">
        <f t="shared" ca="1" si="2877"/>
        <v>11</v>
      </c>
      <c r="GC138" s="102">
        <f t="shared" ca="1" si="2877"/>
        <v>12</v>
      </c>
      <c r="GD138" s="102">
        <f t="shared" ca="1" si="2877"/>
        <v>13</v>
      </c>
      <c r="GE138" s="102">
        <f t="shared" ca="1" si="2877"/>
        <v>14</v>
      </c>
      <c r="GF138" s="102">
        <f t="shared" ca="1" si="2877"/>
        <v>15</v>
      </c>
      <c r="GG138" s="102">
        <f t="shared" ca="1" si="2877"/>
        <v>16</v>
      </c>
      <c r="GH138" s="102">
        <f t="shared" ca="1" si="2877"/>
        <v>17</v>
      </c>
      <c r="GI138" s="102">
        <f t="shared" ca="1" si="2877"/>
        <v>18</v>
      </c>
      <c r="GJ138" s="102">
        <f t="shared" ca="1" si="2877"/>
        <v>19</v>
      </c>
      <c r="GK138" s="102">
        <f t="shared" ca="1" si="2877"/>
        <v>20</v>
      </c>
      <c r="GL138" s="102">
        <f t="shared" ca="1" si="2877"/>
        <v>21</v>
      </c>
      <c r="GM138" s="102">
        <f t="shared" ca="1" si="2877"/>
        <v>22</v>
      </c>
      <c r="GN138" s="102">
        <f t="shared" ca="1" si="2877"/>
        <v>23</v>
      </c>
      <c r="GO138" s="102">
        <f t="shared" ca="1" si="2877"/>
        <v>24</v>
      </c>
      <c r="GP138" s="102">
        <f t="shared" ca="1" si="2877"/>
        <v>25</v>
      </c>
      <c r="GQ138" s="102">
        <f t="shared" ca="1" si="2877"/>
        <v>26</v>
      </c>
      <c r="GR138" s="102">
        <f t="shared" ca="1" si="2877"/>
        <v>27</v>
      </c>
      <c r="GS138" s="102">
        <f t="shared" ca="1" si="2877"/>
        <v>28</v>
      </c>
      <c r="GT138" s="102">
        <f t="shared" ca="1" si="2877"/>
        <v>29</v>
      </c>
      <c r="GU138" s="102">
        <f t="shared" ca="1" si="2877"/>
        <v>30</v>
      </c>
    </row>
    <row r="139" spans="143:203" x14ac:dyDescent="0.25">
      <c r="EO139" s="102"/>
      <c r="EP139" s="102"/>
      <c r="EQ139" s="102"/>
      <c r="ER139" s="102"/>
      <c r="ES139" s="102"/>
      <c r="ET139" s="102"/>
      <c r="EU139" s="102"/>
      <c r="EV139" s="102"/>
      <c r="EW139" s="102"/>
      <c r="EX139" s="102"/>
      <c r="EY139" s="102"/>
      <c r="EZ139" s="102"/>
      <c r="FA139" s="102"/>
      <c r="FB139" s="102"/>
      <c r="FC139" s="102"/>
      <c r="FD139" s="102"/>
      <c r="FE139" s="102"/>
      <c r="FF139" s="102"/>
      <c r="FG139" s="102"/>
      <c r="FH139" s="102"/>
      <c r="FI139" s="102"/>
      <c r="FJ139" s="102"/>
      <c r="FK139" s="102"/>
      <c r="FL139" s="102"/>
      <c r="FM139" s="102"/>
      <c r="FN139" s="102"/>
      <c r="FR139" s="102">
        <f t="shared" ref="FR139:GU139" ca="1" si="2878">IFERROR(IF(AND(OFFSET($E$20,$FO138,0)="H",OFFSET(J$19,$FO138,0)&lt;&gt;"",OFFSET($F84,$FO138,0)&lt;&gt;"Hybrid - Thrust + 2 connections"),INDEX(Hyb_Tech,MATCH(OFFSET(J$19,$FO138,0),Hyb_Code,0)),FR$72),FR$72)</f>
        <v>1</v>
      </c>
      <c r="FS139" s="102">
        <f t="shared" ca="1" si="2878"/>
        <v>2</v>
      </c>
      <c r="FT139" s="102">
        <f t="shared" ca="1" si="2878"/>
        <v>3</v>
      </c>
      <c r="FU139" s="102">
        <f t="shared" ca="1" si="2878"/>
        <v>4</v>
      </c>
      <c r="FV139" s="102">
        <f t="shared" ca="1" si="2878"/>
        <v>5</v>
      </c>
      <c r="FW139" s="102">
        <f t="shared" ca="1" si="2878"/>
        <v>6</v>
      </c>
      <c r="FX139" s="102">
        <f t="shared" ca="1" si="2878"/>
        <v>7</v>
      </c>
      <c r="FY139" s="102">
        <f t="shared" ca="1" si="2878"/>
        <v>8</v>
      </c>
      <c r="FZ139" s="102">
        <f t="shared" ca="1" si="2878"/>
        <v>9</v>
      </c>
      <c r="GA139" s="102">
        <f t="shared" ca="1" si="2878"/>
        <v>10</v>
      </c>
      <c r="GB139" s="102">
        <f t="shared" ca="1" si="2878"/>
        <v>11</v>
      </c>
      <c r="GC139" s="102">
        <f t="shared" ca="1" si="2878"/>
        <v>12</v>
      </c>
      <c r="GD139" s="102">
        <f t="shared" ca="1" si="2878"/>
        <v>13</v>
      </c>
      <c r="GE139" s="102">
        <f t="shared" ca="1" si="2878"/>
        <v>14</v>
      </c>
      <c r="GF139" s="102">
        <f t="shared" ca="1" si="2878"/>
        <v>15</v>
      </c>
      <c r="GG139" s="102">
        <f t="shared" ca="1" si="2878"/>
        <v>16</v>
      </c>
      <c r="GH139" s="102">
        <f t="shared" ca="1" si="2878"/>
        <v>17</v>
      </c>
      <c r="GI139" s="102">
        <f t="shared" ca="1" si="2878"/>
        <v>18</v>
      </c>
      <c r="GJ139" s="102">
        <f t="shared" ca="1" si="2878"/>
        <v>19</v>
      </c>
      <c r="GK139" s="102">
        <f t="shared" ca="1" si="2878"/>
        <v>20</v>
      </c>
      <c r="GL139" s="102">
        <f t="shared" ca="1" si="2878"/>
        <v>21</v>
      </c>
      <c r="GM139" s="102">
        <f t="shared" ca="1" si="2878"/>
        <v>22</v>
      </c>
      <c r="GN139" s="102">
        <f t="shared" ca="1" si="2878"/>
        <v>23</v>
      </c>
      <c r="GO139" s="102">
        <f t="shared" ca="1" si="2878"/>
        <v>24</v>
      </c>
      <c r="GP139" s="102">
        <f t="shared" ca="1" si="2878"/>
        <v>25</v>
      </c>
      <c r="GQ139" s="102">
        <f t="shared" ca="1" si="2878"/>
        <v>26</v>
      </c>
      <c r="GR139" s="102">
        <f t="shared" ca="1" si="2878"/>
        <v>27</v>
      </c>
      <c r="GS139" s="102">
        <f t="shared" ca="1" si="2878"/>
        <v>28</v>
      </c>
      <c r="GT139" s="102">
        <f t="shared" ca="1" si="2878"/>
        <v>29</v>
      </c>
      <c r="GU139" s="102">
        <f t="shared" ca="1" si="2878"/>
        <v>30</v>
      </c>
    </row>
    <row r="140" spans="143:203" x14ac:dyDescent="0.25">
      <c r="EM140" s="105"/>
      <c r="EN140" s="105"/>
      <c r="FP140" s="105" t="str">
        <f t="shared" ref="FP140" ca="1" si="2879">IFERROR(IF(SUM(FR140:GU140)&gt;2,OFFSET($FR$73,$FO138*5/2,MATCH(1,FR140:GU140,0)-1),""),"")</f>
        <v/>
      </c>
      <c r="FQ140" s="102" t="str">
        <f ca="1">IFERROR(IF(LEFT(FP140,1)="C",IF(RIGHT(FP140,1)="+",LEFT(FP140,LEN(FP140)-1),CONCATENATE(FP140,"+")),IF(SUM($FR140:$GU140)&gt;$FP$18,OFFSET($FR$73,$FO138*5/2,MATCH(0.5,FR140:GU140,0)),"")),"")</f>
        <v/>
      </c>
      <c r="FR140" s="102" t="str">
        <f t="shared" ref="FR140:GU140" ca="1" si="2880">IF(AND($BV$6="D",LEFT(FR138,1)="C"),IF(COUNTIF($FR139:$GU139,FR139)&gt;$FP$18-1,INDEX(Hyb_Tech_Value,MATCH(FR138,Hyb_Code,0)),""),IF(COUNTIF($FR139:$GU139,FR139)&gt;$FP$18,INDEX(Hyb_Tech_Value,MATCH(FR138,Hyb_Code,0)),""))</f>
        <v/>
      </c>
      <c r="FS140" s="102" t="str">
        <f t="shared" ca="1" si="2880"/>
        <v/>
      </c>
      <c r="FT140" s="102" t="str">
        <f t="shared" ca="1" si="2880"/>
        <v/>
      </c>
      <c r="FU140" s="102" t="str">
        <f t="shared" ca="1" si="2880"/>
        <v/>
      </c>
      <c r="FV140" s="102" t="str">
        <f t="shared" ca="1" si="2880"/>
        <v/>
      </c>
      <c r="FW140" s="102" t="str">
        <f t="shared" ca="1" si="2880"/>
        <v/>
      </c>
      <c r="FX140" s="102" t="str">
        <f t="shared" ca="1" si="2880"/>
        <v/>
      </c>
      <c r="FY140" s="102" t="str">
        <f t="shared" ca="1" si="2880"/>
        <v/>
      </c>
      <c r="FZ140" s="102" t="str">
        <f t="shared" ca="1" si="2880"/>
        <v/>
      </c>
      <c r="GA140" s="102" t="str">
        <f t="shared" ca="1" si="2880"/>
        <v/>
      </c>
      <c r="GB140" s="102" t="str">
        <f t="shared" ca="1" si="2880"/>
        <v/>
      </c>
      <c r="GC140" s="102" t="str">
        <f t="shared" ca="1" si="2880"/>
        <v/>
      </c>
      <c r="GD140" s="102" t="str">
        <f t="shared" ca="1" si="2880"/>
        <v/>
      </c>
      <c r="GE140" s="102" t="str">
        <f t="shared" ca="1" si="2880"/>
        <v/>
      </c>
      <c r="GF140" s="102" t="str">
        <f t="shared" ca="1" si="2880"/>
        <v/>
      </c>
      <c r="GG140" s="102" t="str">
        <f t="shared" ca="1" si="2880"/>
        <v/>
      </c>
      <c r="GH140" s="102" t="str">
        <f t="shared" ca="1" si="2880"/>
        <v/>
      </c>
      <c r="GI140" s="102" t="str">
        <f t="shared" ca="1" si="2880"/>
        <v/>
      </c>
      <c r="GJ140" s="102" t="str">
        <f t="shared" ca="1" si="2880"/>
        <v/>
      </c>
      <c r="GK140" s="102" t="str">
        <f t="shared" ca="1" si="2880"/>
        <v/>
      </c>
      <c r="GL140" s="102" t="str">
        <f t="shared" ca="1" si="2880"/>
        <v/>
      </c>
      <c r="GM140" s="102" t="str">
        <f t="shared" ca="1" si="2880"/>
        <v/>
      </c>
      <c r="GN140" s="102" t="str">
        <f t="shared" ca="1" si="2880"/>
        <v/>
      </c>
      <c r="GO140" s="102" t="str">
        <f t="shared" ca="1" si="2880"/>
        <v/>
      </c>
      <c r="GP140" s="102" t="str">
        <f t="shared" ca="1" si="2880"/>
        <v/>
      </c>
      <c r="GQ140" s="102" t="str">
        <f t="shared" ca="1" si="2880"/>
        <v/>
      </c>
      <c r="GR140" s="102" t="str">
        <f t="shared" ca="1" si="2880"/>
        <v/>
      </c>
      <c r="GS140" s="102" t="str">
        <f t="shared" ca="1" si="2880"/>
        <v/>
      </c>
      <c r="GT140" s="102" t="str">
        <f t="shared" ca="1" si="2880"/>
        <v/>
      </c>
      <c r="GU140" s="102" t="str">
        <f t="shared" ca="1" si="2880"/>
        <v/>
      </c>
    </row>
    <row r="141" spans="143:203" x14ac:dyDescent="0.25">
      <c r="EO141" s="102"/>
      <c r="EP141" s="102"/>
      <c r="EQ141" s="102"/>
      <c r="ER141" s="102"/>
      <c r="ES141" s="102"/>
      <c r="ET141" s="102"/>
      <c r="EU141" s="102"/>
      <c r="EV141" s="102"/>
      <c r="EW141" s="102"/>
      <c r="EX141" s="102"/>
      <c r="EY141" s="102"/>
      <c r="EZ141" s="102"/>
      <c r="FA141" s="102"/>
      <c r="FB141" s="102"/>
      <c r="FC141" s="102"/>
      <c r="FD141" s="102"/>
      <c r="FE141" s="102"/>
      <c r="FF141" s="102"/>
      <c r="FG141" s="102"/>
      <c r="FH141" s="102"/>
      <c r="FI141" s="102"/>
      <c r="FJ141" s="102"/>
      <c r="FK141" s="102"/>
      <c r="FL141" s="102"/>
      <c r="FM141" s="102"/>
      <c r="FN141" s="102"/>
      <c r="FQ141" s="102"/>
      <c r="FR141" s="102"/>
      <c r="FS141" s="102"/>
      <c r="FT141" s="102"/>
      <c r="FU141" s="102"/>
      <c r="FV141" s="102"/>
      <c r="FW141" s="102"/>
      <c r="FX141" s="102"/>
      <c r="FY141" s="102"/>
      <c r="FZ141" s="102"/>
      <c r="GA141" s="102"/>
      <c r="GB141" s="102"/>
      <c r="GC141" s="102"/>
      <c r="GD141" s="102"/>
      <c r="GE141" s="102"/>
      <c r="GF141" s="102"/>
      <c r="GG141" s="102"/>
      <c r="GH141" s="102"/>
      <c r="GI141" s="102"/>
      <c r="GJ141" s="102"/>
      <c r="GK141" s="102"/>
      <c r="GL141" s="102"/>
      <c r="GM141" s="102"/>
      <c r="GN141" s="102"/>
      <c r="GO141" s="102"/>
      <c r="GP141" s="102"/>
      <c r="GQ141" s="102"/>
      <c r="GR141" s="102"/>
      <c r="GS141" s="102"/>
      <c r="GT141" s="102"/>
      <c r="GU141" s="102"/>
    </row>
    <row r="142" spans="143:203" x14ac:dyDescent="0.25">
      <c r="EM142" s="105"/>
      <c r="EN142" s="105"/>
      <c r="FQ142" s="102"/>
      <c r="FR142" s="102"/>
      <c r="FS142" s="102"/>
      <c r="FT142" s="102"/>
      <c r="FU142" s="102"/>
      <c r="FV142" s="102"/>
      <c r="FW142" s="102"/>
      <c r="FX142" s="102"/>
      <c r="FY142" s="102"/>
      <c r="FZ142" s="102"/>
      <c r="GA142" s="102"/>
      <c r="GB142" s="102"/>
      <c r="GC142" s="102"/>
      <c r="GD142" s="102"/>
      <c r="GE142" s="102"/>
      <c r="GF142" s="102"/>
      <c r="GG142" s="102"/>
      <c r="GH142" s="102"/>
      <c r="GI142" s="102"/>
      <c r="GJ142" s="102"/>
      <c r="GK142" s="102"/>
      <c r="GL142" s="102"/>
      <c r="GM142" s="102"/>
      <c r="GN142" s="102"/>
      <c r="GO142" s="102"/>
      <c r="GP142" s="102"/>
      <c r="GQ142" s="102"/>
      <c r="GR142" s="102"/>
      <c r="GS142" s="102"/>
      <c r="GT142" s="102"/>
      <c r="GU142" s="102"/>
    </row>
    <row r="143" spans="143:203" x14ac:dyDescent="0.25">
      <c r="EO143" s="102"/>
      <c r="EP143" s="102"/>
      <c r="EQ143" s="102"/>
      <c r="ER143" s="102"/>
      <c r="ES143" s="102"/>
      <c r="ET143" s="102"/>
      <c r="EU143" s="102"/>
      <c r="EV143" s="102"/>
      <c r="EW143" s="102"/>
      <c r="EX143" s="102"/>
      <c r="EY143" s="102"/>
      <c r="EZ143" s="102"/>
      <c r="FA143" s="102"/>
      <c r="FB143" s="102"/>
      <c r="FC143" s="102"/>
      <c r="FD143" s="102"/>
      <c r="FE143" s="102"/>
      <c r="FF143" s="102"/>
      <c r="FG143" s="102"/>
      <c r="FH143" s="102"/>
      <c r="FI143" s="102"/>
      <c r="FJ143" s="102"/>
      <c r="FK143" s="102"/>
      <c r="FL143" s="102"/>
      <c r="FM143" s="102"/>
      <c r="FN143" s="102"/>
      <c r="FO143" s="105">
        <v>28</v>
      </c>
      <c r="FP143" s="102"/>
      <c r="FQ143" s="102"/>
      <c r="FR143" s="102">
        <f t="shared" ref="FR143:GU143" ca="1" si="2881">IFERROR(IF(AND(OFFSET($E$20,$FO143,0)="H",OFFSET(J$19,$FO143,0)&lt;&gt;""),UPPER(OFFSET(J$19,$FO143,0)),FR$18),FR$18)</f>
        <v>1</v>
      </c>
      <c r="FS143" s="102">
        <f t="shared" ca="1" si="2881"/>
        <v>2</v>
      </c>
      <c r="FT143" s="102">
        <f t="shared" ca="1" si="2881"/>
        <v>3</v>
      </c>
      <c r="FU143" s="102">
        <f t="shared" ca="1" si="2881"/>
        <v>4</v>
      </c>
      <c r="FV143" s="102">
        <f t="shared" ca="1" si="2881"/>
        <v>5</v>
      </c>
      <c r="FW143" s="102">
        <f t="shared" ca="1" si="2881"/>
        <v>6</v>
      </c>
      <c r="FX143" s="102">
        <f t="shared" ca="1" si="2881"/>
        <v>7</v>
      </c>
      <c r="FY143" s="102">
        <f t="shared" ca="1" si="2881"/>
        <v>8</v>
      </c>
      <c r="FZ143" s="102">
        <f t="shared" ca="1" si="2881"/>
        <v>9</v>
      </c>
      <c r="GA143" s="102">
        <f t="shared" ca="1" si="2881"/>
        <v>10</v>
      </c>
      <c r="GB143" s="102">
        <f t="shared" ca="1" si="2881"/>
        <v>11</v>
      </c>
      <c r="GC143" s="102">
        <f t="shared" ca="1" si="2881"/>
        <v>12</v>
      </c>
      <c r="GD143" s="102">
        <f t="shared" ca="1" si="2881"/>
        <v>13</v>
      </c>
      <c r="GE143" s="102">
        <f t="shared" ca="1" si="2881"/>
        <v>14</v>
      </c>
      <c r="GF143" s="102">
        <f t="shared" ca="1" si="2881"/>
        <v>15</v>
      </c>
      <c r="GG143" s="102">
        <f t="shared" ca="1" si="2881"/>
        <v>16</v>
      </c>
      <c r="GH143" s="102">
        <f t="shared" ca="1" si="2881"/>
        <v>17</v>
      </c>
      <c r="GI143" s="102">
        <f t="shared" ca="1" si="2881"/>
        <v>18</v>
      </c>
      <c r="GJ143" s="102">
        <f t="shared" ca="1" si="2881"/>
        <v>19</v>
      </c>
      <c r="GK143" s="102">
        <f t="shared" ca="1" si="2881"/>
        <v>20</v>
      </c>
      <c r="GL143" s="102">
        <f t="shared" ca="1" si="2881"/>
        <v>21</v>
      </c>
      <c r="GM143" s="102">
        <f t="shared" ca="1" si="2881"/>
        <v>22</v>
      </c>
      <c r="GN143" s="102">
        <f t="shared" ca="1" si="2881"/>
        <v>23</v>
      </c>
      <c r="GO143" s="102">
        <f t="shared" ca="1" si="2881"/>
        <v>24</v>
      </c>
      <c r="GP143" s="102">
        <f t="shared" ca="1" si="2881"/>
        <v>25</v>
      </c>
      <c r="GQ143" s="102">
        <f t="shared" ca="1" si="2881"/>
        <v>26</v>
      </c>
      <c r="GR143" s="102">
        <f t="shared" ca="1" si="2881"/>
        <v>27</v>
      </c>
      <c r="GS143" s="102">
        <f t="shared" ca="1" si="2881"/>
        <v>28</v>
      </c>
      <c r="GT143" s="102">
        <f t="shared" ca="1" si="2881"/>
        <v>29</v>
      </c>
      <c r="GU143" s="102">
        <f t="shared" ca="1" si="2881"/>
        <v>30</v>
      </c>
    </row>
    <row r="144" spans="143:203" x14ac:dyDescent="0.25">
      <c r="EM144" s="105"/>
      <c r="EN144" s="105"/>
      <c r="FR144" s="102">
        <f t="shared" ref="FR144:GU144" ca="1" si="2882">IFERROR(IF(AND(OFFSET($E$20,$FO143,0)="H",OFFSET(J$19,$FO143,0)&lt;&gt;"",OFFSET($F89,$FO143,0)&lt;&gt;"Hybrid - Thrust + 2 connections"),INDEX(Hyb_Tech,MATCH(OFFSET(J$19,$FO143,0),Hyb_Code,0)),FR$72),FR$72)</f>
        <v>1</v>
      </c>
      <c r="FS144" s="102">
        <f t="shared" ca="1" si="2882"/>
        <v>2</v>
      </c>
      <c r="FT144" s="102">
        <f t="shared" ca="1" si="2882"/>
        <v>3</v>
      </c>
      <c r="FU144" s="102">
        <f t="shared" ca="1" si="2882"/>
        <v>4</v>
      </c>
      <c r="FV144" s="102">
        <f t="shared" ca="1" si="2882"/>
        <v>5</v>
      </c>
      <c r="FW144" s="102">
        <f t="shared" ca="1" si="2882"/>
        <v>6</v>
      </c>
      <c r="FX144" s="102">
        <f t="shared" ca="1" si="2882"/>
        <v>7</v>
      </c>
      <c r="FY144" s="102">
        <f t="shared" ca="1" si="2882"/>
        <v>8</v>
      </c>
      <c r="FZ144" s="102">
        <f t="shared" ca="1" si="2882"/>
        <v>9</v>
      </c>
      <c r="GA144" s="102">
        <f t="shared" ca="1" si="2882"/>
        <v>10</v>
      </c>
      <c r="GB144" s="102">
        <f t="shared" ca="1" si="2882"/>
        <v>11</v>
      </c>
      <c r="GC144" s="102">
        <f t="shared" ca="1" si="2882"/>
        <v>12</v>
      </c>
      <c r="GD144" s="102">
        <f t="shared" ca="1" si="2882"/>
        <v>13</v>
      </c>
      <c r="GE144" s="102">
        <f t="shared" ca="1" si="2882"/>
        <v>14</v>
      </c>
      <c r="GF144" s="102">
        <f t="shared" ca="1" si="2882"/>
        <v>15</v>
      </c>
      <c r="GG144" s="102">
        <f t="shared" ca="1" si="2882"/>
        <v>16</v>
      </c>
      <c r="GH144" s="102">
        <f t="shared" ca="1" si="2882"/>
        <v>17</v>
      </c>
      <c r="GI144" s="102">
        <f t="shared" ca="1" si="2882"/>
        <v>18</v>
      </c>
      <c r="GJ144" s="102">
        <f t="shared" ca="1" si="2882"/>
        <v>19</v>
      </c>
      <c r="GK144" s="102">
        <f t="shared" ca="1" si="2882"/>
        <v>20</v>
      </c>
      <c r="GL144" s="102">
        <f t="shared" ca="1" si="2882"/>
        <v>21</v>
      </c>
      <c r="GM144" s="102">
        <f t="shared" ca="1" si="2882"/>
        <v>22</v>
      </c>
      <c r="GN144" s="102">
        <f t="shared" ca="1" si="2882"/>
        <v>23</v>
      </c>
      <c r="GO144" s="102">
        <f t="shared" ca="1" si="2882"/>
        <v>24</v>
      </c>
      <c r="GP144" s="102">
        <f t="shared" ca="1" si="2882"/>
        <v>25</v>
      </c>
      <c r="GQ144" s="102">
        <f t="shared" ca="1" si="2882"/>
        <v>26</v>
      </c>
      <c r="GR144" s="102">
        <f t="shared" ca="1" si="2882"/>
        <v>27</v>
      </c>
      <c r="GS144" s="102">
        <f t="shared" ca="1" si="2882"/>
        <v>28</v>
      </c>
      <c r="GT144" s="102">
        <f t="shared" ca="1" si="2882"/>
        <v>29</v>
      </c>
      <c r="GU144" s="102">
        <f t="shared" ca="1" si="2882"/>
        <v>30</v>
      </c>
    </row>
    <row r="145" spans="143:203" x14ac:dyDescent="0.25">
      <c r="EO145" s="102"/>
      <c r="EP145" s="102"/>
      <c r="EQ145" s="102"/>
      <c r="ER145" s="102"/>
      <c r="ES145" s="102"/>
      <c r="ET145" s="102"/>
      <c r="EU145" s="102"/>
      <c r="EV145" s="102"/>
      <c r="EW145" s="102"/>
      <c r="EX145" s="102"/>
      <c r="EY145" s="102"/>
      <c r="EZ145" s="102"/>
      <c r="FA145" s="102"/>
      <c r="FB145" s="102"/>
      <c r="FC145" s="102"/>
      <c r="FD145" s="102"/>
      <c r="FE145" s="102"/>
      <c r="FF145" s="102"/>
      <c r="FG145" s="102"/>
      <c r="FH145" s="102"/>
      <c r="FI145" s="102"/>
      <c r="FJ145" s="102"/>
      <c r="FK145" s="102"/>
      <c r="FL145" s="102"/>
      <c r="FM145" s="102"/>
      <c r="FN145" s="102"/>
      <c r="FP145" s="105" t="str">
        <f t="shared" ref="FP145" ca="1" si="2883">IFERROR(IF(SUM(FR145:GU145)&gt;2,OFFSET($FR$73,$FO143*5/2,MATCH(1,FR145:GU145,0)-1),""),"")</f>
        <v/>
      </c>
      <c r="FQ145" s="102" t="str">
        <f ca="1">IFERROR(IF(LEFT(FP145,1)="C",IF(RIGHT(FP145,1)="+",LEFT(FP145,LEN(FP145)-1),CONCATENATE(FP145,"+")),IF(SUM($FR145:$GU145)&gt;$FP$18,OFFSET($FR$73,$FO143*5/2,MATCH(0.5,FR145:GU145,0)),"")),"")</f>
        <v/>
      </c>
      <c r="FR145" s="102" t="str">
        <f t="shared" ref="FR145:GU145" ca="1" si="2884">IF(AND($BV$6="D",LEFT(FR143,1)="C"),IF(COUNTIF($FR144:$GU144,FR144)&gt;$FP$18-1,INDEX(Hyb_Tech_Value,MATCH(FR143,Hyb_Code,0)),""),IF(COUNTIF($FR144:$GU144,FR144)&gt;$FP$18,INDEX(Hyb_Tech_Value,MATCH(FR143,Hyb_Code,0)),""))</f>
        <v/>
      </c>
      <c r="FS145" s="102" t="str">
        <f t="shared" ca="1" si="2884"/>
        <v/>
      </c>
      <c r="FT145" s="102" t="str">
        <f t="shared" ca="1" si="2884"/>
        <v/>
      </c>
      <c r="FU145" s="102" t="str">
        <f t="shared" ca="1" si="2884"/>
        <v/>
      </c>
      <c r="FV145" s="102" t="str">
        <f t="shared" ca="1" si="2884"/>
        <v/>
      </c>
      <c r="FW145" s="102" t="str">
        <f t="shared" ca="1" si="2884"/>
        <v/>
      </c>
      <c r="FX145" s="102" t="str">
        <f t="shared" ca="1" si="2884"/>
        <v/>
      </c>
      <c r="FY145" s="102" t="str">
        <f t="shared" ca="1" si="2884"/>
        <v/>
      </c>
      <c r="FZ145" s="102" t="str">
        <f t="shared" ca="1" si="2884"/>
        <v/>
      </c>
      <c r="GA145" s="102" t="str">
        <f t="shared" ca="1" si="2884"/>
        <v/>
      </c>
      <c r="GB145" s="102" t="str">
        <f t="shared" ca="1" si="2884"/>
        <v/>
      </c>
      <c r="GC145" s="102" t="str">
        <f t="shared" ca="1" si="2884"/>
        <v/>
      </c>
      <c r="GD145" s="102" t="str">
        <f t="shared" ca="1" si="2884"/>
        <v/>
      </c>
      <c r="GE145" s="102" t="str">
        <f t="shared" ca="1" si="2884"/>
        <v/>
      </c>
      <c r="GF145" s="102" t="str">
        <f t="shared" ca="1" si="2884"/>
        <v/>
      </c>
      <c r="GG145" s="102" t="str">
        <f t="shared" ca="1" si="2884"/>
        <v/>
      </c>
      <c r="GH145" s="102" t="str">
        <f t="shared" ca="1" si="2884"/>
        <v/>
      </c>
      <c r="GI145" s="102" t="str">
        <f t="shared" ca="1" si="2884"/>
        <v/>
      </c>
      <c r="GJ145" s="102" t="str">
        <f t="shared" ca="1" si="2884"/>
        <v/>
      </c>
      <c r="GK145" s="102" t="str">
        <f t="shared" ca="1" si="2884"/>
        <v/>
      </c>
      <c r="GL145" s="102" t="str">
        <f t="shared" ca="1" si="2884"/>
        <v/>
      </c>
      <c r="GM145" s="102" t="str">
        <f t="shared" ca="1" si="2884"/>
        <v/>
      </c>
      <c r="GN145" s="102" t="str">
        <f t="shared" ca="1" si="2884"/>
        <v/>
      </c>
      <c r="GO145" s="102" t="str">
        <f t="shared" ca="1" si="2884"/>
        <v/>
      </c>
      <c r="GP145" s="102" t="str">
        <f t="shared" ca="1" si="2884"/>
        <v/>
      </c>
      <c r="GQ145" s="102" t="str">
        <f t="shared" ca="1" si="2884"/>
        <v/>
      </c>
      <c r="GR145" s="102" t="str">
        <f t="shared" ca="1" si="2884"/>
        <v/>
      </c>
      <c r="GS145" s="102" t="str">
        <f t="shared" ca="1" si="2884"/>
        <v/>
      </c>
      <c r="GT145" s="102" t="str">
        <f t="shared" ca="1" si="2884"/>
        <v/>
      </c>
      <c r="GU145" s="102" t="str">
        <f t="shared" ca="1" si="2884"/>
        <v/>
      </c>
    </row>
    <row r="146" spans="143:203" x14ac:dyDescent="0.25">
      <c r="EM146" s="105"/>
      <c r="EN146" s="105"/>
      <c r="FQ146" s="102"/>
      <c r="FR146" s="102"/>
      <c r="FS146" s="102"/>
      <c r="FT146" s="102"/>
      <c r="FU146" s="102"/>
      <c r="FV146" s="102"/>
      <c r="FW146" s="102"/>
      <c r="FX146" s="102"/>
      <c r="FY146" s="102"/>
      <c r="FZ146" s="102"/>
      <c r="GA146" s="102"/>
      <c r="GB146" s="102"/>
      <c r="GC146" s="102"/>
      <c r="GD146" s="102"/>
      <c r="GE146" s="102"/>
      <c r="GF146" s="102"/>
      <c r="GG146" s="102"/>
      <c r="GH146" s="102"/>
      <c r="GI146" s="102"/>
      <c r="GJ146" s="102"/>
      <c r="GK146" s="102"/>
      <c r="GL146" s="102"/>
      <c r="GM146" s="102"/>
      <c r="GN146" s="102"/>
      <c r="GO146" s="102"/>
      <c r="GP146" s="102"/>
      <c r="GQ146" s="102"/>
      <c r="GR146" s="102"/>
      <c r="GS146" s="102"/>
      <c r="GT146" s="102"/>
      <c r="GU146" s="102"/>
    </row>
    <row r="147" spans="143:203" x14ac:dyDescent="0.25">
      <c r="EO147" s="102"/>
      <c r="EP147" s="102"/>
      <c r="EQ147" s="102"/>
      <c r="ER147" s="102"/>
      <c r="ES147" s="102"/>
      <c r="ET147" s="102"/>
      <c r="EU147" s="102"/>
      <c r="EV147" s="102"/>
      <c r="EW147" s="102"/>
      <c r="EX147" s="102"/>
      <c r="EY147" s="102"/>
      <c r="EZ147" s="102"/>
      <c r="FA147" s="102"/>
      <c r="FB147" s="102"/>
      <c r="FC147" s="102"/>
      <c r="FD147" s="102"/>
      <c r="FE147" s="102"/>
      <c r="FF147" s="102"/>
      <c r="FG147" s="102"/>
      <c r="FH147" s="102"/>
      <c r="FI147" s="102"/>
      <c r="FJ147" s="102"/>
      <c r="FK147" s="102"/>
      <c r="FL147" s="102"/>
      <c r="FM147" s="102"/>
      <c r="FN147" s="102"/>
      <c r="FQ147" s="102"/>
      <c r="FR147" s="102"/>
      <c r="FS147" s="102"/>
      <c r="FT147" s="102"/>
      <c r="FU147" s="102"/>
      <c r="FV147" s="102"/>
      <c r="FW147" s="102"/>
      <c r="FX147" s="102"/>
      <c r="FY147" s="102"/>
      <c r="FZ147" s="102"/>
      <c r="GA147" s="102"/>
      <c r="GB147" s="102"/>
      <c r="GC147" s="102"/>
      <c r="GD147" s="102"/>
      <c r="GE147" s="102"/>
      <c r="GF147" s="102"/>
      <c r="GG147" s="102"/>
      <c r="GH147" s="102"/>
      <c r="GI147" s="102"/>
      <c r="GJ147" s="102"/>
      <c r="GK147" s="102"/>
      <c r="GL147" s="102"/>
      <c r="GM147" s="102"/>
      <c r="GN147" s="102"/>
      <c r="GO147" s="102"/>
      <c r="GP147" s="102"/>
      <c r="GQ147" s="102"/>
      <c r="GR147" s="102"/>
      <c r="GS147" s="102"/>
      <c r="GT147" s="102"/>
      <c r="GU147" s="102"/>
    </row>
    <row r="148" spans="143:203" x14ac:dyDescent="0.25">
      <c r="EM148" s="105"/>
      <c r="EN148" s="105"/>
      <c r="FO148" s="105">
        <v>30</v>
      </c>
      <c r="FP148" s="102"/>
      <c r="FQ148" s="102"/>
      <c r="FR148" s="102">
        <f t="shared" ref="FR148:GU148" ca="1" si="2885">IFERROR(IF(AND(OFFSET($E$20,$FO148,0)="H",OFFSET(J$19,$FO148,0)&lt;&gt;""),UPPER(OFFSET(J$19,$FO148,0)),FR$18),FR$18)</f>
        <v>1</v>
      </c>
      <c r="FS148" s="102">
        <f t="shared" ca="1" si="2885"/>
        <v>2</v>
      </c>
      <c r="FT148" s="102">
        <f t="shared" ca="1" si="2885"/>
        <v>3</v>
      </c>
      <c r="FU148" s="102">
        <f t="shared" ca="1" si="2885"/>
        <v>4</v>
      </c>
      <c r="FV148" s="102">
        <f t="shared" ca="1" si="2885"/>
        <v>5</v>
      </c>
      <c r="FW148" s="102">
        <f t="shared" ca="1" si="2885"/>
        <v>6</v>
      </c>
      <c r="FX148" s="102">
        <f t="shared" ca="1" si="2885"/>
        <v>7</v>
      </c>
      <c r="FY148" s="102">
        <f t="shared" ca="1" si="2885"/>
        <v>8</v>
      </c>
      <c r="FZ148" s="102">
        <f t="shared" ca="1" si="2885"/>
        <v>9</v>
      </c>
      <c r="GA148" s="102">
        <f t="shared" ca="1" si="2885"/>
        <v>10</v>
      </c>
      <c r="GB148" s="102">
        <f t="shared" ca="1" si="2885"/>
        <v>11</v>
      </c>
      <c r="GC148" s="102">
        <f t="shared" ca="1" si="2885"/>
        <v>12</v>
      </c>
      <c r="GD148" s="102">
        <f t="shared" ca="1" si="2885"/>
        <v>13</v>
      </c>
      <c r="GE148" s="102">
        <f t="shared" ca="1" si="2885"/>
        <v>14</v>
      </c>
      <c r="GF148" s="102">
        <f t="shared" ca="1" si="2885"/>
        <v>15</v>
      </c>
      <c r="GG148" s="102">
        <f t="shared" ca="1" si="2885"/>
        <v>16</v>
      </c>
      <c r="GH148" s="102">
        <f t="shared" ca="1" si="2885"/>
        <v>17</v>
      </c>
      <c r="GI148" s="102">
        <f t="shared" ca="1" si="2885"/>
        <v>18</v>
      </c>
      <c r="GJ148" s="102">
        <f t="shared" ca="1" si="2885"/>
        <v>19</v>
      </c>
      <c r="GK148" s="102">
        <f t="shared" ca="1" si="2885"/>
        <v>20</v>
      </c>
      <c r="GL148" s="102">
        <f t="shared" ca="1" si="2885"/>
        <v>21</v>
      </c>
      <c r="GM148" s="102">
        <f t="shared" ca="1" si="2885"/>
        <v>22</v>
      </c>
      <c r="GN148" s="102">
        <f t="shared" ca="1" si="2885"/>
        <v>23</v>
      </c>
      <c r="GO148" s="102">
        <f t="shared" ca="1" si="2885"/>
        <v>24</v>
      </c>
      <c r="GP148" s="102">
        <f t="shared" ca="1" si="2885"/>
        <v>25</v>
      </c>
      <c r="GQ148" s="102">
        <f t="shared" ca="1" si="2885"/>
        <v>26</v>
      </c>
      <c r="GR148" s="102">
        <f t="shared" ca="1" si="2885"/>
        <v>27</v>
      </c>
      <c r="GS148" s="102">
        <f t="shared" ca="1" si="2885"/>
        <v>28</v>
      </c>
      <c r="GT148" s="102">
        <f t="shared" ca="1" si="2885"/>
        <v>29</v>
      </c>
      <c r="GU148" s="102">
        <f t="shared" ca="1" si="2885"/>
        <v>30</v>
      </c>
    </row>
    <row r="149" spans="143:203" x14ac:dyDescent="0.25">
      <c r="EO149" s="102"/>
      <c r="EP149" s="102"/>
      <c r="EQ149" s="102"/>
      <c r="ER149" s="102"/>
      <c r="ES149" s="102"/>
      <c r="ET149" s="102"/>
      <c r="EU149" s="102"/>
      <c r="EV149" s="102"/>
      <c r="EW149" s="102"/>
      <c r="EX149" s="102"/>
      <c r="EY149" s="102"/>
      <c r="EZ149" s="102"/>
      <c r="FA149" s="102"/>
      <c r="FB149" s="102"/>
      <c r="FC149" s="102"/>
      <c r="FD149" s="102"/>
      <c r="FE149" s="102"/>
      <c r="FF149" s="102"/>
      <c r="FG149" s="102"/>
      <c r="FH149" s="102"/>
      <c r="FI149" s="102"/>
      <c r="FJ149" s="102"/>
      <c r="FK149" s="102"/>
      <c r="FL149" s="102"/>
      <c r="FM149" s="102"/>
      <c r="FN149" s="102"/>
      <c r="FR149" s="102">
        <f t="shared" ref="FR149:GU149" ca="1" si="2886">IFERROR(IF(AND(OFFSET($E$20,$FO148,0)="H",OFFSET(J$19,$FO148,0)&lt;&gt;"",OFFSET($F94,$FO148,0)&lt;&gt;"Hybrid - Thrust + 2 connections"),INDEX(Hyb_Tech,MATCH(OFFSET(J$19,$FO148,0),Hyb_Code,0)),FR$72),FR$72)</f>
        <v>1</v>
      </c>
      <c r="FS149" s="102">
        <f t="shared" ca="1" si="2886"/>
        <v>2</v>
      </c>
      <c r="FT149" s="102">
        <f t="shared" ca="1" si="2886"/>
        <v>3</v>
      </c>
      <c r="FU149" s="102">
        <f t="shared" ca="1" si="2886"/>
        <v>4</v>
      </c>
      <c r="FV149" s="102">
        <f t="shared" ca="1" si="2886"/>
        <v>5</v>
      </c>
      <c r="FW149" s="102">
        <f t="shared" ca="1" si="2886"/>
        <v>6</v>
      </c>
      <c r="FX149" s="102">
        <f t="shared" ca="1" si="2886"/>
        <v>7</v>
      </c>
      <c r="FY149" s="102">
        <f t="shared" ca="1" si="2886"/>
        <v>8</v>
      </c>
      <c r="FZ149" s="102">
        <f t="shared" ca="1" si="2886"/>
        <v>9</v>
      </c>
      <c r="GA149" s="102">
        <f t="shared" ca="1" si="2886"/>
        <v>10</v>
      </c>
      <c r="GB149" s="102">
        <f t="shared" ca="1" si="2886"/>
        <v>11</v>
      </c>
      <c r="GC149" s="102">
        <f t="shared" ca="1" si="2886"/>
        <v>12</v>
      </c>
      <c r="GD149" s="102">
        <f t="shared" ca="1" si="2886"/>
        <v>13</v>
      </c>
      <c r="GE149" s="102">
        <f t="shared" ca="1" si="2886"/>
        <v>14</v>
      </c>
      <c r="GF149" s="102">
        <f t="shared" ca="1" si="2886"/>
        <v>15</v>
      </c>
      <c r="GG149" s="102">
        <f t="shared" ca="1" si="2886"/>
        <v>16</v>
      </c>
      <c r="GH149" s="102">
        <f t="shared" ca="1" si="2886"/>
        <v>17</v>
      </c>
      <c r="GI149" s="102">
        <f t="shared" ca="1" si="2886"/>
        <v>18</v>
      </c>
      <c r="GJ149" s="102">
        <f t="shared" ca="1" si="2886"/>
        <v>19</v>
      </c>
      <c r="GK149" s="102">
        <f t="shared" ca="1" si="2886"/>
        <v>20</v>
      </c>
      <c r="GL149" s="102">
        <f t="shared" ca="1" si="2886"/>
        <v>21</v>
      </c>
      <c r="GM149" s="102">
        <f t="shared" ca="1" si="2886"/>
        <v>22</v>
      </c>
      <c r="GN149" s="102">
        <f t="shared" ca="1" si="2886"/>
        <v>23</v>
      </c>
      <c r="GO149" s="102">
        <f t="shared" ca="1" si="2886"/>
        <v>24</v>
      </c>
      <c r="GP149" s="102">
        <f t="shared" ca="1" si="2886"/>
        <v>25</v>
      </c>
      <c r="GQ149" s="102">
        <f t="shared" ca="1" si="2886"/>
        <v>26</v>
      </c>
      <c r="GR149" s="102">
        <f t="shared" ca="1" si="2886"/>
        <v>27</v>
      </c>
      <c r="GS149" s="102">
        <f t="shared" ca="1" si="2886"/>
        <v>28</v>
      </c>
      <c r="GT149" s="102">
        <f t="shared" ca="1" si="2886"/>
        <v>29</v>
      </c>
      <c r="GU149" s="102">
        <f t="shared" ca="1" si="2886"/>
        <v>30</v>
      </c>
    </row>
    <row r="150" spans="143:203" x14ac:dyDescent="0.25">
      <c r="EM150" s="105"/>
      <c r="EN150" s="105"/>
      <c r="FP150" s="105" t="str">
        <f t="shared" ref="FP150" ca="1" si="2887">IFERROR(IF(SUM(FR150:GU150)&gt;2,OFFSET($FR$73,$FO148*5/2,MATCH(1,FR150:GU150,0)-1),""),"")</f>
        <v/>
      </c>
      <c r="FQ150" s="102" t="str">
        <f ca="1">IFERROR(IF(LEFT(FP150,1)="C",IF(RIGHT(FP150,1)="+",LEFT(FP150,LEN(FP150)-1),CONCATENATE(FP150,"+")),IF(SUM($FR150:$GU150)&gt;$FP$18,OFFSET($FR$73,$FO148*5/2,MATCH(0.5,FR150:GU150,0)),"")),"")</f>
        <v/>
      </c>
      <c r="FR150" s="102" t="str">
        <f t="shared" ref="FR150:GU150" ca="1" si="2888">IF(AND($BV$6="D",LEFT(FR148,1)="C"),IF(COUNTIF($FR149:$GU149,FR149)&gt;$FP$18-1,INDEX(Hyb_Tech_Value,MATCH(FR148,Hyb_Code,0)),""),IF(COUNTIF($FR149:$GU149,FR149)&gt;$FP$18,INDEX(Hyb_Tech_Value,MATCH(FR148,Hyb_Code,0)),""))</f>
        <v/>
      </c>
      <c r="FS150" s="102" t="str">
        <f t="shared" ca="1" si="2888"/>
        <v/>
      </c>
      <c r="FT150" s="102" t="str">
        <f t="shared" ca="1" si="2888"/>
        <v/>
      </c>
      <c r="FU150" s="102" t="str">
        <f t="shared" ca="1" si="2888"/>
        <v/>
      </c>
      <c r="FV150" s="102" t="str">
        <f t="shared" ca="1" si="2888"/>
        <v/>
      </c>
      <c r="FW150" s="102" t="str">
        <f t="shared" ca="1" si="2888"/>
        <v/>
      </c>
      <c r="FX150" s="102" t="str">
        <f t="shared" ca="1" si="2888"/>
        <v/>
      </c>
      <c r="FY150" s="102" t="str">
        <f t="shared" ca="1" si="2888"/>
        <v/>
      </c>
      <c r="FZ150" s="102" t="str">
        <f t="shared" ca="1" si="2888"/>
        <v/>
      </c>
      <c r="GA150" s="102" t="str">
        <f t="shared" ca="1" si="2888"/>
        <v/>
      </c>
      <c r="GB150" s="102" t="str">
        <f t="shared" ca="1" si="2888"/>
        <v/>
      </c>
      <c r="GC150" s="102" t="str">
        <f t="shared" ca="1" si="2888"/>
        <v/>
      </c>
      <c r="GD150" s="102" t="str">
        <f t="shared" ca="1" si="2888"/>
        <v/>
      </c>
      <c r="GE150" s="102" t="str">
        <f t="shared" ca="1" si="2888"/>
        <v/>
      </c>
      <c r="GF150" s="102" t="str">
        <f t="shared" ca="1" si="2888"/>
        <v/>
      </c>
      <c r="GG150" s="102" t="str">
        <f t="shared" ca="1" si="2888"/>
        <v/>
      </c>
      <c r="GH150" s="102" t="str">
        <f t="shared" ca="1" si="2888"/>
        <v/>
      </c>
      <c r="GI150" s="102" t="str">
        <f t="shared" ca="1" si="2888"/>
        <v/>
      </c>
      <c r="GJ150" s="102" t="str">
        <f t="shared" ca="1" si="2888"/>
        <v/>
      </c>
      <c r="GK150" s="102" t="str">
        <f t="shared" ca="1" si="2888"/>
        <v/>
      </c>
      <c r="GL150" s="102" t="str">
        <f t="shared" ca="1" si="2888"/>
        <v/>
      </c>
      <c r="GM150" s="102" t="str">
        <f t="shared" ca="1" si="2888"/>
        <v/>
      </c>
      <c r="GN150" s="102" t="str">
        <f t="shared" ca="1" si="2888"/>
        <v/>
      </c>
      <c r="GO150" s="102" t="str">
        <f t="shared" ca="1" si="2888"/>
        <v/>
      </c>
      <c r="GP150" s="102" t="str">
        <f t="shared" ca="1" si="2888"/>
        <v/>
      </c>
      <c r="GQ150" s="102" t="str">
        <f t="shared" ca="1" si="2888"/>
        <v/>
      </c>
      <c r="GR150" s="102" t="str">
        <f t="shared" ca="1" si="2888"/>
        <v/>
      </c>
      <c r="GS150" s="102" t="str">
        <f t="shared" ca="1" si="2888"/>
        <v/>
      </c>
      <c r="GT150" s="102" t="str">
        <f t="shared" ca="1" si="2888"/>
        <v/>
      </c>
      <c r="GU150" s="102" t="str">
        <f t="shared" ca="1" si="2888"/>
        <v/>
      </c>
    </row>
    <row r="151" spans="143:203" x14ac:dyDescent="0.25">
      <c r="EO151" s="102"/>
      <c r="EP151" s="102"/>
      <c r="EQ151" s="102"/>
      <c r="ER151" s="102"/>
      <c r="ES151" s="102"/>
      <c r="ET151" s="102"/>
      <c r="EU151" s="102"/>
      <c r="EV151" s="102"/>
      <c r="EW151" s="102"/>
      <c r="EX151" s="102"/>
      <c r="EY151" s="102"/>
      <c r="EZ151" s="102"/>
      <c r="FA151" s="102"/>
      <c r="FB151" s="102"/>
      <c r="FC151" s="102"/>
      <c r="FD151" s="102"/>
      <c r="FE151" s="102"/>
      <c r="FF151" s="102"/>
      <c r="FG151" s="102"/>
      <c r="FH151" s="102"/>
      <c r="FI151" s="102"/>
      <c r="FJ151" s="102"/>
      <c r="FK151" s="102"/>
      <c r="FL151" s="102"/>
      <c r="FM151" s="102"/>
      <c r="FN151" s="102"/>
      <c r="FQ151" s="102"/>
      <c r="FR151" s="102"/>
      <c r="FS151" s="102"/>
      <c r="FT151" s="102"/>
      <c r="FU151" s="102"/>
      <c r="FV151" s="102"/>
      <c r="FW151" s="102"/>
      <c r="FX151" s="102"/>
      <c r="FY151" s="102"/>
      <c r="FZ151" s="102"/>
      <c r="GA151" s="102"/>
      <c r="GB151" s="102"/>
      <c r="GC151" s="102"/>
      <c r="GD151" s="102"/>
      <c r="GE151" s="102"/>
      <c r="GF151" s="102"/>
      <c r="GG151" s="102"/>
      <c r="GH151" s="102"/>
      <c r="GI151" s="102"/>
      <c r="GJ151" s="102"/>
      <c r="GK151" s="102"/>
      <c r="GL151" s="102"/>
      <c r="GM151" s="102"/>
      <c r="GN151" s="102"/>
      <c r="GO151" s="102"/>
      <c r="GP151" s="102"/>
      <c r="GQ151" s="102"/>
      <c r="GR151" s="102"/>
      <c r="GS151" s="102"/>
      <c r="GT151" s="102"/>
      <c r="GU151" s="102"/>
    </row>
    <row r="152" spans="143:203" x14ac:dyDescent="0.25">
      <c r="EM152" s="105"/>
      <c r="EN152" s="105"/>
      <c r="FQ152" s="102"/>
      <c r="FR152" s="102"/>
      <c r="FS152" s="102"/>
      <c r="FT152" s="102"/>
      <c r="FU152" s="102"/>
      <c r="FV152" s="102"/>
      <c r="FW152" s="102"/>
      <c r="FX152" s="102"/>
      <c r="FY152" s="102"/>
      <c r="FZ152" s="102"/>
      <c r="GA152" s="102"/>
      <c r="GB152" s="102"/>
      <c r="GC152" s="102"/>
      <c r="GD152" s="102"/>
      <c r="GE152" s="102"/>
      <c r="GF152" s="102"/>
      <c r="GG152" s="102"/>
      <c r="GH152" s="102"/>
      <c r="GI152" s="102"/>
      <c r="GJ152" s="102"/>
      <c r="GK152" s="102"/>
      <c r="GL152" s="102"/>
      <c r="GM152" s="102"/>
      <c r="GN152" s="102"/>
      <c r="GO152" s="102"/>
      <c r="GP152" s="102"/>
      <c r="GQ152" s="102"/>
      <c r="GR152" s="102"/>
      <c r="GS152" s="102"/>
      <c r="GT152" s="102"/>
      <c r="GU152" s="102"/>
    </row>
    <row r="153" spans="143:203" x14ac:dyDescent="0.25">
      <c r="EO153" s="102"/>
      <c r="EP153" s="102"/>
      <c r="EQ153" s="102"/>
      <c r="ER153" s="102"/>
      <c r="ES153" s="102"/>
      <c r="ET153" s="102"/>
      <c r="EU153" s="102"/>
      <c r="EV153" s="102"/>
      <c r="EW153" s="102"/>
      <c r="EX153" s="102"/>
      <c r="EY153" s="102"/>
      <c r="EZ153" s="102"/>
      <c r="FA153" s="102"/>
      <c r="FB153" s="102"/>
      <c r="FC153" s="102"/>
      <c r="FD153" s="102"/>
      <c r="FE153" s="102"/>
      <c r="FF153" s="102"/>
      <c r="FG153" s="102"/>
      <c r="FH153" s="102"/>
      <c r="FI153" s="102"/>
      <c r="FJ153" s="102"/>
      <c r="FK153" s="102"/>
      <c r="FL153" s="102"/>
      <c r="FM153" s="102"/>
      <c r="FN153" s="102"/>
      <c r="FO153" s="105">
        <v>32</v>
      </c>
      <c r="FP153" s="102"/>
      <c r="FQ153" s="102"/>
      <c r="FR153" s="102">
        <f t="shared" ref="FR153:GU153" ca="1" si="2889">IFERROR(IF(AND(OFFSET($E$20,$FO153,0)="H",OFFSET(J$19,$FO153,0)&lt;&gt;""),UPPER(OFFSET(J$19,$FO153,0)),FR$18),FR$18)</f>
        <v>1</v>
      </c>
      <c r="FS153" s="102">
        <f t="shared" ca="1" si="2889"/>
        <v>2</v>
      </c>
      <c r="FT153" s="102">
        <f t="shared" ca="1" si="2889"/>
        <v>3</v>
      </c>
      <c r="FU153" s="102">
        <f t="shared" ca="1" si="2889"/>
        <v>4</v>
      </c>
      <c r="FV153" s="102">
        <f t="shared" ca="1" si="2889"/>
        <v>5</v>
      </c>
      <c r="FW153" s="102">
        <f t="shared" ca="1" si="2889"/>
        <v>6</v>
      </c>
      <c r="FX153" s="102">
        <f t="shared" ca="1" si="2889"/>
        <v>7</v>
      </c>
      <c r="FY153" s="102">
        <f t="shared" ca="1" si="2889"/>
        <v>8</v>
      </c>
      <c r="FZ153" s="102">
        <f t="shared" ca="1" si="2889"/>
        <v>9</v>
      </c>
      <c r="GA153" s="102">
        <f t="shared" ca="1" si="2889"/>
        <v>10</v>
      </c>
      <c r="GB153" s="102">
        <f t="shared" ca="1" si="2889"/>
        <v>11</v>
      </c>
      <c r="GC153" s="102">
        <f t="shared" ca="1" si="2889"/>
        <v>12</v>
      </c>
      <c r="GD153" s="102">
        <f t="shared" ca="1" si="2889"/>
        <v>13</v>
      </c>
      <c r="GE153" s="102">
        <f t="shared" ca="1" si="2889"/>
        <v>14</v>
      </c>
      <c r="GF153" s="102">
        <f t="shared" ca="1" si="2889"/>
        <v>15</v>
      </c>
      <c r="GG153" s="102">
        <f t="shared" ca="1" si="2889"/>
        <v>16</v>
      </c>
      <c r="GH153" s="102">
        <f t="shared" ca="1" si="2889"/>
        <v>17</v>
      </c>
      <c r="GI153" s="102">
        <f t="shared" ca="1" si="2889"/>
        <v>18</v>
      </c>
      <c r="GJ153" s="102">
        <f t="shared" ca="1" si="2889"/>
        <v>19</v>
      </c>
      <c r="GK153" s="102">
        <f t="shared" ca="1" si="2889"/>
        <v>20</v>
      </c>
      <c r="GL153" s="102">
        <f t="shared" ca="1" si="2889"/>
        <v>21</v>
      </c>
      <c r="GM153" s="102">
        <f t="shared" ca="1" si="2889"/>
        <v>22</v>
      </c>
      <c r="GN153" s="102">
        <f t="shared" ca="1" si="2889"/>
        <v>23</v>
      </c>
      <c r="GO153" s="102">
        <f t="shared" ca="1" si="2889"/>
        <v>24</v>
      </c>
      <c r="GP153" s="102">
        <f t="shared" ca="1" si="2889"/>
        <v>25</v>
      </c>
      <c r="GQ153" s="102">
        <f t="shared" ca="1" si="2889"/>
        <v>26</v>
      </c>
      <c r="GR153" s="102">
        <f t="shared" ca="1" si="2889"/>
        <v>27</v>
      </c>
      <c r="GS153" s="102">
        <f t="shared" ca="1" si="2889"/>
        <v>28</v>
      </c>
      <c r="GT153" s="102">
        <f t="shared" ca="1" si="2889"/>
        <v>29</v>
      </c>
      <c r="GU153" s="102">
        <f t="shared" ca="1" si="2889"/>
        <v>30</v>
      </c>
    </row>
    <row r="154" spans="143:203" x14ac:dyDescent="0.25">
      <c r="EM154" s="105"/>
      <c r="EN154" s="105"/>
      <c r="FR154" s="102">
        <f t="shared" ref="FR154:GU154" ca="1" si="2890">IFERROR(IF(AND(OFFSET($E$20,$FO153,0)="H",OFFSET(J$19,$FO153,0)&lt;&gt;"",OFFSET($F99,$FO153,0)&lt;&gt;"Hybrid - Thrust + 2 connections"),INDEX(Hyb_Tech,MATCH(OFFSET(J$19,$FO153,0),Hyb_Code,0)),FR$72),FR$72)</f>
        <v>1</v>
      </c>
      <c r="FS154" s="102">
        <f t="shared" ca="1" si="2890"/>
        <v>2</v>
      </c>
      <c r="FT154" s="102">
        <f t="shared" ca="1" si="2890"/>
        <v>3</v>
      </c>
      <c r="FU154" s="102">
        <f t="shared" ca="1" si="2890"/>
        <v>4</v>
      </c>
      <c r="FV154" s="102">
        <f t="shared" ca="1" si="2890"/>
        <v>5</v>
      </c>
      <c r="FW154" s="102">
        <f t="shared" ca="1" si="2890"/>
        <v>6</v>
      </c>
      <c r="FX154" s="102">
        <f t="shared" ca="1" si="2890"/>
        <v>7</v>
      </c>
      <c r="FY154" s="102">
        <f t="shared" ca="1" si="2890"/>
        <v>8</v>
      </c>
      <c r="FZ154" s="102">
        <f t="shared" ca="1" si="2890"/>
        <v>9</v>
      </c>
      <c r="GA154" s="102">
        <f t="shared" ca="1" si="2890"/>
        <v>10</v>
      </c>
      <c r="GB154" s="102">
        <f t="shared" ca="1" si="2890"/>
        <v>11</v>
      </c>
      <c r="GC154" s="102">
        <f t="shared" ca="1" si="2890"/>
        <v>12</v>
      </c>
      <c r="GD154" s="102">
        <f t="shared" ca="1" si="2890"/>
        <v>13</v>
      </c>
      <c r="GE154" s="102">
        <f t="shared" ca="1" si="2890"/>
        <v>14</v>
      </c>
      <c r="GF154" s="102">
        <f t="shared" ca="1" si="2890"/>
        <v>15</v>
      </c>
      <c r="GG154" s="102">
        <f t="shared" ca="1" si="2890"/>
        <v>16</v>
      </c>
      <c r="GH154" s="102">
        <f t="shared" ca="1" si="2890"/>
        <v>17</v>
      </c>
      <c r="GI154" s="102">
        <f t="shared" ca="1" si="2890"/>
        <v>18</v>
      </c>
      <c r="GJ154" s="102">
        <f t="shared" ca="1" si="2890"/>
        <v>19</v>
      </c>
      <c r="GK154" s="102">
        <f t="shared" ca="1" si="2890"/>
        <v>20</v>
      </c>
      <c r="GL154" s="102">
        <f t="shared" ca="1" si="2890"/>
        <v>21</v>
      </c>
      <c r="GM154" s="102">
        <f t="shared" ca="1" si="2890"/>
        <v>22</v>
      </c>
      <c r="GN154" s="102">
        <f t="shared" ca="1" si="2890"/>
        <v>23</v>
      </c>
      <c r="GO154" s="102">
        <f t="shared" ca="1" si="2890"/>
        <v>24</v>
      </c>
      <c r="GP154" s="102">
        <f t="shared" ca="1" si="2890"/>
        <v>25</v>
      </c>
      <c r="GQ154" s="102">
        <f t="shared" ca="1" si="2890"/>
        <v>26</v>
      </c>
      <c r="GR154" s="102">
        <f t="shared" ca="1" si="2890"/>
        <v>27</v>
      </c>
      <c r="GS154" s="102">
        <f t="shared" ca="1" si="2890"/>
        <v>28</v>
      </c>
      <c r="GT154" s="102">
        <f t="shared" ca="1" si="2890"/>
        <v>29</v>
      </c>
      <c r="GU154" s="102">
        <f t="shared" ca="1" si="2890"/>
        <v>30</v>
      </c>
    </row>
    <row r="155" spans="143:203" x14ac:dyDescent="0.25">
      <c r="EO155" s="102"/>
      <c r="EP155" s="102"/>
      <c r="EQ155" s="102"/>
      <c r="ER155" s="102"/>
      <c r="ES155" s="102"/>
      <c r="ET155" s="102"/>
      <c r="EU155" s="102"/>
      <c r="EV155" s="102"/>
      <c r="EW155" s="102"/>
      <c r="EX155" s="102"/>
      <c r="EY155" s="102"/>
      <c r="EZ155" s="102"/>
      <c r="FA155" s="102"/>
      <c r="FB155" s="102"/>
      <c r="FC155" s="102"/>
      <c r="FD155" s="102"/>
      <c r="FE155" s="102"/>
      <c r="FF155" s="102"/>
      <c r="FG155" s="102"/>
      <c r="FH155" s="102"/>
      <c r="FI155" s="102"/>
      <c r="FJ155" s="102"/>
      <c r="FK155" s="102"/>
      <c r="FL155" s="102"/>
      <c r="FM155" s="102"/>
      <c r="FN155" s="102"/>
      <c r="FP155" s="105" t="str">
        <f t="shared" ref="FP155" ca="1" si="2891">IFERROR(IF(SUM(FR155:GU155)&gt;2,OFFSET($FR$73,$FO153*5/2,MATCH(1,FR155:GU155,0)-1),""),"")</f>
        <v/>
      </c>
      <c r="FQ155" s="102" t="str">
        <f ca="1">IFERROR(IF(LEFT(FP155,1)="C",IF(RIGHT(FP155,1)="+",LEFT(FP155,LEN(FP155)-1),CONCATENATE(FP155,"+")),IF(SUM($FR155:$GU155)&gt;$FP$18,OFFSET($FR$73,$FO153*5/2,MATCH(0.5,FR155:GU155,0)),"")),"")</f>
        <v/>
      </c>
      <c r="FR155" s="102" t="str">
        <f t="shared" ref="FR155:GU155" ca="1" si="2892">IF(AND($BV$6="D",LEFT(FR153,1)="C"),IF(COUNTIF($FR154:$GU154,FR154)&gt;$FP$18-1,INDEX(Hyb_Tech_Value,MATCH(FR153,Hyb_Code,0)),""),IF(COUNTIF($FR154:$GU154,FR154)&gt;$FP$18,INDEX(Hyb_Tech_Value,MATCH(FR153,Hyb_Code,0)),""))</f>
        <v/>
      </c>
      <c r="FS155" s="102" t="str">
        <f t="shared" ca="1" si="2892"/>
        <v/>
      </c>
      <c r="FT155" s="102" t="str">
        <f t="shared" ca="1" si="2892"/>
        <v/>
      </c>
      <c r="FU155" s="102" t="str">
        <f t="shared" ca="1" si="2892"/>
        <v/>
      </c>
      <c r="FV155" s="102" t="str">
        <f t="shared" ca="1" si="2892"/>
        <v/>
      </c>
      <c r="FW155" s="102" t="str">
        <f t="shared" ca="1" si="2892"/>
        <v/>
      </c>
      <c r="FX155" s="102" t="str">
        <f t="shared" ca="1" si="2892"/>
        <v/>
      </c>
      <c r="FY155" s="102" t="str">
        <f t="shared" ca="1" si="2892"/>
        <v/>
      </c>
      <c r="FZ155" s="102" t="str">
        <f t="shared" ca="1" si="2892"/>
        <v/>
      </c>
      <c r="GA155" s="102" t="str">
        <f t="shared" ca="1" si="2892"/>
        <v/>
      </c>
      <c r="GB155" s="102" t="str">
        <f t="shared" ca="1" si="2892"/>
        <v/>
      </c>
      <c r="GC155" s="102" t="str">
        <f t="shared" ca="1" si="2892"/>
        <v/>
      </c>
      <c r="GD155" s="102" t="str">
        <f t="shared" ca="1" si="2892"/>
        <v/>
      </c>
      <c r="GE155" s="102" t="str">
        <f t="shared" ca="1" si="2892"/>
        <v/>
      </c>
      <c r="GF155" s="102" t="str">
        <f t="shared" ca="1" si="2892"/>
        <v/>
      </c>
      <c r="GG155" s="102" t="str">
        <f t="shared" ca="1" si="2892"/>
        <v/>
      </c>
      <c r="GH155" s="102" t="str">
        <f t="shared" ca="1" si="2892"/>
        <v/>
      </c>
      <c r="GI155" s="102" t="str">
        <f t="shared" ca="1" si="2892"/>
        <v/>
      </c>
      <c r="GJ155" s="102" t="str">
        <f t="shared" ca="1" si="2892"/>
        <v/>
      </c>
      <c r="GK155" s="102" t="str">
        <f t="shared" ca="1" si="2892"/>
        <v/>
      </c>
      <c r="GL155" s="102" t="str">
        <f t="shared" ca="1" si="2892"/>
        <v/>
      </c>
      <c r="GM155" s="102" t="str">
        <f t="shared" ca="1" si="2892"/>
        <v/>
      </c>
      <c r="GN155" s="102" t="str">
        <f t="shared" ca="1" si="2892"/>
        <v/>
      </c>
      <c r="GO155" s="102" t="str">
        <f t="shared" ca="1" si="2892"/>
        <v/>
      </c>
      <c r="GP155" s="102" t="str">
        <f t="shared" ca="1" si="2892"/>
        <v/>
      </c>
      <c r="GQ155" s="102" t="str">
        <f t="shared" ca="1" si="2892"/>
        <v/>
      </c>
      <c r="GR155" s="102" t="str">
        <f t="shared" ca="1" si="2892"/>
        <v/>
      </c>
      <c r="GS155" s="102" t="str">
        <f t="shared" ca="1" si="2892"/>
        <v/>
      </c>
      <c r="GT155" s="102" t="str">
        <f t="shared" ca="1" si="2892"/>
        <v/>
      </c>
      <c r="GU155" s="102" t="str">
        <f t="shared" ca="1" si="2892"/>
        <v/>
      </c>
    </row>
    <row r="156" spans="143:203" x14ac:dyDescent="0.25">
      <c r="EM156" s="105"/>
      <c r="EN156" s="105"/>
      <c r="FQ156" s="102"/>
      <c r="FR156" s="102"/>
      <c r="FS156" s="102"/>
      <c r="FT156" s="102"/>
      <c r="FU156" s="102"/>
      <c r="FV156" s="102"/>
      <c r="FW156" s="102"/>
      <c r="FX156" s="102"/>
      <c r="FY156" s="102"/>
      <c r="FZ156" s="102"/>
      <c r="GA156" s="102"/>
      <c r="GB156" s="102"/>
      <c r="GC156" s="102"/>
      <c r="GD156" s="102"/>
      <c r="GE156" s="102"/>
      <c r="GF156" s="102"/>
      <c r="GG156" s="102"/>
      <c r="GH156" s="102"/>
      <c r="GI156" s="102"/>
      <c r="GJ156" s="102"/>
      <c r="GK156" s="102"/>
      <c r="GL156" s="102"/>
      <c r="GM156" s="102"/>
      <c r="GN156" s="102"/>
      <c r="GO156" s="102"/>
      <c r="GP156" s="102"/>
      <c r="GQ156" s="102"/>
      <c r="GR156" s="102"/>
      <c r="GS156" s="102"/>
      <c r="GT156" s="102"/>
      <c r="GU156" s="102"/>
    </row>
    <row r="157" spans="143:203" x14ac:dyDescent="0.25">
      <c r="EO157" s="102"/>
      <c r="EP157" s="102"/>
      <c r="EQ157" s="102"/>
      <c r="ER157" s="102"/>
      <c r="ES157" s="102"/>
      <c r="ET157" s="102"/>
      <c r="EU157" s="102"/>
      <c r="EV157" s="102"/>
      <c r="EW157" s="102"/>
      <c r="EX157" s="102"/>
      <c r="EY157" s="102"/>
      <c r="EZ157" s="102"/>
      <c r="FA157" s="102"/>
      <c r="FB157" s="102"/>
      <c r="FC157" s="102"/>
      <c r="FD157" s="102"/>
      <c r="FE157" s="102"/>
      <c r="FF157" s="102"/>
      <c r="FG157" s="102"/>
      <c r="FH157" s="102"/>
      <c r="FI157" s="102"/>
      <c r="FJ157" s="102"/>
      <c r="FK157" s="102"/>
      <c r="FL157" s="102"/>
      <c r="FM157" s="102"/>
      <c r="FN157" s="102"/>
      <c r="FQ157" s="102"/>
      <c r="FR157" s="102"/>
      <c r="FS157" s="102"/>
      <c r="FT157" s="102"/>
      <c r="FU157" s="102"/>
      <c r="FV157" s="102"/>
      <c r="FW157" s="102"/>
      <c r="FX157" s="102"/>
      <c r="FY157" s="102"/>
      <c r="FZ157" s="102"/>
      <c r="GA157" s="102"/>
      <c r="GB157" s="102"/>
      <c r="GC157" s="102"/>
      <c r="GD157" s="102"/>
      <c r="GE157" s="102"/>
      <c r="GF157" s="102"/>
      <c r="GG157" s="102"/>
      <c r="GH157" s="102"/>
      <c r="GI157" s="102"/>
      <c r="GJ157" s="102"/>
      <c r="GK157" s="102"/>
      <c r="GL157" s="102"/>
      <c r="GM157" s="102"/>
      <c r="GN157" s="102"/>
      <c r="GO157" s="102"/>
      <c r="GP157" s="102"/>
      <c r="GQ157" s="102"/>
      <c r="GR157" s="102"/>
      <c r="GS157" s="102"/>
      <c r="GT157" s="102"/>
      <c r="GU157" s="102"/>
    </row>
    <row r="158" spans="143:203" x14ac:dyDescent="0.25">
      <c r="EM158" s="105"/>
      <c r="EN158" s="105"/>
      <c r="FO158" s="105">
        <v>34</v>
      </c>
      <c r="FP158" s="102"/>
      <c r="FQ158" s="102"/>
      <c r="FR158" s="102">
        <f t="shared" ref="FR158:GU158" ca="1" si="2893">IFERROR(IF(AND(OFFSET($E$20,$FO158,0)="H",OFFSET(J$19,$FO158,0)&lt;&gt;""),UPPER(OFFSET(J$19,$FO158,0)),FR$18),FR$18)</f>
        <v>1</v>
      </c>
      <c r="FS158" s="102">
        <f t="shared" ca="1" si="2893"/>
        <v>2</v>
      </c>
      <c r="FT158" s="102">
        <f t="shared" ca="1" si="2893"/>
        <v>3</v>
      </c>
      <c r="FU158" s="102">
        <f t="shared" ca="1" si="2893"/>
        <v>4</v>
      </c>
      <c r="FV158" s="102">
        <f t="shared" ca="1" si="2893"/>
        <v>5</v>
      </c>
      <c r="FW158" s="102">
        <f t="shared" ca="1" si="2893"/>
        <v>6</v>
      </c>
      <c r="FX158" s="102">
        <f t="shared" ca="1" si="2893"/>
        <v>7</v>
      </c>
      <c r="FY158" s="102">
        <f t="shared" ca="1" si="2893"/>
        <v>8</v>
      </c>
      <c r="FZ158" s="102">
        <f t="shared" ca="1" si="2893"/>
        <v>9</v>
      </c>
      <c r="GA158" s="102">
        <f t="shared" ca="1" si="2893"/>
        <v>10</v>
      </c>
      <c r="GB158" s="102">
        <f t="shared" ca="1" si="2893"/>
        <v>11</v>
      </c>
      <c r="GC158" s="102">
        <f t="shared" ca="1" si="2893"/>
        <v>12</v>
      </c>
      <c r="GD158" s="102">
        <f t="shared" ca="1" si="2893"/>
        <v>13</v>
      </c>
      <c r="GE158" s="102">
        <f t="shared" ca="1" si="2893"/>
        <v>14</v>
      </c>
      <c r="GF158" s="102">
        <f t="shared" ca="1" si="2893"/>
        <v>15</v>
      </c>
      <c r="GG158" s="102">
        <f t="shared" ca="1" si="2893"/>
        <v>16</v>
      </c>
      <c r="GH158" s="102">
        <f t="shared" ca="1" si="2893"/>
        <v>17</v>
      </c>
      <c r="GI158" s="102">
        <f t="shared" ca="1" si="2893"/>
        <v>18</v>
      </c>
      <c r="GJ158" s="102">
        <f t="shared" ca="1" si="2893"/>
        <v>19</v>
      </c>
      <c r="GK158" s="102">
        <f t="shared" ca="1" si="2893"/>
        <v>20</v>
      </c>
      <c r="GL158" s="102">
        <f t="shared" ca="1" si="2893"/>
        <v>21</v>
      </c>
      <c r="GM158" s="102">
        <f t="shared" ca="1" si="2893"/>
        <v>22</v>
      </c>
      <c r="GN158" s="102">
        <f t="shared" ca="1" si="2893"/>
        <v>23</v>
      </c>
      <c r="GO158" s="102">
        <f t="shared" ca="1" si="2893"/>
        <v>24</v>
      </c>
      <c r="GP158" s="102">
        <f t="shared" ca="1" si="2893"/>
        <v>25</v>
      </c>
      <c r="GQ158" s="102">
        <f t="shared" ca="1" si="2893"/>
        <v>26</v>
      </c>
      <c r="GR158" s="102">
        <f t="shared" ca="1" si="2893"/>
        <v>27</v>
      </c>
      <c r="GS158" s="102">
        <f t="shared" ca="1" si="2893"/>
        <v>28</v>
      </c>
      <c r="GT158" s="102">
        <f t="shared" ca="1" si="2893"/>
        <v>29</v>
      </c>
      <c r="GU158" s="102">
        <f t="shared" ca="1" si="2893"/>
        <v>30</v>
      </c>
    </row>
    <row r="159" spans="143:203" x14ac:dyDescent="0.25">
      <c r="EO159" s="102"/>
      <c r="EP159" s="102"/>
      <c r="EQ159" s="102"/>
      <c r="ER159" s="102"/>
      <c r="ES159" s="102"/>
      <c r="ET159" s="102"/>
      <c r="EU159" s="102"/>
      <c r="EV159" s="102"/>
      <c r="EW159" s="102"/>
      <c r="EX159" s="102"/>
      <c r="EY159" s="102"/>
      <c r="EZ159" s="102"/>
      <c r="FA159" s="102"/>
      <c r="FB159" s="102"/>
      <c r="FC159" s="102"/>
      <c r="FD159" s="102"/>
      <c r="FE159" s="102"/>
      <c r="FF159" s="102"/>
      <c r="FG159" s="102"/>
      <c r="FH159" s="102"/>
      <c r="FI159" s="102"/>
      <c r="FJ159" s="102"/>
      <c r="FK159" s="102"/>
      <c r="FL159" s="102"/>
      <c r="FM159" s="102"/>
      <c r="FN159" s="102"/>
      <c r="FR159" s="102">
        <f t="shared" ref="FR159:GU159" ca="1" si="2894">IFERROR(IF(AND(OFFSET($E$20,$FO158,0)="H",OFFSET(J$19,$FO158,0)&lt;&gt;"",OFFSET($F104,$FO158,0)&lt;&gt;"Hybrid - Thrust + 2 connections"),INDEX(Hyb_Tech,MATCH(OFFSET(J$19,$FO158,0),Hyb_Code,0)),FR$72),FR$72)</f>
        <v>1</v>
      </c>
      <c r="FS159" s="102">
        <f t="shared" ca="1" si="2894"/>
        <v>2</v>
      </c>
      <c r="FT159" s="102">
        <f t="shared" ca="1" si="2894"/>
        <v>3</v>
      </c>
      <c r="FU159" s="102">
        <f t="shared" ca="1" si="2894"/>
        <v>4</v>
      </c>
      <c r="FV159" s="102">
        <f t="shared" ca="1" si="2894"/>
        <v>5</v>
      </c>
      <c r="FW159" s="102">
        <f t="shared" ca="1" si="2894"/>
        <v>6</v>
      </c>
      <c r="FX159" s="102">
        <f t="shared" ca="1" si="2894"/>
        <v>7</v>
      </c>
      <c r="FY159" s="102">
        <f t="shared" ca="1" si="2894"/>
        <v>8</v>
      </c>
      <c r="FZ159" s="102">
        <f t="shared" ca="1" si="2894"/>
        <v>9</v>
      </c>
      <c r="GA159" s="102">
        <f t="shared" ca="1" si="2894"/>
        <v>10</v>
      </c>
      <c r="GB159" s="102">
        <f t="shared" ca="1" si="2894"/>
        <v>11</v>
      </c>
      <c r="GC159" s="102">
        <f t="shared" ca="1" si="2894"/>
        <v>12</v>
      </c>
      <c r="GD159" s="102">
        <f t="shared" ca="1" si="2894"/>
        <v>13</v>
      </c>
      <c r="GE159" s="102">
        <f t="shared" ca="1" si="2894"/>
        <v>14</v>
      </c>
      <c r="GF159" s="102">
        <f t="shared" ca="1" si="2894"/>
        <v>15</v>
      </c>
      <c r="GG159" s="102">
        <f t="shared" ca="1" si="2894"/>
        <v>16</v>
      </c>
      <c r="GH159" s="102">
        <f t="shared" ca="1" si="2894"/>
        <v>17</v>
      </c>
      <c r="GI159" s="102">
        <f t="shared" ca="1" si="2894"/>
        <v>18</v>
      </c>
      <c r="GJ159" s="102">
        <f t="shared" ca="1" si="2894"/>
        <v>19</v>
      </c>
      <c r="GK159" s="102">
        <f t="shared" ca="1" si="2894"/>
        <v>20</v>
      </c>
      <c r="GL159" s="102">
        <f t="shared" ca="1" si="2894"/>
        <v>21</v>
      </c>
      <c r="GM159" s="102">
        <f t="shared" ca="1" si="2894"/>
        <v>22</v>
      </c>
      <c r="GN159" s="102">
        <f t="shared" ca="1" si="2894"/>
        <v>23</v>
      </c>
      <c r="GO159" s="102">
        <f t="shared" ca="1" si="2894"/>
        <v>24</v>
      </c>
      <c r="GP159" s="102">
        <f t="shared" ca="1" si="2894"/>
        <v>25</v>
      </c>
      <c r="GQ159" s="102">
        <f t="shared" ca="1" si="2894"/>
        <v>26</v>
      </c>
      <c r="GR159" s="102">
        <f t="shared" ca="1" si="2894"/>
        <v>27</v>
      </c>
      <c r="GS159" s="102">
        <f t="shared" ca="1" si="2894"/>
        <v>28</v>
      </c>
      <c r="GT159" s="102">
        <f t="shared" ca="1" si="2894"/>
        <v>29</v>
      </c>
      <c r="GU159" s="102">
        <f t="shared" ca="1" si="2894"/>
        <v>30</v>
      </c>
    </row>
    <row r="160" spans="143:203" x14ac:dyDescent="0.25">
      <c r="EM160" s="105"/>
      <c r="EN160" s="105"/>
      <c r="FP160" s="105" t="str">
        <f t="shared" ref="FP160" ca="1" si="2895">IFERROR(IF(SUM(FR160:GU160)&gt;2,OFFSET($FR$73,$FO158*5/2,MATCH(1,FR160:GU160,0)-1),""),"")</f>
        <v/>
      </c>
      <c r="FQ160" s="102" t="str">
        <f ca="1">IFERROR(IF(LEFT(FP160,1)="C",IF(RIGHT(FP160,1)="+",LEFT(FP160,LEN(FP160)-1),CONCATENATE(FP160,"+")),IF(SUM($FR160:$GU160)&gt;$FP$18,OFFSET($FR$73,$FO158*5/2,MATCH(0.5,FR160:GU160,0)),"")),"")</f>
        <v/>
      </c>
      <c r="FR160" s="102" t="str">
        <f t="shared" ref="FR160:GU160" ca="1" si="2896">IF(AND($BV$6="D",LEFT(FR158,1)="C"),IF(COUNTIF($FR159:$GU159,FR159)&gt;$FP$18-1,INDEX(Hyb_Tech_Value,MATCH(FR158,Hyb_Code,0)),""),IF(COUNTIF($FR159:$GU159,FR159)&gt;$FP$18,INDEX(Hyb_Tech_Value,MATCH(FR158,Hyb_Code,0)),""))</f>
        <v/>
      </c>
      <c r="FS160" s="102" t="str">
        <f t="shared" ca="1" si="2896"/>
        <v/>
      </c>
      <c r="FT160" s="102" t="str">
        <f t="shared" ca="1" si="2896"/>
        <v/>
      </c>
      <c r="FU160" s="102" t="str">
        <f t="shared" ca="1" si="2896"/>
        <v/>
      </c>
      <c r="FV160" s="102" t="str">
        <f t="shared" ca="1" si="2896"/>
        <v/>
      </c>
      <c r="FW160" s="102" t="str">
        <f t="shared" ca="1" si="2896"/>
        <v/>
      </c>
      <c r="FX160" s="102" t="str">
        <f t="shared" ca="1" si="2896"/>
        <v/>
      </c>
      <c r="FY160" s="102" t="str">
        <f t="shared" ca="1" si="2896"/>
        <v/>
      </c>
      <c r="FZ160" s="102" t="str">
        <f t="shared" ca="1" si="2896"/>
        <v/>
      </c>
      <c r="GA160" s="102" t="str">
        <f t="shared" ca="1" si="2896"/>
        <v/>
      </c>
      <c r="GB160" s="102" t="str">
        <f t="shared" ca="1" si="2896"/>
        <v/>
      </c>
      <c r="GC160" s="102" t="str">
        <f t="shared" ca="1" si="2896"/>
        <v/>
      </c>
      <c r="GD160" s="102" t="str">
        <f t="shared" ca="1" si="2896"/>
        <v/>
      </c>
      <c r="GE160" s="102" t="str">
        <f t="shared" ca="1" si="2896"/>
        <v/>
      </c>
      <c r="GF160" s="102" t="str">
        <f t="shared" ca="1" si="2896"/>
        <v/>
      </c>
      <c r="GG160" s="102" t="str">
        <f t="shared" ca="1" si="2896"/>
        <v/>
      </c>
      <c r="GH160" s="102" t="str">
        <f t="shared" ca="1" si="2896"/>
        <v/>
      </c>
      <c r="GI160" s="102" t="str">
        <f t="shared" ca="1" si="2896"/>
        <v/>
      </c>
      <c r="GJ160" s="102" t="str">
        <f t="shared" ca="1" si="2896"/>
        <v/>
      </c>
      <c r="GK160" s="102" t="str">
        <f t="shared" ca="1" si="2896"/>
        <v/>
      </c>
      <c r="GL160" s="102" t="str">
        <f t="shared" ca="1" si="2896"/>
        <v/>
      </c>
      <c r="GM160" s="102" t="str">
        <f t="shared" ca="1" si="2896"/>
        <v/>
      </c>
      <c r="GN160" s="102" t="str">
        <f t="shared" ca="1" si="2896"/>
        <v/>
      </c>
      <c r="GO160" s="102" t="str">
        <f t="shared" ca="1" si="2896"/>
        <v/>
      </c>
      <c r="GP160" s="102" t="str">
        <f t="shared" ca="1" si="2896"/>
        <v/>
      </c>
      <c r="GQ160" s="102" t="str">
        <f t="shared" ca="1" si="2896"/>
        <v/>
      </c>
      <c r="GR160" s="102" t="str">
        <f t="shared" ca="1" si="2896"/>
        <v/>
      </c>
      <c r="GS160" s="102" t="str">
        <f t="shared" ca="1" si="2896"/>
        <v/>
      </c>
      <c r="GT160" s="102" t="str">
        <f t="shared" ca="1" si="2896"/>
        <v/>
      </c>
      <c r="GU160" s="102" t="str">
        <f t="shared" ca="1" si="2896"/>
        <v/>
      </c>
    </row>
    <row r="161" spans="143:203" x14ac:dyDescent="0.25">
      <c r="EO161" s="102"/>
      <c r="EP161" s="102"/>
      <c r="EQ161" s="102"/>
      <c r="ER161" s="102"/>
      <c r="ES161" s="102"/>
      <c r="ET161" s="102"/>
      <c r="EU161" s="102"/>
      <c r="EV161" s="102"/>
      <c r="EW161" s="102"/>
      <c r="EX161" s="102"/>
      <c r="EY161" s="102"/>
      <c r="EZ161" s="102"/>
      <c r="FA161" s="102"/>
      <c r="FB161" s="102"/>
      <c r="FC161" s="102"/>
      <c r="FD161" s="102"/>
      <c r="FE161" s="102"/>
      <c r="FF161" s="102"/>
      <c r="FG161" s="102"/>
      <c r="FH161" s="102"/>
      <c r="FI161" s="102"/>
      <c r="FJ161" s="102"/>
      <c r="FK161" s="102"/>
      <c r="FL161" s="102"/>
      <c r="FM161" s="102"/>
      <c r="FN161" s="102"/>
      <c r="FQ161" s="102"/>
      <c r="FR161" s="102"/>
      <c r="FS161" s="102"/>
      <c r="FT161" s="102"/>
      <c r="FU161" s="102"/>
      <c r="FV161" s="102"/>
      <c r="FW161" s="102"/>
      <c r="FX161" s="102"/>
      <c r="FY161" s="102"/>
      <c r="FZ161" s="102"/>
      <c r="GA161" s="102"/>
      <c r="GB161" s="102"/>
      <c r="GC161" s="102"/>
      <c r="GD161" s="102"/>
      <c r="GE161" s="102"/>
      <c r="GF161" s="102"/>
      <c r="GG161" s="102"/>
      <c r="GH161" s="102"/>
      <c r="GI161" s="102"/>
      <c r="GJ161" s="102"/>
      <c r="GK161" s="102"/>
      <c r="GL161" s="102"/>
      <c r="GM161" s="102"/>
      <c r="GN161" s="102"/>
      <c r="GO161" s="102"/>
      <c r="GP161" s="102"/>
      <c r="GQ161" s="102"/>
      <c r="GR161" s="102"/>
      <c r="GS161" s="102"/>
      <c r="GT161" s="102"/>
      <c r="GU161" s="102"/>
    </row>
    <row r="162" spans="143:203" x14ac:dyDescent="0.25">
      <c r="EM162" s="105"/>
      <c r="EN162" s="105"/>
      <c r="FQ162" s="102"/>
      <c r="FR162" s="102"/>
      <c r="FS162" s="102"/>
      <c r="FT162" s="102"/>
      <c r="FU162" s="102"/>
      <c r="FV162" s="102"/>
      <c r="FW162" s="102"/>
      <c r="FX162" s="102"/>
      <c r="FY162" s="102"/>
      <c r="FZ162" s="102"/>
      <c r="GA162" s="102"/>
      <c r="GB162" s="102"/>
      <c r="GC162" s="102"/>
      <c r="GD162" s="102"/>
      <c r="GE162" s="102"/>
      <c r="GF162" s="102"/>
      <c r="GG162" s="102"/>
      <c r="GH162" s="102"/>
      <c r="GI162" s="102"/>
      <c r="GJ162" s="102"/>
      <c r="GK162" s="102"/>
      <c r="GL162" s="102"/>
      <c r="GM162" s="102"/>
      <c r="GN162" s="102"/>
      <c r="GO162" s="102"/>
      <c r="GP162" s="102"/>
      <c r="GQ162" s="102"/>
      <c r="GR162" s="102"/>
      <c r="GS162" s="102"/>
      <c r="GT162" s="102"/>
      <c r="GU162" s="102"/>
    </row>
    <row r="163" spans="143:203" x14ac:dyDescent="0.25">
      <c r="EO163" s="102"/>
      <c r="EP163" s="102"/>
      <c r="EQ163" s="102"/>
      <c r="ER163" s="102"/>
      <c r="ES163" s="102"/>
      <c r="ET163" s="102"/>
      <c r="EU163" s="102"/>
      <c r="EV163" s="102"/>
      <c r="EW163" s="102"/>
      <c r="EX163" s="102"/>
      <c r="EY163" s="102"/>
      <c r="EZ163" s="102"/>
      <c r="FA163" s="102"/>
      <c r="FB163" s="102"/>
      <c r="FC163" s="102"/>
      <c r="FD163" s="102"/>
      <c r="FE163" s="102"/>
      <c r="FF163" s="102"/>
      <c r="FG163" s="102"/>
      <c r="FH163" s="102"/>
      <c r="FI163" s="102"/>
      <c r="FJ163" s="102"/>
      <c r="FK163" s="102"/>
      <c r="FL163" s="102"/>
      <c r="FM163" s="102"/>
      <c r="FN163" s="102"/>
      <c r="FO163" s="105">
        <v>36</v>
      </c>
      <c r="FP163" s="102"/>
      <c r="FQ163" s="102"/>
      <c r="FR163" s="102">
        <f t="shared" ref="FR163:GU163" ca="1" si="2897">IFERROR(IF(AND(OFFSET($E$20,$FO163,0)="H",OFFSET(J$19,$FO163,0)&lt;&gt;""),UPPER(OFFSET(J$19,$FO163,0)),FR$18),FR$18)</f>
        <v>1</v>
      </c>
      <c r="FS163" s="102">
        <f t="shared" ca="1" si="2897"/>
        <v>2</v>
      </c>
      <c r="FT163" s="102">
        <f t="shared" ca="1" si="2897"/>
        <v>3</v>
      </c>
      <c r="FU163" s="102">
        <f t="shared" ca="1" si="2897"/>
        <v>4</v>
      </c>
      <c r="FV163" s="102">
        <f t="shared" ca="1" si="2897"/>
        <v>5</v>
      </c>
      <c r="FW163" s="102">
        <f t="shared" ca="1" si="2897"/>
        <v>6</v>
      </c>
      <c r="FX163" s="102">
        <f t="shared" ca="1" si="2897"/>
        <v>7</v>
      </c>
      <c r="FY163" s="102">
        <f t="shared" ca="1" si="2897"/>
        <v>8</v>
      </c>
      <c r="FZ163" s="102">
        <f t="shared" ca="1" si="2897"/>
        <v>9</v>
      </c>
      <c r="GA163" s="102">
        <f t="shared" ca="1" si="2897"/>
        <v>10</v>
      </c>
      <c r="GB163" s="102">
        <f t="shared" ca="1" si="2897"/>
        <v>11</v>
      </c>
      <c r="GC163" s="102">
        <f t="shared" ca="1" si="2897"/>
        <v>12</v>
      </c>
      <c r="GD163" s="102">
        <f t="shared" ca="1" si="2897"/>
        <v>13</v>
      </c>
      <c r="GE163" s="102">
        <f t="shared" ca="1" si="2897"/>
        <v>14</v>
      </c>
      <c r="GF163" s="102">
        <f t="shared" ca="1" si="2897"/>
        <v>15</v>
      </c>
      <c r="GG163" s="102">
        <f t="shared" ca="1" si="2897"/>
        <v>16</v>
      </c>
      <c r="GH163" s="102">
        <f t="shared" ca="1" si="2897"/>
        <v>17</v>
      </c>
      <c r="GI163" s="102">
        <f t="shared" ca="1" si="2897"/>
        <v>18</v>
      </c>
      <c r="GJ163" s="102">
        <f t="shared" ca="1" si="2897"/>
        <v>19</v>
      </c>
      <c r="GK163" s="102">
        <f t="shared" ca="1" si="2897"/>
        <v>20</v>
      </c>
      <c r="GL163" s="102">
        <f t="shared" ca="1" si="2897"/>
        <v>21</v>
      </c>
      <c r="GM163" s="102">
        <f t="shared" ca="1" si="2897"/>
        <v>22</v>
      </c>
      <c r="GN163" s="102">
        <f t="shared" ca="1" si="2897"/>
        <v>23</v>
      </c>
      <c r="GO163" s="102">
        <f t="shared" ca="1" si="2897"/>
        <v>24</v>
      </c>
      <c r="GP163" s="102">
        <f t="shared" ca="1" si="2897"/>
        <v>25</v>
      </c>
      <c r="GQ163" s="102">
        <f t="shared" ca="1" si="2897"/>
        <v>26</v>
      </c>
      <c r="GR163" s="102">
        <f t="shared" ca="1" si="2897"/>
        <v>27</v>
      </c>
      <c r="GS163" s="102">
        <f t="shared" ca="1" si="2897"/>
        <v>28</v>
      </c>
      <c r="GT163" s="102">
        <f t="shared" ca="1" si="2897"/>
        <v>29</v>
      </c>
      <c r="GU163" s="102">
        <f t="shared" ca="1" si="2897"/>
        <v>30</v>
      </c>
    </row>
    <row r="164" spans="143:203" x14ac:dyDescent="0.25">
      <c r="EM164" s="105"/>
      <c r="EN164" s="105"/>
      <c r="FR164" s="102">
        <f t="shared" ref="FR164:GU164" ca="1" si="2898">IFERROR(IF(AND(OFFSET($E$20,$FO163,0)="H",OFFSET(J$19,$FO163,0)&lt;&gt;"",OFFSET($F109,$FO163,0)&lt;&gt;"Hybrid - Thrust + 2 connections"),INDEX(Hyb_Tech,MATCH(OFFSET(J$19,$FO163,0),Hyb_Code,0)),FR$72),FR$72)</f>
        <v>1</v>
      </c>
      <c r="FS164" s="102">
        <f t="shared" ca="1" si="2898"/>
        <v>2</v>
      </c>
      <c r="FT164" s="102">
        <f t="shared" ca="1" si="2898"/>
        <v>3</v>
      </c>
      <c r="FU164" s="102">
        <f t="shared" ca="1" si="2898"/>
        <v>4</v>
      </c>
      <c r="FV164" s="102">
        <f t="shared" ca="1" si="2898"/>
        <v>5</v>
      </c>
      <c r="FW164" s="102">
        <f t="shared" ca="1" si="2898"/>
        <v>6</v>
      </c>
      <c r="FX164" s="102">
        <f t="shared" ca="1" si="2898"/>
        <v>7</v>
      </c>
      <c r="FY164" s="102">
        <f t="shared" ca="1" si="2898"/>
        <v>8</v>
      </c>
      <c r="FZ164" s="102">
        <f t="shared" ca="1" si="2898"/>
        <v>9</v>
      </c>
      <c r="GA164" s="102">
        <f t="shared" ca="1" si="2898"/>
        <v>10</v>
      </c>
      <c r="GB164" s="102">
        <f t="shared" ca="1" si="2898"/>
        <v>11</v>
      </c>
      <c r="GC164" s="102">
        <f t="shared" ca="1" si="2898"/>
        <v>12</v>
      </c>
      <c r="GD164" s="102">
        <f t="shared" ca="1" si="2898"/>
        <v>13</v>
      </c>
      <c r="GE164" s="102">
        <f t="shared" ca="1" si="2898"/>
        <v>14</v>
      </c>
      <c r="GF164" s="102">
        <f t="shared" ca="1" si="2898"/>
        <v>15</v>
      </c>
      <c r="GG164" s="102">
        <f t="shared" ca="1" si="2898"/>
        <v>16</v>
      </c>
      <c r="GH164" s="102">
        <f t="shared" ca="1" si="2898"/>
        <v>17</v>
      </c>
      <c r="GI164" s="102">
        <f t="shared" ca="1" si="2898"/>
        <v>18</v>
      </c>
      <c r="GJ164" s="102">
        <f t="shared" ca="1" si="2898"/>
        <v>19</v>
      </c>
      <c r="GK164" s="102">
        <f t="shared" ca="1" si="2898"/>
        <v>20</v>
      </c>
      <c r="GL164" s="102">
        <f t="shared" ca="1" si="2898"/>
        <v>21</v>
      </c>
      <c r="GM164" s="102">
        <f t="shared" ca="1" si="2898"/>
        <v>22</v>
      </c>
      <c r="GN164" s="102">
        <f t="shared" ca="1" si="2898"/>
        <v>23</v>
      </c>
      <c r="GO164" s="102">
        <f t="shared" ca="1" si="2898"/>
        <v>24</v>
      </c>
      <c r="GP164" s="102">
        <f t="shared" ca="1" si="2898"/>
        <v>25</v>
      </c>
      <c r="GQ164" s="102">
        <f t="shared" ca="1" si="2898"/>
        <v>26</v>
      </c>
      <c r="GR164" s="102">
        <f t="shared" ca="1" si="2898"/>
        <v>27</v>
      </c>
      <c r="GS164" s="102">
        <f t="shared" ca="1" si="2898"/>
        <v>28</v>
      </c>
      <c r="GT164" s="102">
        <f t="shared" ca="1" si="2898"/>
        <v>29</v>
      </c>
      <c r="GU164" s="102">
        <f t="shared" ca="1" si="2898"/>
        <v>30</v>
      </c>
    </row>
    <row r="165" spans="143:203" x14ac:dyDescent="0.25">
      <c r="EO165" s="102"/>
      <c r="EP165" s="102"/>
      <c r="EQ165" s="102"/>
      <c r="ER165" s="102"/>
      <c r="ES165" s="102"/>
      <c r="ET165" s="102"/>
      <c r="EU165" s="102"/>
      <c r="EV165" s="102"/>
      <c r="EW165" s="102"/>
      <c r="EX165" s="102"/>
      <c r="EY165" s="102"/>
      <c r="EZ165" s="102"/>
      <c r="FA165" s="102"/>
      <c r="FB165" s="102"/>
      <c r="FC165" s="102"/>
      <c r="FD165" s="102"/>
      <c r="FE165" s="102"/>
      <c r="FF165" s="102"/>
      <c r="FG165" s="102"/>
      <c r="FH165" s="102"/>
      <c r="FI165" s="102"/>
      <c r="FJ165" s="102"/>
      <c r="FK165" s="102"/>
      <c r="FL165" s="102"/>
      <c r="FM165" s="102"/>
      <c r="FN165" s="102"/>
      <c r="FP165" s="105" t="str">
        <f t="shared" ref="FP165" ca="1" si="2899">IFERROR(IF(SUM(FR165:GU165)&gt;2,OFFSET($FR$73,$FO163*5/2,MATCH(1,FR165:GU165,0)-1),""),"")</f>
        <v/>
      </c>
      <c r="FQ165" s="102" t="str">
        <f ca="1">IFERROR(IF(LEFT(FP165,1)="C",IF(RIGHT(FP165,1)="+",LEFT(FP165,LEN(FP165)-1),CONCATENATE(FP165,"+")),IF(SUM($FR165:$GU165)&gt;$FP$18,OFFSET($FR$73,$FO163*5/2,MATCH(0.5,FR165:GU165,0)),"")),"")</f>
        <v/>
      </c>
      <c r="FR165" s="102" t="str">
        <f t="shared" ref="FR165:GU165" ca="1" si="2900">IF(AND($BV$6="D",LEFT(FR163,1)="C"),IF(COUNTIF($FR164:$GU164,FR164)&gt;$FP$18-1,INDEX(Hyb_Tech_Value,MATCH(FR163,Hyb_Code,0)),""),IF(COUNTIF($FR164:$GU164,FR164)&gt;$FP$18,INDEX(Hyb_Tech_Value,MATCH(FR163,Hyb_Code,0)),""))</f>
        <v/>
      </c>
      <c r="FS165" s="102" t="str">
        <f t="shared" ca="1" si="2900"/>
        <v/>
      </c>
      <c r="FT165" s="102" t="str">
        <f t="shared" ca="1" si="2900"/>
        <v/>
      </c>
      <c r="FU165" s="102" t="str">
        <f t="shared" ca="1" si="2900"/>
        <v/>
      </c>
      <c r="FV165" s="102" t="str">
        <f t="shared" ca="1" si="2900"/>
        <v/>
      </c>
      <c r="FW165" s="102" t="str">
        <f t="shared" ca="1" si="2900"/>
        <v/>
      </c>
      <c r="FX165" s="102" t="str">
        <f t="shared" ca="1" si="2900"/>
        <v/>
      </c>
      <c r="FY165" s="102" t="str">
        <f t="shared" ca="1" si="2900"/>
        <v/>
      </c>
      <c r="FZ165" s="102" t="str">
        <f t="shared" ca="1" si="2900"/>
        <v/>
      </c>
      <c r="GA165" s="102" t="str">
        <f t="shared" ca="1" si="2900"/>
        <v/>
      </c>
      <c r="GB165" s="102" t="str">
        <f t="shared" ca="1" si="2900"/>
        <v/>
      </c>
      <c r="GC165" s="102" t="str">
        <f t="shared" ca="1" si="2900"/>
        <v/>
      </c>
      <c r="GD165" s="102" t="str">
        <f t="shared" ca="1" si="2900"/>
        <v/>
      </c>
      <c r="GE165" s="102" t="str">
        <f t="shared" ca="1" si="2900"/>
        <v/>
      </c>
      <c r="GF165" s="102" t="str">
        <f t="shared" ca="1" si="2900"/>
        <v/>
      </c>
      <c r="GG165" s="102" t="str">
        <f t="shared" ca="1" si="2900"/>
        <v/>
      </c>
      <c r="GH165" s="102" t="str">
        <f t="shared" ca="1" si="2900"/>
        <v/>
      </c>
      <c r="GI165" s="102" t="str">
        <f t="shared" ca="1" si="2900"/>
        <v/>
      </c>
      <c r="GJ165" s="102" t="str">
        <f t="shared" ca="1" si="2900"/>
        <v/>
      </c>
      <c r="GK165" s="102" t="str">
        <f t="shared" ca="1" si="2900"/>
        <v/>
      </c>
      <c r="GL165" s="102" t="str">
        <f t="shared" ca="1" si="2900"/>
        <v/>
      </c>
      <c r="GM165" s="102" t="str">
        <f t="shared" ca="1" si="2900"/>
        <v/>
      </c>
      <c r="GN165" s="102" t="str">
        <f t="shared" ca="1" si="2900"/>
        <v/>
      </c>
      <c r="GO165" s="102" t="str">
        <f t="shared" ca="1" si="2900"/>
        <v/>
      </c>
      <c r="GP165" s="102" t="str">
        <f t="shared" ca="1" si="2900"/>
        <v/>
      </c>
      <c r="GQ165" s="102" t="str">
        <f t="shared" ca="1" si="2900"/>
        <v/>
      </c>
      <c r="GR165" s="102" t="str">
        <f t="shared" ca="1" si="2900"/>
        <v/>
      </c>
      <c r="GS165" s="102" t="str">
        <f t="shared" ca="1" si="2900"/>
        <v/>
      </c>
      <c r="GT165" s="102" t="str">
        <f t="shared" ca="1" si="2900"/>
        <v/>
      </c>
      <c r="GU165" s="102" t="str">
        <f t="shared" ca="1" si="2900"/>
        <v/>
      </c>
    </row>
    <row r="166" spans="143:203" x14ac:dyDescent="0.25">
      <c r="EM166" s="105"/>
      <c r="EN166" s="105"/>
      <c r="FQ166" s="102"/>
      <c r="FR166" s="102"/>
      <c r="FS166" s="102"/>
      <c r="FT166" s="102"/>
      <c r="FU166" s="102"/>
      <c r="FV166" s="102"/>
      <c r="FW166" s="102"/>
      <c r="FX166" s="102"/>
      <c r="FY166" s="102"/>
      <c r="FZ166" s="102"/>
      <c r="GA166" s="102"/>
      <c r="GB166" s="102"/>
      <c r="GC166" s="102"/>
      <c r="GD166" s="102"/>
      <c r="GE166" s="102"/>
      <c r="GF166" s="102"/>
      <c r="GG166" s="102"/>
      <c r="GH166" s="102"/>
      <c r="GI166" s="102"/>
      <c r="GJ166" s="102"/>
      <c r="GK166" s="102"/>
      <c r="GL166" s="102"/>
      <c r="GM166" s="102"/>
      <c r="GN166" s="102"/>
      <c r="GO166" s="102"/>
      <c r="GP166" s="102"/>
      <c r="GQ166" s="102"/>
      <c r="GR166" s="102"/>
      <c r="GS166" s="102"/>
      <c r="GT166" s="102"/>
      <c r="GU166" s="102"/>
    </row>
    <row r="167" spans="143:203" x14ac:dyDescent="0.25">
      <c r="EO167" s="102"/>
      <c r="EP167" s="102"/>
      <c r="EQ167" s="102"/>
      <c r="ER167" s="102"/>
      <c r="ES167" s="102"/>
      <c r="ET167" s="102"/>
      <c r="EU167" s="102"/>
      <c r="EV167" s="102"/>
      <c r="EW167" s="102"/>
      <c r="EX167" s="102"/>
      <c r="EY167" s="102"/>
      <c r="EZ167" s="102"/>
      <c r="FA167" s="102"/>
      <c r="FB167" s="102"/>
      <c r="FC167" s="102"/>
      <c r="FD167" s="102"/>
      <c r="FE167" s="102"/>
      <c r="FF167" s="102"/>
      <c r="FG167" s="102"/>
      <c r="FH167" s="102"/>
      <c r="FI167" s="102"/>
      <c r="FJ167" s="102"/>
      <c r="FK167" s="102"/>
      <c r="FL167" s="102"/>
      <c r="FM167" s="102"/>
      <c r="FN167" s="102"/>
      <c r="FQ167" s="102"/>
      <c r="FR167" s="102"/>
      <c r="FS167" s="102"/>
      <c r="FT167" s="102"/>
      <c r="FU167" s="102"/>
      <c r="FV167" s="102"/>
      <c r="FW167" s="102"/>
      <c r="FX167" s="102"/>
      <c r="FY167" s="102"/>
      <c r="FZ167" s="102"/>
      <c r="GA167" s="102"/>
      <c r="GB167" s="102"/>
      <c r="GC167" s="102"/>
      <c r="GD167" s="102"/>
      <c r="GE167" s="102"/>
      <c r="GF167" s="102"/>
      <c r="GG167" s="102"/>
      <c r="GH167" s="102"/>
      <c r="GI167" s="102"/>
      <c r="GJ167" s="102"/>
      <c r="GK167" s="102"/>
      <c r="GL167" s="102"/>
      <c r="GM167" s="102"/>
      <c r="GN167" s="102"/>
      <c r="GO167" s="102"/>
      <c r="GP167" s="102"/>
      <c r="GQ167" s="102"/>
      <c r="GR167" s="102"/>
      <c r="GS167" s="102"/>
      <c r="GT167" s="102"/>
      <c r="GU167" s="102"/>
    </row>
    <row r="168" spans="143:203" x14ac:dyDescent="0.25">
      <c r="EM168" s="105"/>
      <c r="EN168" s="105"/>
      <c r="FO168" s="105">
        <v>38</v>
      </c>
      <c r="FP168" s="102"/>
      <c r="FQ168" s="102"/>
      <c r="FR168" s="102">
        <f t="shared" ref="FR168:GU168" ca="1" si="2901">IFERROR(IF(AND(OFFSET($E$20,$FO168,0)="H",OFFSET(J$19,$FO168,0)&lt;&gt;""),UPPER(OFFSET(J$19,$FO168,0)),FR$18),FR$18)</f>
        <v>1</v>
      </c>
      <c r="FS168" s="102">
        <f t="shared" ca="1" si="2901"/>
        <v>2</v>
      </c>
      <c r="FT168" s="102">
        <f t="shared" ca="1" si="2901"/>
        <v>3</v>
      </c>
      <c r="FU168" s="102">
        <f t="shared" ca="1" si="2901"/>
        <v>4</v>
      </c>
      <c r="FV168" s="102">
        <f t="shared" ca="1" si="2901"/>
        <v>5</v>
      </c>
      <c r="FW168" s="102">
        <f t="shared" ca="1" si="2901"/>
        <v>6</v>
      </c>
      <c r="FX168" s="102">
        <f t="shared" ca="1" si="2901"/>
        <v>7</v>
      </c>
      <c r="FY168" s="102">
        <f t="shared" ca="1" si="2901"/>
        <v>8</v>
      </c>
      <c r="FZ168" s="102">
        <f t="shared" ca="1" si="2901"/>
        <v>9</v>
      </c>
      <c r="GA168" s="102">
        <f t="shared" ca="1" si="2901"/>
        <v>10</v>
      </c>
      <c r="GB168" s="102">
        <f t="shared" ca="1" si="2901"/>
        <v>11</v>
      </c>
      <c r="GC168" s="102">
        <f t="shared" ca="1" si="2901"/>
        <v>12</v>
      </c>
      <c r="GD168" s="102">
        <f t="shared" ca="1" si="2901"/>
        <v>13</v>
      </c>
      <c r="GE168" s="102">
        <f t="shared" ca="1" si="2901"/>
        <v>14</v>
      </c>
      <c r="GF168" s="102">
        <f t="shared" ca="1" si="2901"/>
        <v>15</v>
      </c>
      <c r="GG168" s="102">
        <f t="shared" ca="1" si="2901"/>
        <v>16</v>
      </c>
      <c r="GH168" s="102">
        <f t="shared" ca="1" si="2901"/>
        <v>17</v>
      </c>
      <c r="GI168" s="102">
        <f t="shared" ca="1" si="2901"/>
        <v>18</v>
      </c>
      <c r="GJ168" s="102">
        <f t="shared" ca="1" si="2901"/>
        <v>19</v>
      </c>
      <c r="GK168" s="102">
        <f t="shared" ca="1" si="2901"/>
        <v>20</v>
      </c>
      <c r="GL168" s="102">
        <f t="shared" ca="1" si="2901"/>
        <v>21</v>
      </c>
      <c r="GM168" s="102">
        <f t="shared" ca="1" si="2901"/>
        <v>22</v>
      </c>
      <c r="GN168" s="102">
        <f t="shared" ca="1" si="2901"/>
        <v>23</v>
      </c>
      <c r="GO168" s="102">
        <f t="shared" ca="1" si="2901"/>
        <v>24</v>
      </c>
      <c r="GP168" s="102">
        <f t="shared" ca="1" si="2901"/>
        <v>25</v>
      </c>
      <c r="GQ168" s="102">
        <f t="shared" ca="1" si="2901"/>
        <v>26</v>
      </c>
      <c r="GR168" s="102">
        <f t="shared" ca="1" si="2901"/>
        <v>27</v>
      </c>
      <c r="GS168" s="102">
        <f t="shared" ca="1" si="2901"/>
        <v>28</v>
      </c>
      <c r="GT168" s="102">
        <f t="shared" ca="1" si="2901"/>
        <v>29</v>
      </c>
      <c r="GU168" s="102">
        <f t="shared" ca="1" si="2901"/>
        <v>30</v>
      </c>
    </row>
    <row r="169" spans="143:203" x14ac:dyDescent="0.25">
      <c r="FR169" s="102">
        <f t="shared" ref="FR169:GU169" ca="1" si="2902">IFERROR(IF(AND(OFFSET($E$20,$FO168,0)="H",OFFSET(J$19,$FO168,0)&lt;&gt;"",OFFSET($F114,$FO168,0)&lt;&gt;"Hybrid - Thrust + 2 connections"),INDEX(Hyb_Tech,MATCH(OFFSET(J$19,$FO168,0),Hyb_Code,0)),FR$72),FR$72)</f>
        <v>1</v>
      </c>
      <c r="FS169" s="102">
        <f t="shared" ca="1" si="2902"/>
        <v>2</v>
      </c>
      <c r="FT169" s="102">
        <f t="shared" ca="1" si="2902"/>
        <v>3</v>
      </c>
      <c r="FU169" s="102">
        <f t="shared" ca="1" si="2902"/>
        <v>4</v>
      </c>
      <c r="FV169" s="102">
        <f t="shared" ca="1" si="2902"/>
        <v>5</v>
      </c>
      <c r="FW169" s="102">
        <f t="shared" ca="1" si="2902"/>
        <v>6</v>
      </c>
      <c r="FX169" s="102">
        <f t="shared" ca="1" si="2902"/>
        <v>7</v>
      </c>
      <c r="FY169" s="102">
        <f t="shared" ca="1" si="2902"/>
        <v>8</v>
      </c>
      <c r="FZ169" s="102">
        <f t="shared" ca="1" si="2902"/>
        <v>9</v>
      </c>
      <c r="GA169" s="102">
        <f t="shared" ca="1" si="2902"/>
        <v>10</v>
      </c>
      <c r="GB169" s="102">
        <f t="shared" ca="1" si="2902"/>
        <v>11</v>
      </c>
      <c r="GC169" s="102">
        <f t="shared" ca="1" si="2902"/>
        <v>12</v>
      </c>
      <c r="GD169" s="102">
        <f t="shared" ca="1" si="2902"/>
        <v>13</v>
      </c>
      <c r="GE169" s="102">
        <f t="shared" ca="1" si="2902"/>
        <v>14</v>
      </c>
      <c r="GF169" s="102">
        <f t="shared" ca="1" si="2902"/>
        <v>15</v>
      </c>
      <c r="GG169" s="102">
        <f t="shared" ca="1" si="2902"/>
        <v>16</v>
      </c>
      <c r="GH169" s="102">
        <f t="shared" ca="1" si="2902"/>
        <v>17</v>
      </c>
      <c r="GI169" s="102">
        <f t="shared" ca="1" si="2902"/>
        <v>18</v>
      </c>
      <c r="GJ169" s="102">
        <f t="shared" ca="1" si="2902"/>
        <v>19</v>
      </c>
      <c r="GK169" s="102">
        <f t="shared" ca="1" si="2902"/>
        <v>20</v>
      </c>
      <c r="GL169" s="102">
        <f t="shared" ca="1" si="2902"/>
        <v>21</v>
      </c>
      <c r="GM169" s="102">
        <f t="shared" ca="1" si="2902"/>
        <v>22</v>
      </c>
      <c r="GN169" s="102">
        <f t="shared" ca="1" si="2902"/>
        <v>23</v>
      </c>
      <c r="GO169" s="102">
        <f t="shared" ca="1" si="2902"/>
        <v>24</v>
      </c>
      <c r="GP169" s="102">
        <f t="shared" ca="1" si="2902"/>
        <v>25</v>
      </c>
      <c r="GQ169" s="102">
        <f t="shared" ca="1" si="2902"/>
        <v>26</v>
      </c>
      <c r="GR169" s="102">
        <f t="shared" ca="1" si="2902"/>
        <v>27</v>
      </c>
      <c r="GS169" s="102">
        <f t="shared" ca="1" si="2902"/>
        <v>28</v>
      </c>
      <c r="GT169" s="102">
        <f t="shared" ca="1" si="2902"/>
        <v>29</v>
      </c>
      <c r="GU169" s="102">
        <f t="shared" ca="1" si="2902"/>
        <v>30</v>
      </c>
    </row>
    <row r="170" spans="143:203" x14ac:dyDescent="0.25">
      <c r="FP170" s="105" t="str">
        <f t="shared" ref="FP170" ca="1" si="2903">IFERROR(IF(SUM(FR170:GU170)&gt;2,OFFSET($FR$73,$FO168*5/2,MATCH(1,FR170:GU170,0)-1),""),"")</f>
        <v/>
      </c>
      <c r="FQ170" s="102" t="str">
        <f ca="1">IFERROR(IF(LEFT(FP170,1)="C",IF(RIGHT(FP170,1)="+",LEFT(FP170,LEN(FP170)-1),CONCATENATE(FP170,"+")),IF(SUM($FR170:$GU170)&gt;$FP$18,OFFSET($FR$73,$FO168*5/2,MATCH(0.5,FR170:GU170,0)),"")),"")</f>
        <v/>
      </c>
      <c r="FR170" s="102" t="str">
        <f t="shared" ref="FR170:GU170" ca="1" si="2904">IF(AND($BV$6="D",LEFT(FR168,1)="C"),IF(COUNTIF($FR169:$GU169,FR169)&gt;$FP$18-1,INDEX(Hyb_Tech_Value,MATCH(FR168,Hyb_Code,0)),""),IF(COUNTIF($FR169:$GU169,FR169)&gt;$FP$18,INDEX(Hyb_Tech_Value,MATCH(FR168,Hyb_Code,0)),""))</f>
        <v/>
      </c>
      <c r="FS170" s="102" t="str">
        <f t="shared" ca="1" si="2904"/>
        <v/>
      </c>
      <c r="FT170" s="102" t="str">
        <f t="shared" ca="1" si="2904"/>
        <v/>
      </c>
      <c r="FU170" s="102" t="str">
        <f t="shared" ca="1" si="2904"/>
        <v/>
      </c>
      <c r="FV170" s="102" t="str">
        <f t="shared" ca="1" si="2904"/>
        <v/>
      </c>
      <c r="FW170" s="102" t="str">
        <f t="shared" ca="1" si="2904"/>
        <v/>
      </c>
      <c r="FX170" s="102" t="str">
        <f t="shared" ca="1" si="2904"/>
        <v/>
      </c>
      <c r="FY170" s="102" t="str">
        <f t="shared" ca="1" si="2904"/>
        <v/>
      </c>
      <c r="FZ170" s="102" t="str">
        <f t="shared" ca="1" si="2904"/>
        <v/>
      </c>
      <c r="GA170" s="102" t="str">
        <f t="shared" ca="1" si="2904"/>
        <v/>
      </c>
      <c r="GB170" s="102" t="str">
        <f t="shared" ca="1" si="2904"/>
        <v/>
      </c>
      <c r="GC170" s="102" t="str">
        <f t="shared" ca="1" si="2904"/>
        <v/>
      </c>
      <c r="GD170" s="102" t="str">
        <f t="shared" ca="1" si="2904"/>
        <v/>
      </c>
      <c r="GE170" s="102" t="str">
        <f t="shared" ca="1" si="2904"/>
        <v/>
      </c>
      <c r="GF170" s="102" t="str">
        <f t="shared" ca="1" si="2904"/>
        <v/>
      </c>
      <c r="GG170" s="102" t="str">
        <f t="shared" ca="1" si="2904"/>
        <v/>
      </c>
      <c r="GH170" s="102" t="str">
        <f t="shared" ca="1" si="2904"/>
        <v/>
      </c>
      <c r="GI170" s="102" t="str">
        <f t="shared" ca="1" si="2904"/>
        <v/>
      </c>
      <c r="GJ170" s="102" t="str">
        <f t="shared" ca="1" si="2904"/>
        <v/>
      </c>
      <c r="GK170" s="102" t="str">
        <f t="shared" ca="1" si="2904"/>
        <v/>
      </c>
      <c r="GL170" s="102" t="str">
        <f t="shared" ca="1" si="2904"/>
        <v/>
      </c>
      <c r="GM170" s="102" t="str">
        <f t="shared" ca="1" si="2904"/>
        <v/>
      </c>
      <c r="GN170" s="102" t="str">
        <f t="shared" ca="1" si="2904"/>
        <v/>
      </c>
      <c r="GO170" s="102" t="str">
        <f t="shared" ca="1" si="2904"/>
        <v/>
      </c>
      <c r="GP170" s="102" t="str">
        <f t="shared" ca="1" si="2904"/>
        <v/>
      </c>
      <c r="GQ170" s="102" t="str">
        <f t="shared" ca="1" si="2904"/>
        <v/>
      </c>
      <c r="GR170" s="102" t="str">
        <f t="shared" ca="1" si="2904"/>
        <v/>
      </c>
      <c r="GS170" s="102" t="str">
        <f t="shared" ca="1" si="2904"/>
        <v/>
      </c>
      <c r="GT170" s="102" t="str">
        <f t="shared" ca="1" si="2904"/>
        <v/>
      </c>
      <c r="GU170" s="102" t="str">
        <f t="shared" ca="1" si="2904"/>
        <v/>
      </c>
    </row>
    <row r="171" spans="143:203" x14ac:dyDescent="0.25">
      <c r="FQ171" s="102"/>
      <c r="FR171" s="102"/>
      <c r="FS171" s="102"/>
      <c r="FT171" s="102"/>
      <c r="FU171" s="102"/>
      <c r="FV171" s="102"/>
      <c r="FW171" s="102"/>
      <c r="FX171" s="102"/>
      <c r="FY171" s="102"/>
      <c r="FZ171" s="102"/>
      <c r="GA171" s="102"/>
      <c r="GB171" s="102"/>
      <c r="GC171" s="102"/>
      <c r="GD171" s="102"/>
      <c r="GE171" s="102"/>
      <c r="GF171" s="102"/>
      <c r="GG171" s="102"/>
      <c r="GH171" s="102"/>
      <c r="GI171" s="102"/>
      <c r="GJ171" s="102"/>
      <c r="GK171" s="102"/>
      <c r="GL171" s="102"/>
      <c r="GM171" s="102"/>
      <c r="GN171" s="102"/>
      <c r="GO171" s="102"/>
      <c r="GP171" s="102"/>
      <c r="GQ171" s="102"/>
      <c r="GR171" s="102"/>
      <c r="GS171" s="102"/>
      <c r="GT171" s="102"/>
      <c r="GU171" s="102"/>
    </row>
    <row r="172" spans="143:203" x14ac:dyDescent="0.25">
      <c r="FQ172" s="102"/>
      <c r="FR172" s="102"/>
      <c r="FS172" s="102"/>
      <c r="FT172" s="102"/>
      <c r="FU172" s="102"/>
      <c r="FV172" s="102"/>
      <c r="FW172" s="102"/>
      <c r="FX172" s="102"/>
      <c r="FY172" s="102"/>
      <c r="FZ172" s="102"/>
      <c r="GA172" s="102"/>
      <c r="GB172" s="102"/>
      <c r="GC172" s="102"/>
      <c r="GD172" s="102"/>
      <c r="GE172" s="102"/>
      <c r="GF172" s="102"/>
      <c r="GG172" s="102"/>
      <c r="GH172" s="102"/>
      <c r="GI172" s="102"/>
      <c r="GJ172" s="102"/>
      <c r="GK172" s="102"/>
      <c r="GL172" s="102"/>
      <c r="GM172" s="102"/>
      <c r="GN172" s="102"/>
      <c r="GO172" s="102"/>
      <c r="GP172" s="102"/>
      <c r="GQ172" s="102"/>
      <c r="GR172" s="102"/>
      <c r="GS172" s="102"/>
      <c r="GT172" s="102"/>
      <c r="GU172" s="102"/>
    </row>
  </sheetData>
  <sheetProtection algorithmName="SHA-512" hashValue="vm2HdgqhxtR+UZCMz1YV/5zvdI/s9PROMYeF2uALqsnhQVF0rW8ccwdPka5sXk/INzaXu1ea9gDrjgYYdcCz9w==" saltValue="0T3P9/OK66CJyBUbv6wWMQ==" spinCount="100000" sheet="1" formatColumns="0" deleteColumns="0" selectLockedCells="1"/>
  <mergeCells count="38">
    <mergeCell ref="G1:AM4"/>
    <mergeCell ref="Q5:AO5"/>
    <mergeCell ref="A17:B17"/>
    <mergeCell ref="A7:D7"/>
    <mergeCell ref="C17:D17"/>
    <mergeCell ref="A9:D9"/>
    <mergeCell ref="A5:D5"/>
    <mergeCell ref="A6:D6"/>
    <mergeCell ref="A8:D8"/>
    <mergeCell ref="N6:AC6"/>
    <mergeCell ref="F6:L6"/>
    <mergeCell ref="F5:I5"/>
    <mergeCell ref="A10:B11"/>
    <mergeCell ref="C10:D11"/>
    <mergeCell ref="BU9:BW9"/>
    <mergeCell ref="AN16:AN17"/>
    <mergeCell ref="H16:I17"/>
    <mergeCell ref="GW16:HB16"/>
    <mergeCell ref="CU17:DC17"/>
    <mergeCell ref="DD17:DJ17"/>
    <mergeCell ref="DK17:DM17"/>
    <mergeCell ref="DQ11:DT11"/>
    <mergeCell ref="EF17:EG17"/>
    <mergeCell ref="Y11:AB11"/>
    <mergeCell ref="F9:AO9"/>
    <mergeCell ref="BI17:CL17"/>
    <mergeCell ref="EB17:EE17"/>
    <mergeCell ref="DQ16:EE16"/>
    <mergeCell ref="AW16:BA16"/>
    <mergeCell ref="FR19:GU58"/>
    <mergeCell ref="BX2:BY2"/>
    <mergeCell ref="DQ17:DR17"/>
    <mergeCell ref="DS17:DT17"/>
    <mergeCell ref="DV17:DY17"/>
    <mergeCell ref="DG11:DO11"/>
    <mergeCell ref="CA2:CN2"/>
    <mergeCell ref="DZ17:EA17"/>
    <mergeCell ref="DV11:DW11"/>
  </mergeCells>
  <phoneticPr fontId="10" type="noConversion"/>
  <conditionalFormatting sqref="A6:C6 A7 A8:C9 A10 C10 A13:B14 BW14 CQ15 A15:C16">
    <cfRule type="containsText" dxfId="270" priority="485" operator="containsText" text="ACROBATIC">
      <formula>NOT(ISERROR(SEARCH("ACROBATIC",A6)))</formula>
    </cfRule>
    <cfRule type="containsText" dxfId="269" priority="486" operator="containsText" text="HYBRID">
      <formula>NOT(ISERROR(SEARCH("HYBRID",A6)))</formula>
    </cfRule>
    <cfRule type="containsText" dxfId="268" priority="483" operator="containsText" text="BONUSES">
      <formula>NOT(ISERROR(SEARCH("BONUSES",A6)))</formula>
    </cfRule>
    <cfRule type="containsText" dxfId="267" priority="482" operator="containsText" text=" ">
      <formula>NOT(ISERROR(SEARCH(" ",A6)))</formula>
    </cfRule>
    <cfRule type="containsText" dxfId="266" priority="484" operator="containsText" text="TRANSITION">
      <formula>NOT(ISERROR(SEARCH("TRANSITION",A6)))</formula>
    </cfRule>
  </conditionalFormatting>
  <conditionalFormatting sqref="A12:D12">
    <cfRule type="containsText" dxfId="265" priority="440" operator="containsText" text="BONUSES">
      <formula>NOT(ISERROR(SEARCH("BONUSES",A12)))</formula>
    </cfRule>
    <cfRule type="containsText" dxfId="264" priority="441" operator="containsText" text="TRANSITION">
      <formula>NOT(ISERROR(SEARCH("TRANSITION",A12)))</formula>
    </cfRule>
    <cfRule type="containsText" dxfId="263" priority="439" operator="containsText" text=" ">
      <formula>NOT(ISERROR(SEARCH(" ",A12)))</formula>
    </cfRule>
    <cfRule type="containsText" dxfId="262" priority="443" operator="containsText" text="HYBRID">
      <formula>NOT(ISERROR(SEARCH("HYBRID",A12)))</formula>
    </cfRule>
    <cfRule type="containsText" dxfId="261" priority="442" operator="containsText" text="ACROBATIC">
      <formula>NOT(ISERROR(SEARCH("ACROBATIC",A12)))</formula>
    </cfRule>
  </conditionalFormatting>
  <conditionalFormatting sqref="C19 C21 C23 C25 C27 C29 C31 C33 C35 C37 C39 C41 C43 C45 C47 C49 C51 C53 C55 C57 C59 C61 C63 C65 C67 C69">
    <cfRule type="cellIs" dxfId="260" priority="437" operator="lessThan">
      <formula>0</formula>
    </cfRule>
  </conditionalFormatting>
  <conditionalFormatting sqref="C21 C23 C25 C27 C29 C31 C33 C35 C37 C39 C41 C43 C45 C47 C49 C51 C53 C55 C57 C59 C61 C63 C65 C67">
    <cfRule type="expression" dxfId="259" priority="455">
      <formula>AND(B21&lt;&gt;"",E19="",C21="")</formula>
    </cfRule>
  </conditionalFormatting>
  <conditionalFormatting sqref="C14:D14">
    <cfRule type="notContainsBlanks" dxfId="258" priority="438">
      <formula>LEN(TRIM(C14))&gt;0</formula>
    </cfRule>
    <cfRule type="expression" dxfId="257" priority="432" stopIfTrue="1">
      <formula>AND($F$8&lt;&gt;"",$C$13="Y")</formula>
    </cfRule>
  </conditionalFormatting>
  <conditionalFormatting sqref="C19:D19 C21:D21 C23:D23 C25:D25 C27:D27 C29:D29 C31:D31 C33:D33 C35:D35 C37:D37 C39:D39 C41:D41 C43:D43 C45:D45 C47:D47 C49:D49 C51:D51 C53:D53 C55:D55 C57:D57 C59:D59 C61:D61 C63:D63 C65:D65 C67:D67">
    <cfRule type="expression" dxfId="256" priority="26">
      <formula>OR($CQ19="X",$BA19="X")</formula>
    </cfRule>
  </conditionalFormatting>
  <conditionalFormatting sqref="C19:D68">
    <cfRule type="expression" dxfId="255" priority="10942">
      <formula>$CP19&lt;=$CO19</formula>
    </cfRule>
  </conditionalFormatting>
  <conditionalFormatting sqref="C21:D21 C23:D23 C25:D25 C27:D27 C29:D29 C31:D31 C33:D33 C35:D35 C37:D37 C39:D39 C41:D41 C43:D43 C45:D45 C47:D47 C49:D49 C51:D51 C53:D53 C55:D55 C57:D57 C59:D59 C61:D61 C63:D63 C65:D65 C67:D67">
    <cfRule type="expression" dxfId="254" priority="10943" stopIfTrue="1">
      <formula>$CO21=""</formula>
    </cfRule>
  </conditionalFormatting>
  <conditionalFormatting sqref="C69:D69 C19:D19 C21:D21 C23:D23 C25:D25 C27:D27 C29:D29 C31:D31 C33:D33 C35:D35 C37:D37 C39:D39 C41:D41 C43:D43 C45:D45 C47:D47 C49:D49 C51:D51 C53:D53 C55:D55 C57:D57 C59:D59 C61:D61 C63:D63 C65:D65 C67:D67">
    <cfRule type="expression" dxfId="253" priority="1689">
      <formula>AND(C19="",A19=0)</formula>
    </cfRule>
  </conditionalFormatting>
  <conditionalFormatting sqref="C69:D69 C71:D71">
    <cfRule type="expression" dxfId="252" priority="1301" stopIfTrue="1">
      <formula>$BT69=""</formula>
    </cfRule>
  </conditionalFormatting>
  <conditionalFormatting sqref="C69:D69">
    <cfRule type="expression" dxfId="251" priority="10886">
      <formula>AND(OR($BU69&gt;$D$12,AND($E70="H",$AB$14=1)),$Q$14="")</formula>
    </cfRule>
  </conditionalFormatting>
  <conditionalFormatting sqref="C69:D71">
    <cfRule type="expression" dxfId="250" priority="8912">
      <formula>$BU69&lt;=$BT69</formula>
    </cfRule>
  </conditionalFormatting>
  <conditionalFormatting sqref="C72:D72">
    <cfRule type="expression" dxfId="249" priority="1300">
      <formula>$BS72&lt;=$BR72</formula>
    </cfRule>
  </conditionalFormatting>
  <conditionalFormatting sqref="C73:D73">
    <cfRule type="expression" dxfId="248" priority="475" stopIfTrue="1">
      <formula>$AI73=""</formula>
    </cfRule>
    <cfRule type="expression" dxfId="247" priority="476">
      <formula>$AJ73&lt;=$AI73</formula>
    </cfRule>
  </conditionalFormatting>
  <conditionalFormatting sqref="C74:D77">
    <cfRule type="expression" dxfId="246" priority="1692">
      <formula>$AJ74&lt;=$AI74</formula>
    </cfRule>
  </conditionalFormatting>
  <conditionalFormatting sqref="C75:D75">
    <cfRule type="expression" dxfId="245" priority="1690" stopIfTrue="1">
      <formula>$AI75=""</formula>
    </cfRule>
  </conditionalFormatting>
  <conditionalFormatting sqref="D21 D23 D25 D27 D29 D31 D33 D35 D37 D39 D41 D43 D45 D47 D49 D51 D53 D55 D57 D59 D61 D63 D65 D67">
    <cfRule type="expression" dxfId="244" priority="454">
      <formula>AND(B21&lt;&gt;"",E19="",D21="")</formula>
    </cfRule>
  </conditionalFormatting>
  <conditionalFormatting sqref="F5 F9">
    <cfRule type="expression" dxfId="243" priority="31">
      <formula>AND(F5="",$F$19&lt;&gt;"")</formula>
    </cfRule>
  </conditionalFormatting>
  <conditionalFormatting sqref="F19 F21 F23 F25 F27 F29 F31 F33 F35 F37 F39 F41 F43 F45 F47 F49 F51 F53 F55 F57 F59 F61 F63 F65 F67 F69:F72">
    <cfRule type="containsText" dxfId="242" priority="14529" operator="containsText" text="Transition">
      <formula>NOT(ISERROR(SEARCH("Transition",F19)))</formula>
    </cfRule>
    <cfRule type="expression" dxfId="241" priority="469">
      <formula>AND(F19="",A19&lt;&gt;"")</formula>
    </cfRule>
    <cfRule type="containsText" dxfId="240" priority="470" operator="containsText" text="Technical Required Element">
      <formula>NOT(ISERROR(SEARCH("Technical Required Element",F19)))</formula>
    </cfRule>
    <cfRule type="containsText" dxfId="239" priority="471" operator="containsText" text="Hybrid">
      <formula>NOT(ISERROR(SEARCH("Hybrid",F19)))</formula>
    </cfRule>
    <cfRule type="containsText" dxfId="238" priority="472" operator="containsText" text="Acrobatic">
      <formula>NOT(ISERROR(SEARCH("Acrobatic",F19)))</formula>
    </cfRule>
  </conditionalFormatting>
  <conditionalFormatting sqref="F19 F21 F23 F25 F27 F29 F31 F33 F35 F37 F39 F41 F43 F45 F47 F49 F51 F53 F55 F57 F59 F61 F63 F65 F67">
    <cfRule type="expression" dxfId="237" priority="425" stopIfTrue="1">
      <formula>AND(F19&lt;&gt;"",OR(EG19="X",AND(F19=F17,F19&lt;&gt;"Transition - Surface Connection",LEFT(F17,9)&lt;&gt;"Acrobatic"),AND(F19=F21,F19&lt;&gt;"Transition - Surface Connection",LEFT(F21,9)&lt;&gt;"Acrobatic"),BG19="No"))</formula>
    </cfRule>
  </conditionalFormatting>
  <conditionalFormatting sqref="F69:F72 F19 F21 F23 F25 F27 F29 F31 F33 F35 F37 F39 F41 F43 F45 F47 F49 F51 F53 F55 F57 F59 F61 F63 F65 F67">
    <cfRule type="cellIs" dxfId="236" priority="433" operator="equal">
      <formula>"Connected Surface Movment"</formula>
    </cfRule>
  </conditionalFormatting>
  <conditionalFormatting sqref="F69:F72">
    <cfRule type="expression" dxfId="235" priority="431" stopIfTrue="1">
      <formula>AND(F69="Hybrid",F67="Hybrid")</formula>
    </cfRule>
  </conditionalFormatting>
  <conditionalFormatting sqref="G76">
    <cfRule type="expression" dxfId="234" priority="384" stopIfTrue="1">
      <formula>G76&lt;&gt;""</formula>
    </cfRule>
    <cfRule type="expression" dxfId="233" priority="385">
      <formula>G76=""</formula>
    </cfRule>
  </conditionalFormatting>
  <conditionalFormatting sqref="G81">
    <cfRule type="expression" dxfId="232" priority="312" stopIfTrue="1">
      <formula>G81&lt;&gt;""</formula>
    </cfRule>
    <cfRule type="expression" dxfId="231" priority="313">
      <formula>G81=""</formula>
    </cfRule>
  </conditionalFormatting>
  <conditionalFormatting sqref="G12:R13 J20:AN20 J22:AN22 J24:AN24 J26:AN26 J28:AN28 J30:AN30 J32:AN32 J34:AN34 J36:AN36 J38:AN38 J40:AN40 J42:AN42 J44:AN44 J46:AN46 J48:AN48 J50:AN50 J52:AN52 J54:AN54 J56:AN56 J58:AN58 J60:AN60 J62:AN62 J64:AN64 J66:AN66 J68:AN68">
    <cfRule type="cellIs" dxfId="230" priority="464" stopIfTrue="1" operator="equal">
      <formula>0</formula>
    </cfRule>
  </conditionalFormatting>
  <conditionalFormatting sqref="G19:AN19 G21:AN21 G23:AN23 G25:AN25 G27:AN27 G29:AN29 G31:AN31 G33:AN33 G35:AN35 G37:AN37 G39:AN39 G41:AN41 G43:AN43 G45:AN45 G47:AN47 G49:AN49 G51:AN51 G53:AN53 G55:AN55 G57:AN57 G59:AN59 G61:AN61 G63:AN63 G65:AN65 G67:AN67 G69:AC69">
    <cfRule type="expression" dxfId="229" priority="9">
      <formula>AND($F19&lt;&gt;"",$F21="")</formula>
    </cfRule>
  </conditionalFormatting>
  <conditionalFormatting sqref="H76">
    <cfRule type="expression" dxfId="228" priority="383">
      <formula>G76=""</formula>
    </cfRule>
    <cfRule type="expression" dxfId="227" priority="382" stopIfTrue="1">
      <formula>G76&lt;&gt;""</formula>
    </cfRule>
  </conditionalFormatting>
  <conditionalFormatting sqref="H81">
    <cfRule type="expression" dxfId="226" priority="21">
      <formula>G81=""</formula>
    </cfRule>
    <cfRule type="expression" dxfId="225" priority="20" stopIfTrue="1">
      <formula>G81&lt;&gt;""</formula>
    </cfRule>
  </conditionalFormatting>
  <conditionalFormatting sqref="H13:R13">
    <cfRule type="expression" dxfId="224" priority="423" stopIfTrue="1">
      <formula>H13&gt;H12</formula>
    </cfRule>
    <cfRule type="expression" dxfId="223" priority="463">
      <formula>H$13&lt;H$12</formula>
    </cfRule>
    <cfRule type="expression" dxfId="222" priority="465">
      <formula>AND(H$13&lt;&gt;"",H$13=H$12)</formula>
    </cfRule>
  </conditionalFormatting>
  <conditionalFormatting sqref="I76">
    <cfRule type="expression" dxfId="221" priority="381">
      <formula>G76=""</formula>
    </cfRule>
    <cfRule type="expression" dxfId="220" priority="380" stopIfTrue="1">
      <formula>G76&lt;&gt;""</formula>
    </cfRule>
  </conditionalFormatting>
  <conditionalFormatting sqref="I81">
    <cfRule type="expression" dxfId="219" priority="309">
      <formula>G81=""</formula>
    </cfRule>
    <cfRule type="expression" dxfId="218" priority="308" stopIfTrue="1">
      <formula>G81&lt;&gt;""</formula>
    </cfRule>
  </conditionalFormatting>
  <conditionalFormatting sqref="J13">
    <cfRule type="expression" dxfId="217" priority="420">
      <formula>$F$8="Acrobatic"</formula>
    </cfRule>
  </conditionalFormatting>
  <conditionalFormatting sqref="J19 J21 J23 J25 J27 J29 J31 J33 J35 J37 J39 J41 J43 J45 J47 J49 J51 J53 J55 J57 J59 J61 J63 J65 J67 J69">
    <cfRule type="expression" dxfId="215" priority="24" stopIfTrue="1">
      <formula>AND(LEFT(H20,4)&lt;&gt;"Acro",J19&lt;&gt;"",J20=0,H19&lt;&gt;"No DD")</formula>
    </cfRule>
  </conditionalFormatting>
  <conditionalFormatting sqref="J19 J21 J23 J25 J27 J29 J31 J33 J35 J37 J39 J41 J43 J45 J47 J49 J51 J53 J55 J57 J59 J61 J63 J65 J67">
    <cfRule type="expression" dxfId="214" priority="1800" stopIfTrue="1">
      <formula>AND(E20&lt;&gt;"",J19="")</formula>
    </cfRule>
    <cfRule type="expression" dxfId="213" priority="11236">
      <formula>OR(AND($J19&lt;&gt;"",$E20="B",$DI$12=$J19),AND($J19&lt;&gt;"",$E20="C",$DK$12=$J19),AND($J19&lt;&gt;"",$E20="P",$DL$12=$J19))</formula>
    </cfRule>
    <cfRule type="expression" dxfId="212" priority="14554">
      <formula>AND($E20="PA",$DN$15="YES",J19=$DO$15)</formula>
    </cfRule>
  </conditionalFormatting>
  <conditionalFormatting sqref="J19:J68">
    <cfRule type="expression" dxfId="211" priority="12" stopIfTrue="1">
      <formula>AND(F19="Transition",J19&lt;&gt;"")</formula>
    </cfRule>
    <cfRule type="containsBlanks" priority="56">
      <formula>LEN(TRIM(J19))=0</formula>
    </cfRule>
  </conditionalFormatting>
  <conditionalFormatting sqref="J76 AP76">
    <cfRule type="expression" dxfId="210" priority="379">
      <formula>G76=""</formula>
    </cfRule>
    <cfRule type="expression" dxfId="209" priority="378" stopIfTrue="1">
      <formula>G76&lt;&gt;""</formula>
    </cfRule>
  </conditionalFormatting>
  <conditionalFormatting sqref="J81">
    <cfRule type="expression" dxfId="208" priority="242" stopIfTrue="1">
      <formula>J81&lt;&gt;""</formula>
    </cfRule>
    <cfRule type="expression" dxfId="207" priority="243">
      <formula>J81=""</formula>
    </cfRule>
  </conditionalFormatting>
  <conditionalFormatting sqref="J19:K68">
    <cfRule type="expression" dxfId="206" priority="10" stopIfTrue="1">
      <formula>$HN19="X"</formula>
    </cfRule>
  </conditionalFormatting>
  <conditionalFormatting sqref="J19:L19 J21:L21 J23:L23 J25:L25 J27:L27 J29:L29 J31:L31 J33:L33 J35:L35 J37:L37 J39:L39 J41:L41 J43:L43 J45:L45 J47:L47 J49:L49 J51:L51 J53:L53 J55:L55 J57:L57 J59:L59 J61:L61 J63:L63 J65:L65 J67:L67">
    <cfRule type="expression" dxfId="205" priority="33">
      <formula>AND($F19="Hybrid - Thrust + 2 connections",$HD19="X")</formula>
    </cfRule>
  </conditionalFormatting>
  <conditionalFormatting sqref="J18:R18">
    <cfRule type="expression" dxfId="204" priority="37">
      <formula>$Q$15&lt;&gt;"X"</formula>
    </cfRule>
  </conditionalFormatting>
  <conditionalFormatting sqref="J19:R19 J21:R21 J23:R23 J25:R25 J27:R27 J29:R29 J31:R31 J33:R33 J35:R35 J37:R37 J39:R39 J41:R41 J43:R43 J45:R45 J47:R47 J49:R49 J51:R51 J53:R53 J55:R55 J57:R57 J59:R59 J61:R61 J63:R63 J65:R65 J67:R67">
    <cfRule type="expression" dxfId="203" priority="5" stopIfTrue="1">
      <formula>CU19="X"</formula>
    </cfRule>
  </conditionalFormatting>
  <conditionalFormatting sqref="J19:AM19 J21:AM21 J23:AM23 J25:AM25 J27:AM27 J29:AM29 J31:AM31 J33:AM33 J35:AM35 J37:AM37 J39:AM39 J41:AM41 J43:AM43 J45:AM45 J47:AM47 J49:AM49 J51:AM51 J53:AM53 J55:AM55 J57:AM57 J59:AM59 J61:AM61 J63:AM63 J65:AM65 J67:AM67">
    <cfRule type="expression" dxfId="202" priority="14" stopIfTrue="1">
      <formula>AND(J19&lt;&gt;"",J20=0,$H19&lt;&gt;"No DD")</formula>
    </cfRule>
    <cfRule type="expression" dxfId="200" priority="14579" stopIfTrue="1">
      <formula>AND($AL$16&lt;&gt;"",$E20="H",INDEX(Hyb_Family,MATCH(J19,HybridDD_Code,0))="T")</formula>
    </cfRule>
    <cfRule type="expression" dxfId="199" priority="14580" stopIfTrue="1">
      <formula>AND($AL$16&lt;&gt;"",$E20="H",INDEX(Hyb_Family,MATCH(J19,HybridDD_Code,0))="S")</formula>
    </cfRule>
    <cfRule type="expression" dxfId="198" priority="14581" stopIfTrue="1">
      <formula>AND($AL$16&lt;&gt;"",$E20="H",INDEX(Hyb_Family,MATCH(J19,HybridDD_Code,0))="R")</formula>
    </cfRule>
    <cfRule type="expression" dxfId="197" priority="14932" stopIfTrue="1">
      <formula>AND($AL$16&lt;&gt;"",$E20="H",INDEX(Hyb_Family,MATCH(J19,HybridDD_Code,0))="C")</formula>
    </cfRule>
    <cfRule type="expression" dxfId="196" priority="14931" stopIfTrue="1">
      <formula>AND($AL$16&lt;&gt;"",$E20="H",INDEX(Hyb_Family,MATCH(J19,HybridDD_Code,0))="F")</formula>
    </cfRule>
    <cfRule type="expression" dxfId="195" priority="14930" stopIfTrue="1">
      <formula>AND($AL$16&lt;&gt;"",$E20="H",INDEX(Hyb_Family,MATCH(J19,HybridDD_Code,0))="A")</formula>
    </cfRule>
    <cfRule type="expression" dxfId="194" priority="48">
      <formula>AND(OR(LEFT(J19,2)=$FQ20,LEFT(J19,3)=$FP20),J19&lt;&gt;"",$FQ$15="Yes")</formula>
    </cfRule>
  </conditionalFormatting>
  <conditionalFormatting sqref="J19:AN58">
    <cfRule type="expression" dxfId="193" priority="3" stopIfTrue="1">
      <formula>AND($G19&lt;&gt;"",J19&lt;&gt;"",J20=0)</formula>
    </cfRule>
  </conditionalFormatting>
  <conditionalFormatting sqref="J19:AN68 J69:AC69">
    <cfRule type="expression" dxfId="192" priority="4" stopIfTrue="1">
      <formula>AND(OR($F19="Transition",$F19="Transition - Surface Connection"),$F21="")</formula>
    </cfRule>
  </conditionalFormatting>
  <conditionalFormatting sqref="K7">
    <cfRule type="expression" dxfId="191" priority="417">
      <formula>$M$7="X"</formula>
    </cfRule>
  </conditionalFormatting>
  <conditionalFormatting sqref="K8">
    <cfRule type="expression" dxfId="190" priority="415">
      <formula>$M$8="X"</formula>
    </cfRule>
  </conditionalFormatting>
  <conditionalFormatting sqref="K19 K21 K23 K25 K27 K29 K31 K33 K35 K37 K39 K41 K43 K45 K47 K49 K51 K53 K55 K57 K59 K61 K63 K65 K67">
    <cfRule type="expression" dxfId="189" priority="11237">
      <formula>OR(AND($K19&lt;&gt;"",$E20="B",$DJ$12=$K19),AND($K19&lt;&gt;"",$E20="P",$DM$12=$K19))</formula>
    </cfRule>
  </conditionalFormatting>
  <conditionalFormatting sqref="K76">
    <cfRule type="expression" dxfId="188" priority="223">
      <formula>K76=""</formula>
    </cfRule>
    <cfRule type="expression" dxfId="187" priority="222" stopIfTrue="1">
      <formula>K76&lt;&gt;""</formula>
    </cfRule>
  </conditionalFormatting>
  <conditionalFormatting sqref="K81">
    <cfRule type="expression" dxfId="186" priority="304" stopIfTrue="1">
      <formula>J81&lt;&gt;""</formula>
    </cfRule>
    <cfRule type="expression" dxfId="185" priority="305">
      <formula>J81=""</formula>
    </cfRule>
  </conditionalFormatting>
  <conditionalFormatting sqref="K19:L19 K21:L21 K23:L23 K25:L25 K27:L27 K29:L29 K31:L31 K33:L33 K35:L35 K37:L37 K39:L39 K41:L41 K43:L43 K45:L45 K47:L47 K49:L49 K51:L51 K53:L53 K55:L55 K57:L57 K59:L59 K61:L61 K63:L63 K65:L65 K67:L67">
    <cfRule type="expression" dxfId="184" priority="15">
      <formula>AND($F19="Hybrid - Thrust + 2 connections",K19="")</formula>
    </cfRule>
  </conditionalFormatting>
  <conditionalFormatting sqref="K13:M13">
    <cfRule type="expression" dxfId="183" priority="421" stopIfTrue="1">
      <formula>(AND(K12&lt;1,K13&gt;K12))</formula>
    </cfRule>
  </conditionalFormatting>
  <conditionalFormatting sqref="K19:M19 K21:M21 K23:M23 K25:M25 K27:M27 K29:M29 K31:M31 K33:M33 K35:M35 K37:M37 K39:M39 K41:M41 K43:M43 K45:M45 K47:M47 K49:M49 K51:M51 K53:M53 K55:M55 K57:M57 K59:M59 K61:M61 K63:M63 K65:M65 K67:M67">
    <cfRule type="expression" dxfId="182" priority="34" stopIfTrue="1">
      <formula>AND(K19="",DE19="Z")</formula>
    </cfRule>
  </conditionalFormatting>
  <conditionalFormatting sqref="K19:Z19 K21:Z21 K23:Z23 K25:Z25 K27:Z27 K29:Z29 K31:Z31 K33:Z33 K35:Z35 K37:Z37 K39:Z39 K41:Z41 K43:Z43 K45:Z45 K47:Z47 K49:Z49 K51:Z51 K53:Z53 K55:Z55 K57:Z57 K59:Z59 K61:Z61 K63:Z63 K65:Z65 K67:Z67">
    <cfRule type="expression" dxfId="181" priority="13" stopIfTrue="1">
      <formula>AND($F21="",OR($E20=3,$E20="PA",$F19="Hybrid - min 4 swimmers (no DD)"))</formula>
    </cfRule>
  </conditionalFormatting>
  <conditionalFormatting sqref="K19:AN68">
    <cfRule type="containsBlanks" priority="53" stopIfTrue="1">
      <formula>LEN(TRIM(K19))=0</formula>
    </cfRule>
  </conditionalFormatting>
  <conditionalFormatting sqref="L5">
    <cfRule type="expression" dxfId="180" priority="390">
      <formula>$A$5="Club:"</formula>
    </cfRule>
  </conditionalFormatting>
  <conditionalFormatting sqref="L7">
    <cfRule type="expression" dxfId="179" priority="416">
      <formula>$M$7&lt;&gt;"X"</formula>
    </cfRule>
  </conditionalFormatting>
  <conditionalFormatting sqref="L8">
    <cfRule type="expression" dxfId="178" priority="414">
      <formula>$M$8=""</formula>
    </cfRule>
  </conditionalFormatting>
  <conditionalFormatting sqref="L76">
    <cfRule type="expression" dxfId="177" priority="374" stopIfTrue="1">
      <formula>K76&lt;&gt;""</formula>
    </cfRule>
    <cfRule type="expression" dxfId="176" priority="375">
      <formula>K76=""</formula>
    </cfRule>
  </conditionalFormatting>
  <conditionalFormatting sqref="L81">
    <cfRule type="expression" dxfId="175" priority="303">
      <formula>J81=""</formula>
    </cfRule>
    <cfRule type="expression" dxfId="174" priority="302" stopIfTrue="1">
      <formula>J81&lt;&gt;""</formula>
    </cfRule>
  </conditionalFormatting>
  <conditionalFormatting sqref="L13:Q13">
    <cfRule type="expression" dxfId="173" priority="418" stopIfTrue="1">
      <formula>L13&gt;L12</formula>
    </cfRule>
  </conditionalFormatting>
  <conditionalFormatting sqref="M5">
    <cfRule type="containsText" dxfId="172" priority="406" operator="containsText" text="TRANSITION">
      <formula>NOT(ISERROR(SEARCH("TRANSITION",M5)))</formula>
    </cfRule>
    <cfRule type="containsText" dxfId="171" priority="408" operator="containsText" text="HYBRID">
      <formula>NOT(ISERROR(SEARCH("HYBRID",M5)))</formula>
    </cfRule>
    <cfRule type="containsText" dxfId="170" priority="407" operator="containsText" text="ACROBATIC">
      <formula>NOT(ISERROR(SEARCH("ACROBATIC",M5)))</formula>
    </cfRule>
    <cfRule type="containsText" dxfId="169" priority="405" operator="containsText" text="BONUSES">
      <formula>NOT(ISERROR(SEARCH("BONUSES",M5)))</formula>
    </cfRule>
    <cfRule type="containsText" dxfId="168" priority="404" operator="containsText" text=" ">
      <formula>NOT(ISERROR(SEARCH(" ",M5)))</formula>
    </cfRule>
  </conditionalFormatting>
  <conditionalFormatting sqref="M76">
    <cfRule type="expression" dxfId="167" priority="372" stopIfTrue="1">
      <formula>K76&lt;&gt;""</formula>
    </cfRule>
    <cfRule type="expression" dxfId="166" priority="373">
      <formula>K76=""</formula>
    </cfRule>
  </conditionalFormatting>
  <conditionalFormatting sqref="M81">
    <cfRule type="expression" dxfId="165" priority="240" stopIfTrue="1">
      <formula>M81&lt;&gt;""</formula>
    </cfRule>
    <cfRule type="expression" dxfId="164" priority="241">
      <formula>M81=""</formula>
    </cfRule>
  </conditionalFormatting>
  <conditionalFormatting sqref="M6:N6">
    <cfRule type="containsText" dxfId="163" priority="413" operator="containsText" text="HYBRID">
      <formula>NOT(ISERROR(SEARCH("HYBRID",M6)))</formula>
    </cfRule>
    <cfRule type="containsText" dxfId="162" priority="412" operator="containsText" text="ACROBATIC">
      <formula>NOT(ISERROR(SEARCH("ACROBATIC",M6)))</formula>
    </cfRule>
    <cfRule type="containsText" dxfId="161" priority="411" operator="containsText" text="TRANSITION">
      <formula>NOT(ISERROR(SEARCH("TRANSITION",M6)))</formula>
    </cfRule>
    <cfRule type="containsText" dxfId="160" priority="410" operator="containsText" text="BONUSES">
      <formula>NOT(ISERROR(SEARCH("BONUSES",M6)))</formula>
    </cfRule>
    <cfRule type="containsText" dxfId="159" priority="409" operator="containsText" text=" ">
      <formula>NOT(ISERROR(SEARCH(" ",M6)))</formula>
    </cfRule>
  </conditionalFormatting>
  <conditionalFormatting sqref="M19:N19 M21:N21 M23:N23 M25:N25 M27:N27 M29:N29 M31:N31 M33:N33 M35:N35 M37:N37 M39:N39 M41:N41 M43:N43 M45:N45 M47:N47 M49:N49 M51:N51 M53:N53 M55:N55 M57:N57 M59:N59 M61:N61 M63:N63 M65:N65 M67:N67">
    <cfRule type="expression" dxfId="158" priority="14830">
      <formula>$CT19="X"</formula>
    </cfRule>
    <cfRule type="expression" dxfId="157" priority="14829">
      <formula>OR(AND(M19&lt;&gt;"",$E20="A",OR($DG$12=M19,$DH$12=M19)),AND(M19&lt;&gt;"",$E20="P",OR($DN$12=M19,$DO$12=M19)))</formula>
    </cfRule>
  </conditionalFormatting>
  <conditionalFormatting sqref="M19:AN68">
    <cfRule type="expression" dxfId="156" priority="11">
      <formula>$F19="Hybrid - Thrust + 2 connections"</formula>
    </cfRule>
  </conditionalFormatting>
  <conditionalFormatting sqref="N6">
    <cfRule type="expression" dxfId="155" priority="30">
      <formula>AND($N$6="",OR($F$8="Open Free Combination",$F$8="Open Team Acrobatic"),$F$19&lt;&gt;"")</formula>
    </cfRule>
  </conditionalFormatting>
  <conditionalFormatting sqref="N76">
    <cfRule type="expression" dxfId="154" priority="371">
      <formula>K76=""</formula>
    </cfRule>
    <cfRule type="expression" dxfId="153" priority="370" stopIfTrue="1">
      <formula>K76&lt;&gt;""</formula>
    </cfRule>
  </conditionalFormatting>
  <conditionalFormatting sqref="N81">
    <cfRule type="expression" dxfId="152" priority="298" stopIfTrue="1">
      <formula>M81&lt;&gt;""</formula>
    </cfRule>
    <cfRule type="expression" dxfId="151" priority="299">
      <formula>M81=""</formula>
    </cfRule>
  </conditionalFormatting>
  <conditionalFormatting sqref="O5">
    <cfRule type="containsText" dxfId="150" priority="399" operator="containsText" text=" ">
      <formula>NOT(ISERROR(SEARCH(" ",O5)))</formula>
    </cfRule>
    <cfRule type="containsText" dxfId="149" priority="400" operator="containsText" text="BONUSES">
      <formula>NOT(ISERROR(SEARCH("BONUSES",O5)))</formula>
    </cfRule>
    <cfRule type="containsText" dxfId="148" priority="401" operator="containsText" text="TRANSITION">
      <formula>NOT(ISERROR(SEARCH("TRANSITION",O5)))</formula>
    </cfRule>
    <cfRule type="containsText" dxfId="147" priority="403" operator="containsText" text="HYBRID">
      <formula>NOT(ISERROR(SEARCH("HYBRID",O5)))</formula>
    </cfRule>
    <cfRule type="containsText" dxfId="146" priority="402" operator="containsText" text="ACROBATIC">
      <formula>NOT(ISERROR(SEARCH("ACROBATIC",O5)))</formula>
    </cfRule>
  </conditionalFormatting>
  <conditionalFormatting sqref="O76">
    <cfRule type="expression" dxfId="145" priority="220" stopIfTrue="1">
      <formula>O76&lt;&gt;""</formula>
    </cfRule>
    <cfRule type="expression" dxfId="144" priority="221">
      <formula>O76=""</formula>
    </cfRule>
  </conditionalFormatting>
  <conditionalFormatting sqref="O81">
    <cfRule type="expression" dxfId="143" priority="297">
      <formula>M81=""</formula>
    </cfRule>
    <cfRule type="expression" dxfId="142" priority="296" stopIfTrue="1">
      <formula>M81&lt;&gt;""</formula>
    </cfRule>
  </conditionalFormatting>
  <conditionalFormatting sqref="P76">
    <cfRule type="expression" dxfId="141" priority="367">
      <formula>O76=""</formula>
    </cfRule>
    <cfRule type="expression" dxfId="140" priority="366" stopIfTrue="1">
      <formula>O76&lt;&gt;""</formula>
    </cfRule>
  </conditionalFormatting>
  <conditionalFormatting sqref="P81">
    <cfRule type="expression" dxfId="139" priority="238" stopIfTrue="1">
      <formula>P81&lt;&gt;""</formula>
    </cfRule>
    <cfRule type="expression" dxfId="138" priority="239">
      <formula>P81=""</formula>
    </cfRule>
  </conditionalFormatting>
  <conditionalFormatting sqref="Q76">
    <cfRule type="expression" dxfId="137" priority="364" stopIfTrue="1">
      <formula>O76&lt;&gt;""</formula>
    </cfRule>
    <cfRule type="expression" dxfId="136" priority="365">
      <formula>O76=""</formula>
    </cfRule>
  </conditionalFormatting>
  <conditionalFormatting sqref="Q81">
    <cfRule type="expression" dxfId="135" priority="293">
      <formula>P81=""</formula>
    </cfRule>
    <cfRule type="expression" dxfId="134" priority="292" stopIfTrue="1">
      <formula>P81&lt;&gt;""</formula>
    </cfRule>
  </conditionalFormatting>
  <conditionalFormatting sqref="Q19:R68">
    <cfRule type="expression" dxfId="133" priority="35">
      <formula>AND(Q19&lt;&gt;"",$E20="P",OR(Q19=$DV$12,Q19=$DW$12))</formula>
    </cfRule>
    <cfRule type="expression" dxfId="132" priority="38">
      <formula>$DM19="X"</formula>
    </cfRule>
    <cfRule type="expression" dxfId="131" priority="19">
      <formula>AND(E20="A",OR(Q19="RetSq",Q19="RetPa"),AND($F$7&lt;&gt;"Junior 15-19 (F) / 15-20 (M)",$F$7&lt;&gt;"Seniors 15 -&gt;"))</formula>
    </cfRule>
  </conditionalFormatting>
  <conditionalFormatting sqref="R76">
    <cfRule type="expression" dxfId="130" priority="363">
      <formula>O76=""</formula>
    </cfRule>
    <cfRule type="expression" dxfId="129" priority="362" stopIfTrue="1">
      <formula>O76&lt;&gt;""</formula>
    </cfRule>
  </conditionalFormatting>
  <conditionalFormatting sqref="R81">
    <cfRule type="expression" dxfId="128" priority="291">
      <formula>P81=""</formula>
    </cfRule>
    <cfRule type="expression" dxfId="127" priority="290" stopIfTrue="1">
      <formula>P81&lt;&gt;""</formula>
    </cfRule>
  </conditionalFormatting>
  <conditionalFormatting sqref="S76">
    <cfRule type="expression" dxfId="126" priority="219">
      <formula>S76=""</formula>
    </cfRule>
    <cfRule type="expression" dxfId="125" priority="218" stopIfTrue="1">
      <formula>S76&lt;&gt;""</formula>
    </cfRule>
  </conditionalFormatting>
  <conditionalFormatting sqref="S81">
    <cfRule type="expression" dxfId="124" priority="236" stopIfTrue="1">
      <formula>S81&lt;&gt;""</formula>
    </cfRule>
    <cfRule type="expression" dxfId="123" priority="237">
      <formula>S81=""</formula>
    </cfRule>
  </conditionalFormatting>
  <conditionalFormatting sqref="S13:W13">
    <cfRule type="expression" dxfId="122" priority="14879">
      <formula>OR(AND($BV$8="T",GW14="X"),AND($BV$3="No",$BV$8&lt;&gt;"T",GW17&gt;0))</formula>
    </cfRule>
  </conditionalFormatting>
  <conditionalFormatting sqref="S11:X13">
    <cfRule type="expression" dxfId="121" priority="39">
      <formula>$BV$3="Yes"</formula>
    </cfRule>
  </conditionalFormatting>
  <conditionalFormatting sqref="S13:X13 Y12:AD12 H12:R12">
    <cfRule type="cellIs" dxfId="120" priority="45" operator="greaterThan">
      <formula>0</formula>
    </cfRule>
  </conditionalFormatting>
  <conditionalFormatting sqref="S13:X13">
    <cfRule type="expression" dxfId="119" priority="461">
      <formula>AND(S12&lt;&gt;"",S13="Not OK")</formula>
    </cfRule>
  </conditionalFormatting>
  <conditionalFormatting sqref="T76">
    <cfRule type="expression" dxfId="118" priority="358" stopIfTrue="1">
      <formula>S76&lt;&gt;""</formula>
    </cfRule>
    <cfRule type="expression" dxfId="117" priority="359">
      <formula>S76=""</formula>
    </cfRule>
  </conditionalFormatting>
  <conditionalFormatting sqref="T81">
    <cfRule type="expression" dxfId="116" priority="286" stopIfTrue="1">
      <formula>S81&lt;&gt;""</formula>
    </cfRule>
    <cfRule type="expression" dxfId="115" priority="287">
      <formula>S81=""</formula>
    </cfRule>
  </conditionalFormatting>
  <conditionalFormatting sqref="U76">
    <cfRule type="expression" dxfId="114" priority="356" stopIfTrue="1">
      <formula>S76&lt;&gt;""</formula>
    </cfRule>
    <cfRule type="expression" dxfId="113" priority="357">
      <formula>S76=""</formula>
    </cfRule>
  </conditionalFormatting>
  <conditionalFormatting sqref="U81">
    <cfRule type="expression" dxfId="112" priority="285">
      <formula>S81=""</formula>
    </cfRule>
    <cfRule type="expression" dxfId="111" priority="284" stopIfTrue="1">
      <formula>S81&lt;&gt;""</formula>
    </cfRule>
  </conditionalFormatting>
  <conditionalFormatting sqref="V76">
    <cfRule type="expression" dxfId="110" priority="355">
      <formula>S76=""</formula>
    </cfRule>
    <cfRule type="expression" dxfId="109" priority="354" stopIfTrue="1">
      <formula>S76&lt;&gt;""</formula>
    </cfRule>
  </conditionalFormatting>
  <conditionalFormatting sqref="V81">
    <cfRule type="expression" dxfId="108" priority="187">
      <formula>V81=""</formula>
    </cfRule>
    <cfRule type="expression" dxfId="107" priority="186" stopIfTrue="1">
      <formula>V81&lt;&gt;""</formula>
    </cfRule>
  </conditionalFormatting>
  <conditionalFormatting sqref="W76">
    <cfRule type="expression" dxfId="106" priority="159">
      <formula>W76=""</formula>
    </cfRule>
    <cfRule type="expression" dxfId="105" priority="158" stopIfTrue="1">
      <formula>W76&lt;&gt;""</formula>
    </cfRule>
  </conditionalFormatting>
  <conditionalFormatting sqref="W81">
    <cfRule type="expression" dxfId="104" priority="191">
      <formula>V81=""</formula>
    </cfRule>
    <cfRule type="expression" dxfId="103" priority="190" stopIfTrue="1">
      <formula>V81&lt;&gt;""</formula>
    </cfRule>
  </conditionalFormatting>
  <conditionalFormatting sqref="X11">
    <cfRule type="expression" dxfId="102" priority="46">
      <formula>OR($BV$4="Yes",$BV$8="T")</formula>
    </cfRule>
  </conditionalFormatting>
  <conditionalFormatting sqref="X12:X13">
    <cfRule type="expression" dxfId="101" priority="41">
      <formula>OR($BV$4="Yes",$BV$8="T")</formula>
    </cfRule>
  </conditionalFormatting>
  <conditionalFormatting sqref="X13">
    <cfRule type="expression" dxfId="100" priority="47" stopIfTrue="1">
      <formula>AND($X$12="C",$X$13="OK")</formula>
    </cfRule>
  </conditionalFormatting>
  <conditionalFormatting sqref="X14">
    <cfRule type="notContainsBlanks" dxfId="99" priority="125">
      <formula>LEN(TRIM(X14))&gt;0</formula>
    </cfRule>
  </conditionalFormatting>
  <conditionalFormatting sqref="X76">
    <cfRule type="expression" dxfId="98" priority="164" stopIfTrue="1">
      <formula>W76&lt;&gt;""</formula>
    </cfRule>
    <cfRule type="expression" dxfId="97" priority="165">
      <formula>W76=""</formula>
    </cfRule>
  </conditionalFormatting>
  <conditionalFormatting sqref="X81">
    <cfRule type="expression" dxfId="96" priority="189">
      <formula>V81=""</formula>
    </cfRule>
    <cfRule type="expression" dxfId="95" priority="188" stopIfTrue="1">
      <formula>V81&lt;&gt;""</formula>
    </cfRule>
  </conditionalFormatting>
  <conditionalFormatting sqref="Y76">
    <cfRule type="expression" dxfId="94" priority="162" stopIfTrue="1">
      <formula>W76&lt;&gt;""</formula>
    </cfRule>
    <cfRule type="expression" dxfId="93" priority="163">
      <formula>W76=""</formula>
    </cfRule>
  </conditionalFormatting>
  <conditionalFormatting sqref="Y81">
    <cfRule type="expression" dxfId="92" priority="178" stopIfTrue="1">
      <formula>Y81&lt;&gt;""</formula>
    </cfRule>
    <cfRule type="expression" dxfId="91" priority="179">
      <formula>Y81=""</formula>
    </cfRule>
  </conditionalFormatting>
  <conditionalFormatting sqref="Y11:AB13">
    <cfRule type="expression" dxfId="90" priority="27">
      <formula>$F$8&lt;&gt;"Open Team Acrobatic"</formula>
    </cfRule>
  </conditionalFormatting>
  <conditionalFormatting sqref="Y13:AB13">
    <cfRule type="beginsWith" dxfId="89" priority="29" operator="beginsWith" text="OK">
      <formula>LEFT(Y13,LEN("OK"))="OK"</formula>
    </cfRule>
    <cfRule type="beginsWith" dxfId="88" priority="28" operator="beginsWith" text="Not">
      <formula>LEFT(Y13,LEN("Not"))="Not"</formula>
    </cfRule>
  </conditionalFormatting>
  <conditionalFormatting sqref="Z76">
    <cfRule type="expression" dxfId="87" priority="160" stopIfTrue="1">
      <formula>W76&lt;&gt;""</formula>
    </cfRule>
    <cfRule type="expression" dxfId="86" priority="161">
      <formula>W76=""</formula>
    </cfRule>
  </conditionalFormatting>
  <conditionalFormatting sqref="Z81">
    <cfRule type="expression" dxfId="85" priority="176" stopIfTrue="1">
      <formula>Y81&lt;&gt;""</formula>
    </cfRule>
    <cfRule type="expression" dxfId="84" priority="177">
      <formula>Y81=""</formula>
    </cfRule>
  </conditionalFormatting>
  <conditionalFormatting sqref="AA76">
    <cfRule type="expression" dxfId="83" priority="151">
      <formula>AA76=""</formula>
    </cfRule>
    <cfRule type="expression" dxfId="82" priority="150" stopIfTrue="1">
      <formula>AA76&lt;&gt;""</formula>
    </cfRule>
  </conditionalFormatting>
  <conditionalFormatting sqref="AA81">
    <cfRule type="expression" dxfId="81" priority="174" stopIfTrue="1">
      <formula>Y81&lt;&gt;""</formula>
    </cfRule>
    <cfRule type="expression" dxfId="80" priority="175">
      <formula>Y81=""</formula>
    </cfRule>
  </conditionalFormatting>
  <conditionalFormatting sqref="AA19:AB19 AA21:AB21 AA23:AB23 AA25:AB25 AA27:AB27 AA29:AB29 AA31:AB31 AA33:AB33 AA35:AB35 AA37:AB37 AA39:AB39 AA41:AB41 AA43:AB43 AA45:AB45 AA47:AB47 AA49:AB49 AA51:AB51 AA53:AB53 AA55:AB55 AA57:AB57 AA59:AB59 AA61:AB61 AA63:AB63 AA65:AB65 AA67:AB67">
    <cfRule type="expression" dxfId="79" priority="11979" stopIfTrue="1">
      <formula>AND($E20="H",X19&lt;&gt;"",AA19="",#REF!="No")</formula>
    </cfRule>
  </conditionalFormatting>
  <conditionalFormatting sqref="AA19:AH19 AA21:AM21 AA23:AM23 AA25:AM25 AA27:AM27 AA29:AM29 AA31:AM31 AA33:AM33 AA35:AM35 AA37:AM37 AA39:AM39 AA41:AM41 AA43:AM43 AA45:AM45 AA47:AM47 AA49:AM49 AA51:AM51 AA53:AM53 AA55:AM55 AA57:AM57 AA59:AM59 AA61:AM61 AA63:AM63 AA65:AM65 AA67:AM67">
    <cfRule type="expression" dxfId="78" priority="11978" stopIfTrue="1">
      <formula>AND($F21="",OR($E20=3,$E20="PA"))</formula>
    </cfRule>
  </conditionalFormatting>
  <conditionalFormatting sqref="AB76">
    <cfRule type="expression" dxfId="77" priority="156" stopIfTrue="1">
      <formula>AA76&lt;&gt;""</formula>
    </cfRule>
    <cfRule type="expression" dxfId="76" priority="157">
      <formula>AA76=""</formula>
    </cfRule>
  </conditionalFormatting>
  <conditionalFormatting sqref="AB81">
    <cfRule type="expression" dxfId="75" priority="231">
      <formula>AB81=""</formula>
    </cfRule>
    <cfRule type="expression" dxfId="74" priority="230" stopIfTrue="1">
      <formula>AB81&lt;&gt;""</formula>
    </cfRule>
  </conditionalFormatting>
  <conditionalFormatting sqref="AC76">
    <cfRule type="expression" dxfId="73" priority="155">
      <formula>AA76=""</formula>
    </cfRule>
    <cfRule type="expression" dxfId="72" priority="154" stopIfTrue="1">
      <formula>AA76&lt;&gt;""</formula>
    </cfRule>
  </conditionalFormatting>
  <conditionalFormatting sqref="AC81">
    <cfRule type="expression" dxfId="71" priority="269">
      <formula>AB81=""</formula>
    </cfRule>
    <cfRule type="expression" dxfId="70" priority="268" stopIfTrue="1">
      <formula>AB81&lt;&gt;""</formula>
    </cfRule>
  </conditionalFormatting>
  <conditionalFormatting sqref="AC19:AD19 AC21:AD21 AC23:AD23 AC25:AD25 AC27:AD27 AC29:AD29 AC31:AD31 AC33:AD33 AC35:AD35 AC37:AD37 AC39:AD39 AC41:AD41 AC43:AD43 AC45:AD45 AC47:AD47 AC49:AD49 AC51:AD51 AC53:AD53 AC55:AD55 AC57:AD57 AC59:AD59 AC61:AD61 AC63:AD63 AC65:AD65 AC67:AD67">
    <cfRule type="expression" dxfId="69" priority="12620" stopIfTrue="1">
      <formula>AND($E20="H",X19&lt;&gt;"",AC19="",#REF!="No")</formula>
    </cfRule>
  </conditionalFormatting>
  <conditionalFormatting sqref="AD76">
    <cfRule type="expression" dxfId="68" priority="152" stopIfTrue="1">
      <formula>AA76&lt;&gt;""</formula>
    </cfRule>
    <cfRule type="expression" dxfId="67" priority="153">
      <formula>AA76=""</formula>
    </cfRule>
  </conditionalFormatting>
  <conditionalFormatting sqref="AD81">
    <cfRule type="expression" dxfId="66" priority="267">
      <formula>AB81=""</formula>
    </cfRule>
    <cfRule type="expression" dxfId="65" priority="266" stopIfTrue="1">
      <formula>AB81&lt;&gt;""</formula>
    </cfRule>
  </conditionalFormatting>
  <conditionalFormatting sqref="AE76">
    <cfRule type="expression" dxfId="64" priority="143">
      <formula>AE76=""</formula>
    </cfRule>
    <cfRule type="expression" dxfId="63" priority="142" stopIfTrue="1">
      <formula>AE76&lt;&gt;""</formula>
    </cfRule>
  </conditionalFormatting>
  <conditionalFormatting sqref="AE81">
    <cfRule type="expression" dxfId="62" priority="228" stopIfTrue="1">
      <formula>AE81&lt;&gt;""</formula>
    </cfRule>
    <cfRule type="expression" dxfId="61" priority="229">
      <formula>AE81=""</formula>
    </cfRule>
  </conditionalFormatting>
  <conditionalFormatting sqref="AE19:AF19 AE21:AF21 AE23:AF23 AE25:AF25 AE27:AF27 AE29:AF29 AE31:AF31 AE33:AF33 AE35:AF35 AE37:AF37 AE39:AF39 AE41:AF41 AE43:AF43 AE45:AF45 AE47:AF47 AE49:AF49 AE51:AF51 AE53:AF53 AE55:AF55 AE57:AF57 AE59:AF59 AE61:AF61 AE63:AF63 AE65:AF65 AE67:AF67">
    <cfRule type="expression" dxfId="60" priority="13324" stopIfTrue="1">
      <formula>AND($E20="H",X19&lt;&gt;"",AE19="",#REF!="No")</formula>
    </cfRule>
  </conditionalFormatting>
  <conditionalFormatting sqref="AF76">
    <cfRule type="expression" dxfId="59" priority="148" stopIfTrue="1">
      <formula>AE76&lt;&gt;""</formula>
    </cfRule>
    <cfRule type="expression" dxfId="58" priority="149">
      <formula>AE76=""</formula>
    </cfRule>
  </conditionalFormatting>
  <conditionalFormatting sqref="AF81">
    <cfRule type="expression" dxfId="57" priority="263">
      <formula>AE81=""</formula>
    </cfRule>
    <cfRule type="expression" dxfId="56" priority="262" stopIfTrue="1">
      <formula>AE81&lt;&gt;""</formula>
    </cfRule>
  </conditionalFormatting>
  <conditionalFormatting sqref="AG76">
    <cfRule type="expression" dxfId="55" priority="147">
      <formula>AE76=""</formula>
    </cfRule>
    <cfRule type="expression" dxfId="54" priority="146" stopIfTrue="1">
      <formula>AE76&lt;&gt;""</formula>
    </cfRule>
  </conditionalFormatting>
  <conditionalFormatting sqref="AG81">
    <cfRule type="expression" dxfId="53" priority="261">
      <formula>AE81=""</formula>
    </cfRule>
    <cfRule type="expression" dxfId="52" priority="260" stopIfTrue="1">
      <formula>AE81&lt;&gt;""</formula>
    </cfRule>
  </conditionalFormatting>
  <conditionalFormatting sqref="AG19:AH19 AG21:AH21 AG23:AH23 AG25:AH25 AG27:AH27 AG29:AH29 AG31:AH31 AG33:AH33 AG35:AH35 AG37:AH37 AG39:AH39 AG41:AH41 AG43:AH43 AG45:AH45 AG47:AH47 AG49:AH49 AG51:AH51 AG53:AH53 AG55:AH55 AG57:AH57 AG59:AH59 AG61:AH61 AG63:AH63 AG65:AH65 AG67:AH67">
    <cfRule type="expression" dxfId="51" priority="14028" stopIfTrue="1">
      <formula>AND($E20="H",X19&lt;&gt;"",AG19="",#REF!="No")</formula>
    </cfRule>
  </conditionalFormatting>
  <conditionalFormatting sqref="AH76">
    <cfRule type="expression" dxfId="50" priority="144" stopIfTrue="1">
      <formula>AE76&lt;&gt;""</formula>
    </cfRule>
    <cfRule type="expression" dxfId="49" priority="145">
      <formula>AE76=""</formula>
    </cfRule>
  </conditionalFormatting>
  <conditionalFormatting sqref="AH81">
    <cfRule type="expression" dxfId="48" priority="226" stopIfTrue="1">
      <formula>AH81&lt;&gt;""</formula>
    </cfRule>
    <cfRule type="expression" dxfId="47" priority="227">
      <formula>AH81=""</formula>
    </cfRule>
  </conditionalFormatting>
  <conditionalFormatting sqref="AI76">
    <cfRule type="expression" dxfId="46" priority="135">
      <formula>AI76=""</formula>
    </cfRule>
    <cfRule type="expression" dxfId="45" priority="134" stopIfTrue="1">
      <formula>AI76&lt;&gt;""</formula>
    </cfRule>
  </conditionalFormatting>
  <conditionalFormatting sqref="AI81">
    <cfRule type="expression" dxfId="44" priority="257">
      <formula>AH81=""</formula>
    </cfRule>
    <cfRule type="expression" dxfId="43" priority="256" stopIfTrue="1">
      <formula>AH81&lt;&gt;""</formula>
    </cfRule>
  </conditionalFormatting>
  <conditionalFormatting sqref="AI19:AM19 AI21:AM21 AI23:AM23 AI25:AM25 AI27:AM27 AI29:AM29 AI31:AM31 AI33:AM33 AI35:AM35 AI37:AM37 AI39:AM39 AI41:AM41 AI43:AM43 AI45:AM45 AI47:AM47 AI49:AM49 AI51:AM51 AI53:AM53 AI55:AM55 AI57:AM57 AI59:AM59 AI61:AM61 AI63:AM63 AI65:AM65 AI67:AM67">
    <cfRule type="expression" dxfId="42" priority="14732" stopIfTrue="1">
      <formula>AND($E20="H",X19&lt;&gt;"",AI19="",#REF!="No")</formula>
    </cfRule>
  </conditionalFormatting>
  <conditionalFormatting sqref="AI19:AM19">
    <cfRule type="expression" dxfId="41" priority="14731" stopIfTrue="1">
      <formula>AND($F21="",OR($E20=3,$E20="PA"))</formula>
    </cfRule>
  </conditionalFormatting>
  <conditionalFormatting sqref="AJ76">
    <cfRule type="expression" dxfId="40" priority="141">
      <formula>AI76=""</formula>
    </cfRule>
    <cfRule type="expression" dxfId="39" priority="140" stopIfTrue="1">
      <formula>AI76&lt;&gt;""</formula>
    </cfRule>
  </conditionalFormatting>
  <conditionalFormatting sqref="AJ81">
    <cfRule type="expression" dxfId="38" priority="254" stopIfTrue="1">
      <formula>AH81&lt;&gt;""</formula>
    </cfRule>
    <cfRule type="expression" dxfId="37" priority="255">
      <formula>AH81=""</formula>
    </cfRule>
  </conditionalFormatting>
  <conditionalFormatting sqref="AK76">
    <cfRule type="expression" dxfId="36" priority="138" stopIfTrue="1">
      <formula>AI76&lt;&gt;""</formula>
    </cfRule>
    <cfRule type="expression" dxfId="35" priority="139">
      <formula>AI76=""</formula>
    </cfRule>
  </conditionalFormatting>
  <conditionalFormatting sqref="AK81">
    <cfRule type="expression" dxfId="34" priority="224" stopIfTrue="1">
      <formula>AK81&lt;&gt;""</formula>
    </cfRule>
    <cfRule type="expression" dxfId="33" priority="225">
      <formula>AK81=""</formula>
    </cfRule>
  </conditionalFormatting>
  <conditionalFormatting sqref="AL76">
    <cfRule type="expression" dxfId="32" priority="136" stopIfTrue="1">
      <formula>AI76&lt;&gt;""</formula>
    </cfRule>
    <cfRule type="expression" dxfId="31" priority="137">
      <formula>AI76=""</formula>
    </cfRule>
  </conditionalFormatting>
  <conditionalFormatting sqref="AL81">
    <cfRule type="expression" dxfId="30" priority="251">
      <formula>AK81=""</formula>
    </cfRule>
    <cfRule type="expression" dxfId="29" priority="250" stopIfTrue="1">
      <formula>AK81&lt;&gt;""</formula>
    </cfRule>
  </conditionalFormatting>
  <conditionalFormatting sqref="AM76">
    <cfRule type="expression" dxfId="28" priority="127">
      <formula>AM76=""</formula>
    </cfRule>
    <cfRule type="expression" dxfId="27" priority="126" stopIfTrue="1">
      <formula>AM76&lt;&gt;""</formula>
    </cfRule>
  </conditionalFormatting>
  <conditionalFormatting sqref="AM81">
    <cfRule type="expression" dxfId="26" priority="248" stopIfTrue="1">
      <formula>AK81&lt;&gt;""</formula>
    </cfRule>
    <cfRule type="expression" dxfId="25" priority="249">
      <formula>AK81=""</formula>
    </cfRule>
  </conditionalFormatting>
  <conditionalFormatting sqref="AN19 AN21 AN23 AN25 AN27 AN29 AN31 AN33 AN35 AN37 AN39 AN41 AN43 AN45 AN47 AN49 AN51 AN53 AN55 AN57 AN59 AN61 AN63 AN65 AN67">
    <cfRule type="expression" dxfId="24" priority="14880">
      <formula>OR(AND(AN19&lt;&gt;"",E20&lt;&gt;"H"),AND($AN19&lt;&gt;"",$BV$5&lt;&gt;"OK"))</formula>
    </cfRule>
  </conditionalFormatting>
  <conditionalFormatting sqref="AN76">
    <cfRule type="expression" dxfId="23" priority="133">
      <formula>AM76=""</formula>
    </cfRule>
    <cfRule type="expression" dxfId="22" priority="132" stopIfTrue="1">
      <formula>AM76&lt;&gt;""</formula>
    </cfRule>
  </conditionalFormatting>
  <conditionalFormatting sqref="AO13">
    <cfRule type="expression" dxfId="21" priority="2">
      <formula>AND($BA$17&gt;0,$C$10&lt;&gt;"")</formula>
    </cfRule>
  </conditionalFormatting>
  <conditionalFormatting sqref="AO18:AO58">
    <cfRule type="cellIs" dxfId="20" priority="460" operator="equal">
      <formula>0</formula>
    </cfRule>
  </conditionalFormatting>
  <conditionalFormatting sqref="AO20 AO22 AO24 AO26 AO28 AO30 AO32 AO34 AO36 AO38 AO40 AO42 AO44 AO46 AO48 AO50 AO52 AO54 AO56 AO58">
    <cfRule type="expression" dxfId="19" priority="14905">
      <formula>OR(AND(CO20="X",J19&lt;&gt;""),AND($BA19="X",$C$10&lt;&gt;""))</formula>
    </cfRule>
  </conditionalFormatting>
  <conditionalFormatting sqref="AO76">
    <cfRule type="expression" dxfId="18" priority="130" stopIfTrue="1">
      <formula>AM76&lt;&gt;""</formula>
    </cfRule>
    <cfRule type="expression" dxfId="17" priority="131">
      <formula>AM76=""</formula>
    </cfRule>
  </conditionalFormatting>
  <conditionalFormatting sqref="AQ22 AQ24 AQ26 AQ28 AQ30 AQ32 AQ34 AQ36 AQ38 AQ40 AQ42 AQ44 AQ46 AQ48 AQ50 AQ52 AQ54 AQ56 AQ58 AQ60 AQ62 AQ64 AQ66 AQ68">
    <cfRule type="expression" dxfId="16" priority="1525">
      <formula>CP22="X"</formula>
    </cfRule>
  </conditionalFormatting>
  <conditionalFormatting sqref="G19:G58">
    <cfRule type="cellIs" dxfId="15" priority="25" operator="equal">
      <formula>0</formula>
    </cfRule>
  </conditionalFormatting>
  <conditionalFormatting sqref="AR22:AT22 AR24:AT24 AR26:AT26 AR28:AT28 AR30:AT30 AR32:AT32 AR34:AT34 AR36:AT36 AR38:AT38 AR40:AT40 AR42:AT42 AR44:AT44 AR46:AT46 AR48:AT48 AR50:AT50 AR52:AT52 AR54:AT54 AR56:AT56 AR58:AT58 AR60:AT60 AR62:AT62 AR64:AT64 AR66:AT66 AR68:AT68">
    <cfRule type="expression" dxfId="14" priority="15149">
      <formula>CP22="X"</formula>
    </cfRule>
  </conditionalFormatting>
  <conditionalFormatting sqref="AU22 AU24 AU26 AU28 AU30 AU32 AU34 AU36 AU38 AU40 AU42 AU44 AU46 AU48 AU50 AU52 AU54 AU56 AU58 AU60 AU62 AU64 AU66 AU68">
    <cfRule type="expression" dxfId="13" priority="1497">
      <formula>CR22="X"</formula>
    </cfRule>
  </conditionalFormatting>
  <conditionalFormatting sqref="AV22 AV24 AV26 AV28 AV30 AV32 AV34 AV36 AV38 AV40 AV42 AV44 AV46 AV48 AV50 AV52 AV54 AV56 AV58 AV60 AV62 AV64 AV66 AV68">
    <cfRule type="expression" dxfId="12" priority="1469">
      <formula>CP22="X"</formula>
    </cfRule>
  </conditionalFormatting>
  <conditionalFormatting sqref="AW60 AW62 AW64 AW66 AW68">
    <cfRule type="expression" dxfId="11" priority="1441">
      <formula>CP60="X"</formula>
    </cfRule>
  </conditionalFormatting>
  <conditionalFormatting sqref="AX60:AY60 AX62:AY62 AX64:AY64 AX66:AY66 AX68:AY68">
    <cfRule type="expression" dxfId="10" priority="10838">
      <formula>CP60="X"</formula>
    </cfRule>
  </conditionalFormatting>
  <conditionalFormatting sqref="AZ60 AZ62 AZ64 AZ66 AZ68">
    <cfRule type="expression" dxfId="9" priority="10563">
      <formula>CQ60="X"</formula>
    </cfRule>
  </conditionalFormatting>
  <conditionalFormatting sqref="BA60 BA62 BA64 BA66 BA68">
    <cfRule type="expression" dxfId="8" priority="10288">
      <formula>CQ60="X"</formula>
    </cfRule>
  </conditionalFormatting>
  <conditionalFormatting sqref="BB22 BB24 BB26 BB28 BB30 BB32 BB34 BB36 BB38 BB40 BB42 BB44 BB46 BB48 BB50 BB52 BB54 BB56 BB58 BB60 BB62 BB64 BB66 BB68">
    <cfRule type="expression" dxfId="7" priority="10013">
      <formula>CQ22="X"</formula>
    </cfRule>
  </conditionalFormatting>
  <conditionalFormatting sqref="BC22 BC24 BC26 BC28 BC30 BC32 BC34 BC36 BC38 BC40 BC42 BC44 BC46 BC48 BC50 BC52 BC54 BC56 BC58 BC60 BC62 BC64 BC66 BC68">
    <cfRule type="expression" dxfId="6" priority="9738">
      <formula>CQ22="X"</formula>
    </cfRule>
  </conditionalFormatting>
  <conditionalFormatting sqref="BD22 BD24 BD26 BD28 BD30 BD32 BD34 BD36 BD38 BD40 BD42 BD44 BD46 BD48 BD50 BD52 BD54 BD56 BD58 BD60 BD62 BD64 BD66 BD68">
    <cfRule type="expression" dxfId="5" priority="9463">
      <formula>CQ22="X"</formula>
    </cfRule>
  </conditionalFormatting>
  <conditionalFormatting sqref="BE22 BE24 BE26 BE28 BE30 BE32 BE34 BE36 BE38 BE40 BE42 BE44 BE46 BE48 BE50 BE52 BE54 BE56 BE58 BE60 BE62 BE64 BE66 BE68">
    <cfRule type="expression" dxfId="4" priority="1413">
      <formula>CQ22="X"</formula>
    </cfRule>
  </conditionalFormatting>
  <conditionalFormatting sqref="BF22 BH22 BF24 BH24 BF26 BH26 BF28 BH28 BF30 BH30 BF32 BH32 BF34 BH34 BF36 BH36 BF38 BH38 BF40 BH40 BF42 BH42 BF44 BH44 BF46 BH46 BF48 BH48 BF50 BH50 BF52 BH52 BF54 BH54 BF56 BH56 BF58 BH58 BF60 BH60 BF62 BH62 BF64 BH64 BF66 BH66 BF68 BH68">
    <cfRule type="expression" dxfId="3" priority="8910">
      <formula>CP22="X"</formula>
    </cfRule>
  </conditionalFormatting>
  <conditionalFormatting sqref="CM22 CM24 CM26 CM28 CM30 CM32 CM34 CM36 CM38 CM40 CM42 CM44 CM46 CM48 CM50 CM52 CM54 CM56 CM58 CM60 CM62 CM64 CM66 CM68">
    <cfRule type="expression" dxfId="2" priority="1329">
      <formula>CP22="X"</formula>
    </cfRule>
  </conditionalFormatting>
  <conditionalFormatting sqref="CN20 CN22 CN24 CN26 CN28 CN30 CN32 CN34 CN36 CN38 CN40 CN42 CN44 CN46 CN48 CN50 CN52 CN54 CN56 CN58 CN60 CN62 CN64 CN66 CN68">
    <cfRule type="expression" dxfId="1" priority="426">
      <formula>CP20="X"</formula>
    </cfRule>
  </conditionalFormatting>
  <conditionalFormatting sqref="A10:D11">
    <cfRule type="expression" dxfId="0" priority="1">
      <formula>$AX$17=0</formula>
    </cfRule>
  </conditionalFormatting>
  <dataValidations count="10">
    <dataValidation type="list" allowBlank="1" showInputMessage="1" showErrorMessage="1" sqref="C19 C21 C69 C23 C25 C27 C29 C31 C33 C35 C37 C39 C41 C43 C45 C47 C49 C51 C53 C55 C57 C59 C61 C63 C65 C67" xr:uid="{00000000-0002-0000-0100-000000000000}">
      <formula1>"00,01,02,03"</formula1>
    </dataValidation>
    <dataValidation type="list" allowBlank="1" showInputMessage="1" showErrorMessage="1" sqref="D19 D21 D69 D23 D25 D27 D29 D31 D33 D35 D37 D39 D41 D43 D45 D47 D49 D51 D53 D55 D57 D59 D61 D63 D65 D67" xr:uid="{00000000-0002-0000-0100-000001000000}">
      <formula1>"00,01,02,03,04,05,06,07,08,09,10,11,12,13,14,15,16,17,18,19,20,21,22,23,24,25,26,27,28,29,30,31,32,33,34,35,36,37,38,39,40,41,42,43,44,45,46,47,48,49,50,51,52,53,54,55,56,57,58,59"</formula1>
    </dataValidation>
    <dataValidation type="list" allowBlank="1" showInputMessage="1" showErrorMessage="1" sqref="L7:L8" xr:uid="{00000000-0002-0000-0100-000002000000}">
      <formula1>"Y,N,y,n"</formula1>
    </dataValidation>
    <dataValidation type="list" allowBlank="1" showInputMessage="1" showErrorMessage="1" sqref="A5:D5" xr:uid="{00000000-0002-0000-0100-000003000000}">
      <formula1>"Federation:,Club:"</formula1>
    </dataValidation>
    <dataValidation type="list" allowBlank="1" showInputMessage="1" showErrorMessage="1" sqref="J67:Z67 J59:Z59 J61:Z61 J63:Z63 J65:Z65 J19:AM19 J21:AM21 J23:AM23 J25:AM25 J27:AM27 J29:AM29 J31:AM31 J33:AM33 J35:AM35 J37:AM37 J39:AM39 J41:AM41 J43:AM43 J45:AM45 J47:AM47 J49:AM49 J51:AM51 J53:AM53 J55:AM55 J57:AM57" xr:uid="{00000000-0002-0000-0100-000004000000}">
      <formula1>INDIRECT(BI19)</formula1>
    </dataValidation>
    <dataValidation type="list" allowBlank="1" showInputMessage="1" showErrorMessage="1" sqref="AA61:AB61 AA63:AB63 AA65:AB65 AA67:AB67 AA59:AB59" xr:uid="{00000000-0002-0000-0100-000005000000}">
      <formula1>INDIRECT(BX59)</formula1>
    </dataValidation>
    <dataValidation type="list" allowBlank="1" showInputMessage="1" showErrorMessage="1" sqref="AC67:AD67 AC65:AD65 AC63:AD63 AC59:AD59 AC61:AD61" xr:uid="{00000000-0002-0000-0100-000006000000}">
      <formula1>INDIRECT(BX59)</formula1>
    </dataValidation>
    <dataValidation type="list" allowBlank="1" showInputMessage="1" showErrorMessage="1" sqref="AE61:AF61 AE63:AF63 AE65:AF65 AE67:AF67 AE59:AF59" xr:uid="{00000000-0002-0000-0100-000007000000}">
      <formula1>INDIRECT(BX59)</formula1>
    </dataValidation>
    <dataValidation type="list" allowBlank="1" showInputMessage="1" showErrorMessage="1" sqref="AG67:AH67 AG65:AH65 AG63:AH63 AG59:AH59 AG61:AH61" xr:uid="{00000000-0002-0000-0100-000008000000}">
      <formula1>INDIRECT(BX59)</formula1>
    </dataValidation>
    <dataValidation type="list" allowBlank="1" showInputMessage="1" showErrorMessage="1" sqref="AI67:AM67 AI61:AM61 AI63:AM63 AI65:AM65 AI59:AM59" xr:uid="{00000000-0002-0000-0100-000009000000}">
      <formula1>INDIRECT(BX59)</formula1>
    </dataValidation>
  </dataValidations>
  <printOptions horizontalCentered="1" verticalCentered="1"/>
  <pageMargins left="0.25" right="0.25" top="0.75" bottom="0.75" header="0.3" footer="0.3"/>
  <pageSetup scale="58" orientation="landscape" horizontalDpi="4294967293" verticalDpi="0"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32" id="{738B32AF-74F7-400B-88A7-B74A2C056FA2}">
            <xm:f>AND(NOT(ISERROR(VLOOKUP(J19,TREDD!$E$3:$E$13,1,FALSE))),E20=3)</xm:f>
            <x14:dxf>
              <font>
                <color theme="0"/>
              </font>
              <fill>
                <patternFill>
                  <bgColor rgb="FFFF0000"/>
                </patternFill>
              </fill>
            </x14:dxf>
          </x14:cfRule>
          <xm:sqref>J19 J21 J23 J25 J27 J29 J31 J33 J35 J37 J39 J41 J43 J45 J47 J49 J51 J53 J55 J57 J59 J61 J63 J65 J67 J69</xm:sqref>
        </x14:conditionalFormatting>
        <x14:conditionalFormatting xmlns:xm="http://schemas.microsoft.com/office/excel/2006/main">
          <x14:cfRule type="expression" priority="18" id="{25D8D157-A45C-4751-954C-46A4CD9A2562}">
            <xm:f>AND($EI19="X",INDEX(HybridDD!$A$4:$A$473,MATCH(J19,HybridDD!$B$4:$B$473,0))=$EI20)</xm:f>
            <x14:dxf>
              <font>
                <b/>
                <i val="0"/>
                <color theme="0"/>
              </font>
              <fill>
                <patternFill>
                  <bgColor rgb="FFFF0000"/>
                </patternFill>
              </fill>
            </x14:dxf>
          </x14:cfRule>
          <xm:sqref>J19:AM19 J21:AM21 J23:AM23 J25:AM25 J27:AM27 J29:AM29 J31:AM31 J33:AM33 J35:AM35 J37:AM37 J39:AM39 J41:AM41 J43:AM43 J45:AM45 J47:AM47 J49:AM49 J51:AM51 J53:AM53 J55:AM55 J57:AM57 J59:AM59 J61:AM61 J63:AM63 J65:AM65 J67:AM67</xm:sqref>
        </x14:conditionalFormatting>
      </x14:conditionalFormattings>
    </ext>
    <ext xmlns:x14="http://schemas.microsoft.com/office/spreadsheetml/2009/9/main" uri="{CCE6A557-97BC-4b89-ADB6-D9C93CAAB3DF}">
      <x14:dataValidations xmlns:xm="http://schemas.microsoft.com/office/excel/2006/main" count="24">
        <x14:dataValidation type="list" allowBlank="1" showInputMessage="1" showErrorMessage="1" xr:uid="{00000000-0002-0000-0100-00000A000000}">
          <x14:formula1>
            <xm:f>IF(AND($BV$5="OK",E20="H",H19&lt;&gt;"No DD",F19&lt;&gt;"Hybrid - Solo",F19&lt;&gt;"Hybrid - Duet"),HybridBonus_Code,Data!$BI$1:$BI$5)</xm:f>
          </x14:formula1>
          <xm:sqref>AN19 AN21 AN23 AN25 AN27 AN29 AN31 AN33 AN35 AN37 AN39 AN41 AN43 AN45 AN47 AN49 AN51 AN53 AN55 AN57 AN59 AN61 AN63 AN65 AN67</xm:sqref>
        </x14:dataValidation>
        <x14:dataValidation type="list" allowBlank="1" showInputMessage="1" showErrorMessage="1" xr:uid="{00000000-0002-0000-0100-00000B000000}">
          <x14:formula1>
            <xm:f>IF(E70="H",HybridDD,IF(E70=3,Data!$BJ$1:$BJ$5,IF(E70="A",AcroADD2,IF(E70="B",AcroBDD2,IF(E70="C",AcroCDD2,IF(E70="P",AcroPDD2,Data!$BJ$1:$BJ$5))))))</xm:f>
          </x14:formula1>
          <xm:sqref>K69</xm:sqref>
        </x14:dataValidation>
        <x14:dataValidation type="list" allowBlank="1" showInputMessage="1" showErrorMessage="1" xr:uid="{00000000-0002-0000-0100-00000C000000}">
          <x14:formula1>
            <xm:f>IF(E70="H",HybridDD,IF(E70=3,Data!$BJ$1:$BJ$5,IF(E70="A",AcroADD3,IF(E70="B",AcroBDD3,IF(E70="C",AcroCDD3,IF(E70="P",AcroPDD3,Data!$BJ$1:$BJ$5))))))</xm:f>
          </x14:formula1>
          <xm:sqref>L69</xm:sqref>
        </x14:dataValidation>
        <x14:dataValidation type="list" allowBlank="1" showInputMessage="1" showErrorMessage="1" xr:uid="{00000000-0002-0000-0100-00000D000000}">
          <x14:formula1>
            <xm:f>IF(E70="H",HybridDD,IF(E70=3,Data!$BJ$1:$BJ$5,IF(E70="A",AcroADD4p1,IF(E70="B",AcroBDD4p1,IF(E70="C",AcroCDD4p1,IF(E70="P",AcroPDD4p1,Data!$BJ$1:$BJ$5))))))</xm:f>
          </x14:formula1>
          <xm:sqref>M69</xm:sqref>
        </x14:dataValidation>
        <x14:dataValidation type="list" allowBlank="1" showInputMessage="1" showErrorMessage="1" xr:uid="{00000000-0002-0000-0100-00000E000000}">
          <x14:formula1>
            <xm:f>IF(E70="H",HybridDD,Data!$BJ$1:$BJ$5)</xm:f>
          </x14:formula1>
          <xm:sqref>Q69</xm:sqref>
        </x14:dataValidation>
        <x14:dataValidation type="list" allowBlank="1" showInputMessage="1" showErrorMessage="1" xr:uid="{00000000-0002-0000-0100-00000F000000}">
          <x14:formula1>
            <xm:f>IF(E70="H",HybridDD,Data!$BJ$1:$BJ$5)</xm:f>
          </x14:formula1>
          <xm:sqref>R69</xm:sqref>
        </x14:dataValidation>
        <x14:dataValidation type="list" allowBlank="1" showInputMessage="1" showErrorMessage="1" xr:uid="{00000000-0002-0000-0100-000010000000}">
          <x14:formula1>
            <xm:f>IF(E70="H",HybridDD,Data!$BJ$1:$BJ$5)</xm:f>
          </x14:formula1>
          <xm:sqref>AC69</xm:sqref>
        </x14:dataValidation>
        <x14:dataValidation type="list" allowBlank="1" showInputMessage="1" showErrorMessage="1" xr:uid="{00000000-0002-0000-0100-000011000000}">
          <x14:formula1>
            <xm:f>IF(E70="H",HybridDD,Data!$BJ$1:$BJ$5)</xm:f>
          </x14:formula1>
          <xm:sqref>AB69</xm:sqref>
        </x14:dataValidation>
        <x14:dataValidation type="list" allowBlank="1" showInputMessage="1" showErrorMessage="1" xr:uid="{00000000-0002-0000-0100-000012000000}">
          <x14:formula1>
            <xm:f>IF(E70="H",HybridDD,Data!$BJ$1:$BJ$5)</xm:f>
          </x14:formula1>
          <xm:sqref>X69</xm:sqref>
        </x14:dataValidation>
        <x14:dataValidation type="list" allowBlank="1" showInputMessage="1" showErrorMessage="1" xr:uid="{00000000-0002-0000-0100-000013000000}">
          <x14:formula1>
            <xm:f>IF(E70="H",HybridDD,Data!$BJ$1:$BJ$5)</xm:f>
          </x14:formula1>
          <xm:sqref>W69</xm:sqref>
        </x14:dataValidation>
        <x14:dataValidation type="list" allowBlank="1" showInputMessage="1" showErrorMessage="1" xr:uid="{00000000-0002-0000-0100-000014000000}">
          <x14:formula1>
            <xm:f>IF(E70="H",HybridDD,Data!$BJ$1:$BJ$5)</xm:f>
          </x14:formula1>
          <xm:sqref>T69</xm:sqref>
        </x14:dataValidation>
        <x14:dataValidation type="list" allowBlank="1" showInputMessage="1" showErrorMessage="1" xr:uid="{00000000-0002-0000-0100-000015000000}">
          <x14:formula1>
            <xm:f>IF(E70="H",HybridDD,Data!$BJ$1:$BJ$5)</xm:f>
          </x14:formula1>
          <xm:sqref>U69</xm:sqref>
        </x14:dataValidation>
        <x14:dataValidation type="list" allowBlank="1" showInputMessage="1" showErrorMessage="1" xr:uid="{00000000-0002-0000-0100-000016000000}">
          <x14:formula1>
            <xm:f>IF(E70="H",HybridDD,Data!$BJ$1:$BJ$5)</xm:f>
          </x14:formula1>
          <xm:sqref>S69</xm:sqref>
        </x14:dataValidation>
        <x14:dataValidation type="list" allowBlank="1" showInputMessage="1" showErrorMessage="1" xr:uid="{00000000-0002-0000-0100-000017000000}">
          <x14:formula1>
            <xm:f>IF(E70="H",HybridDD,Data!$BJ$1:$BJ$5)</xm:f>
          </x14:formula1>
          <xm:sqref>V69</xm:sqref>
        </x14:dataValidation>
        <x14:dataValidation type="list" allowBlank="1" showInputMessage="1" showErrorMessage="1" xr:uid="{00000000-0002-0000-0100-000018000000}">
          <x14:formula1>
            <xm:f>IF(E70="H",HybridDD,IF(E70=3,Data!$BJ$1:$BJ$5,IF(E70="A",AcroADD4p2,IF(E70="B",AcroBDD4p2,IF(E70="C",AcroCDD4p2,IF(E70="P",AcroPDD4p2,Data!$BJ$1:$BJ$5))))))</xm:f>
          </x14:formula1>
          <xm:sqref>N69</xm:sqref>
        </x14:dataValidation>
        <x14:dataValidation type="list" allowBlank="1" showInputMessage="1" showErrorMessage="1" xr:uid="{00000000-0002-0000-0100-000019000000}">
          <x14:formula1>
            <xm:f>IF(E70="H",HybridDD,IF(E70=3,Data!$BJ$1:$BJ$5,IF(E70="A",AcroADD5,IF(E70="B",AcroBDD5,IF(E70="C",AcroCDD5,IF(E70="P",AcroPDD5,Data!$BJ$1:$BJ$5))))))</xm:f>
          </x14:formula1>
          <xm:sqref>O69</xm:sqref>
        </x14:dataValidation>
        <x14:dataValidation type="list" allowBlank="1" showInputMessage="1" showErrorMessage="1" xr:uid="{00000000-0002-0000-0100-00001A000000}">
          <x14:formula1>
            <xm:f>IF(E70="H",HybridDD,IF(E70=3,Data!$BJ$1:$BJ$5,IF(E70="A",Data!$BJ$1:$BJ$5,IF(E70="B",Data!$BJ$1:$BJ$5,IF(E70="C",AcroCDD6,IF(E70="P",Data!$BJ$1:$BJ$5,Data!$BJ$1:$BJ$5))))))</xm:f>
          </x14:formula1>
          <xm:sqref>P69</xm:sqref>
        </x14:dataValidation>
        <x14:dataValidation type="list" allowBlank="1" showInputMessage="1" showErrorMessage="1" xr:uid="{00000000-0002-0000-0100-00001B000000}">
          <x14:formula1>
            <xm:f>IF(E70="H",HybridDD,IF(E70=3,TreDD,IF(E70="A",AcroADD1,IF(E70="B",AcroBDD1,IF(E70="C",AcroCDD1,IF(E70="P",AcroPDD1,IF(E70="PA",AcroPairDD,Data!$BJ$1:$BJ$5)))))))</xm:f>
          </x14:formula1>
          <xm:sqref>J69</xm:sqref>
        </x14:dataValidation>
        <x14:dataValidation type="list" allowBlank="1" showInputMessage="1" showErrorMessage="1" xr:uid="{00000000-0002-0000-0100-00001C000000}">
          <x14:formula1>
            <xm:f>IF(D70="H",HybridDD,Data!$BJ$1:$BJ$5)</xm:f>
          </x14:formula1>
          <xm:sqref>Y69</xm:sqref>
        </x14:dataValidation>
        <x14:dataValidation type="list" allowBlank="1" showInputMessage="1" showErrorMessage="1" xr:uid="{00000000-0002-0000-0100-00001D000000}">
          <x14:formula1>
            <xm:f>IF(D70="H",HybridDD,Data!$BJ$1:$BJ$5)</xm:f>
          </x14:formula1>
          <xm:sqref>Z69:AA69</xm:sqref>
        </x14:dataValidation>
        <x14:dataValidation type="list" allowBlank="1" showInputMessage="1" showErrorMessage="1" xr:uid="{00000000-0002-0000-0100-00001E000000}">
          <x14:formula1>
            <xm:f>IF($BV$8="T",Data!$C$14:$C$16,IF($BV$8="F",Data!$C$10:$C$11,IF($BV$8="A",Data!$C$14:$C$16,Data!$C$3:$C$7)))</xm:f>
          </x14:formula1>
          <xm:sqref>F7</xm:sqref>
        </x14:dataValidation>
        <x14:dataValidation type="list" allowBlank="1" showInputMessage="1" showErrorMessage="1" xr:uid="{00000000-0002-0000-0100-00001F000000}">
          <x14:formula1>
            <xm:f>IF($BV$7=1,Data!$A$17:$A$22,IF($BV$7=2,Data!$A$25:$A$35,Data!$A$3:$A$14))</xm:f>
          </x14:formula1>
          <xm:sqref>F8</xm:sqref>
        </x14:dataValidation>
        <x14:dataValidation type="list" allowBlank="1" showInputMessage="1" showErrorMessage="1" xr:uid="{00000000-0002-0000-0100-000020000000}">
          <x14:formula1>
            <xm:f>Data!$E$2:$E$11</xm:f>
          </x14:formula1>
          <xm:sqref>F19 F69 F21 F23 F25 F27 F29 F31 F33 F35 F37 F39 F41 F43 F45 F47 F49 F51 F53 F55 F57 F59 F61 F63 F65 F67</xm:sqref>
        </x14:dataValidation>
        <x14:dataValidation type="list" allowBlank="1" showInputMessage="1" xr:uid="{00000000-0002-0000-0100-000021000000}">
          <x14:formula1>
            <xm:f>IF($A$5="Federation:",Data!$CF$1:$CF$209,IF(Instructions!$K$3&lt;&gt;"",Instructions!$K$2:$K$27,Data!$CH$1:$CH$2))</xm:f>
          </x14:formula1>
          <xm:sqref>F5:I5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A1:X47"/>
  <sheetViews>
    <sheetView zoomScale="85" zoomScaleNormal="85" workbookViewId="0">
      <selection activeCell="S6" sqref="S6:T7"/>
    </sheetView>
  </sheetViews>
  <sheetFormatPr defaultColWidth="9.140625" defaultRowHeight="12.75" x14ac:dyDescent="0.25"/>
  <cols>
    <col min="1" max="1" width="14.85546875" style="80" customWidth="1"/>
    <col min="2" max="2" width="12" style="80" customWidth="1"/>
    <col min="3" max="3" width="4" style="80" customWidth="1"/>
    <col min="4" max="4" width="1.85546875" style="80" customWidth="1"/>
    <col min="5" max="6" width="12.7109375" style="80" customWidth="1"/>
    <col min="7" max="7" width="1.85546875" style="80" customWidth="1"/>
    <col min="8" max="8" width="31" style="80" customWidth="1"/>
    <col min="9" max="9" width="1.85546875" style="80" customWidth="1"/>
    <col min="10" max="10" width="19.140625" style="80" customWidth="1"/>
    <col min="11" max="11" width="18" style="80" customWidth="1"/>
    <col min="12" max="12" width="1.85546875" style="80" customWidth="1"/>
    <col min="13" max="13" width="11.140625" style="80" customWidth="1"/>
    <col min="14" max="14" width="8.42578125" style="80" customWidth="1"/>
    <col min="15" max="15" width="7.5703125" style="80" customWidth="1"/>
    <col min="16" max="16" width="9.140625" style="141" customWidth="1"/>
    <col min="17" max="20" width="9.140625" style="80"/>
    <col min="21" max="21" width="9.140625" style="257" customWidth="1"/>
    <col min="22" max="22" width="9.140625" style="141" customWidth="1"/>
    <col min="23" max="24" width="0" style="141" hidden="1" customWidth="1"/>
    <col min="25" max="16384" width="9.140625" style="80"/>
  </cols>
  <sheetData>
    <row r="1" spans="1:24" ht="12" customHeight="1" x14ac:dyDescent="0.25">
      <c r="A1" s="79"/>
    </row>
    <row r="2" spans="1:24" ht="39.950000000000003" customHeight="1" x14ac:dyDescent="0.25">
      <c r="H2" s="97" t="s">
        <v>627</v>
      </c>
    </row>
    <row r="3" spans="1:24" ht="15" customHeight="1" x14ac:dyDescent="0.25"/>
    <row r="4" spans="1:24" ht="9" customHeight="1" x14ac:dyDescent="0.25">
      <c r="A4" s="81" t="str">
        <f>CONCATENATE("In force as from September 2025  -  ",'Coach Card'!AO4)</f>
        <v>In force as from September 2025  -  v. 8.5</v>
      </c>
    </row>
    <row r="5" spans="1:24" ht="33" customHeight="1" x14ac:dyDescent="0.25">
      <c r="A5" s="368" t="str">
        <f>IF('Coach Card'!A5="Club:","Club:",CONCATENATE("AQUA Member Federation:"))</f>
        <v>AQUA Member Federation:</v>
      </c>
      <c r="B5" s="369"/>
      <c r="C5" s="370"/>
      <c r="D5" s="82"/>
      <c r="E5" s="347" t="str">
        <f>IF('Coach Card'!A5="Club:",IF('Coach Card'!F5&lt;&gt;"",'Coach Card'!F5,""),IF('Coach Card'!F5&lt;&gt;"",CONCATENATE('Coach Card'!F5," - ",'Coach Card'!L5),""))</f>
        <v/>
      </c>
      <c r="F5" s="347"/>
      <c r="G5" s="347"/>
      <c r="H5" s="347"/>
      <c r="I5" s="347"/>
      <c r="J5" s="347"/>
      <c r="K5" s="347"/>
      <c r="L5" s="347"/>
      <c r="M5" s="347"/>
      <c r="N5" s="347"/>
      <c r="O5" s="347"/>
      <c r="P5" s="347"/>
      <c r="Q5" s="347"/>
      <c r="R5" s="391"/>
      <c r="S5" s="381" t="s">
        <v>1374</v>
      </c>
      <c r="T5" s="382"/>
    </row>
    <row r="6" spans="1:24" ht="33" customHeight="1" x14ac:dyDescent="0.25">
      <c r="A6" s="368" t="s">
        <v>605</v>
      </c>
      <c r="B6" s="369"/>
      <c r="C6" s="370"/>
      <c r="D6" s="82"/>
      <c r="E6" s="347" t="str">
        <f>IF('Coach Card'!F6&lt;&gt;"",'Coach Card'!F6,"")</f>
        <v/>
      </c>
      <c r="F6" s="347"/>
      <c r="G6" s="347"/>
      <c r="H6" s="347"/>
      <c r="I6" s="347"/>
      <c r="J6" s="347"/>
      <c r="K6" s="347"/>
      <c r="L6" s="347"/>
      <c r="M6" s="347"/>
      <c r="N6" s="347"/>
      <c r="O6" s="347"/>
      <c r="P6" s="347"/>
      <c r="Q6" s="347"/>
      <c r="R6" s="391"/>
      <c r="S6" s="383"/>
      <c r="T6" s="384"/>
    </row>
    <row r="7" spans="1:24" ht="33" customHeight="1" x14ac:dyDescent="0.25">
      <c r="A7" s="368" t="s">
        <v>4</v>
      </c>
      <c r="B7" s="369"/>
      <c r="C7" s="370"/>
      <c r="D7" s="82"/>
      <c r="E7" s="347" t="str">
        <f>IF('Coach Card'!F7&lt;&gt;"",'Coach Card'!F7,"")</f>
        <v/>
      </c>
      <c r="F7" s="347"/>
      <c r="G7" s="347"/>
      <c r="H7" s="347"/>
      <c r="I7" s="347"/>
      <c r="J7" s="347"/>
      <c r="K7" s="347"/>
      <c r="L7" s="347"/>
      <c r="M7" s="347"/>
      <c r="N7" s="347"/>
      <c r="O7" s="347"/>
      <c r="P7" s="347"/>
      <c r="Q7" s="347"/>
      <c r="R7" s="391"/>
      <c r="S7" s="385"/>
      <c r="T7" s="386"/>
    </row>
    <row r="8" spans="1:24" ht="18" customHeight="1" x14ac:dyDescent="0.25">
      <c r="A8" s="378" t="s">
        <v>606</v>
      </c>
      <c r="B8" s="379"/>
      <c r="C8" s="380"/>
      <c r="D8" s="83" t="str">
        <f>IF('Coach Card'!N5&lt;&gt;"","X","")</f>
        <v/>
      </c>
      <c r="E8" s="357" t="s">
        <v>607</v>
      </c>
      <c r="F8" s="359"/>
      <c r="G8" s="83" t="str">
        <f>IF('Coach Card'!P5&lt;&gt;"","X","")</f>
        <v>X</v>
      </c>
      <c r="H8" s="235" t="s">
        <v>608</v>
      </c>
      <c r="I8" s="84"/>
      <c r="J8" s="244"/>
      <c r="K8" s="244"/>
      <c r="L8" s="85"/>
      <c r="M8" s="244"/>
      <c r="N8" s="245"/>
      <c r="O8" s="246"/>
      <c r="P8" s="387"/>
      <c r="Q8" s="388"/>
      <c r="R8" s="388"/>
      <c r="S8" s="388"/>
      <c r="T8" s="388"/>
    </row>
    <row r="9" spans="1:24" ht="18.95" customHeight="1" x14ac:dyDescent="0.15">
      <c r="A9" s="86"/>
      <c r="B9" s="87"/>
      <c r="C9" s="88"/>
      <c r="D9" s="83" t="str">
        <f>IF('Coach Card'!F8=E9,"X","")</f>
        <v/>
      </c>
      <c r="E9" s="357" t="s">
        <v>1334</v>
      </c>
      <c r="F9" s="359"/>
      <c r="G9" s="83" t="str">
        <f>IF('Coach Card'!F8=H9,"X","")</f>
        <v/>
      </c>
      <c r="H9" s="235" t="s">
        <v>3</v>
      </c>
      <c r="I9" s="83" t="str">
        <f>IF('Coach Card'!F8=J9,"X","")</f>
        <v/>
      </c>
      <c r="J9" s="357" t="s">
        <v>1336</v>
      </c>
      <c r="K9" s="359"/>
      <c r="L9" s="83" t="str">
        <f>IF('Coach Card'!F8=M9,"X","")</f>
        <v/>
      </c>
      <c r="M9" s="357" t="s">
        <v>10</v>
      </c>
      <c r="N9" s="358"/>
      <c r="O9" s="359"/>
      <c r="P9" s="387"/>
      <c r="Q9" s="388"/>
      <c r="R9" s="388"/>
      <c r="S9" s="388"/>
      <c r="T9" s="388"/>
    </row>
    <row r="10" spans="1:24" ht="18" customHeight="1" x14ac:dyDescent="0.25">
      <c r="A10" s="372"/>
      <c r="B10" s="373"/>
      <c r="C10" s="374"/>
      <c r="D10" s="83" t="str">
        <f>IF('Coach Card'!F8=E10,"X","")</f>
        <v/>
      </c>
      <c r="E10" s="357" t="s">
        <v>1335</v>
      </c>
      <c r="F10" s="359"/>
      <c r="G10" s="83" t="str">
        <f>IF('Coach Card'!F8=H10,"X","")</f>
        <v/>
      </c>
      <c r="H10" s="235" t="s">
        <v>9</v>
      </c>
      <c r="I10" s="83" t="str">
        <f>IF('Coach Card'!F8=J10,"X","")</f>
        <v/>
      </c>
      <c r="J10" s="357" t="s">
        <v>1337</v>
      </c>
      <c r="K10" s="359"/>
      <c r="L10" s="83" t="str">
        <f>IF('Coach Card'!F8=M10,"X","")</f>
        <v/>
      </c>
      <c r="M10" s="357" t="s">
        <v>11</v>
      </c>
      <c r="N10" s="358"/>
      <c r="O10" s="359"/>
      <c r="P10" s="387"/>
      <c r="Q10" s="388"/>
      <c r="R10" s="388"/>
      <c r="S10" s="388"/>
      <c r="T10" s="388"/>
    </row>
    <row r="11" spans="1:24" ht="18" customHeight="1" x14ac:dyDescent="0.25">
      <c r="A11" s="375"/>
      <c r="B11" s="376"/>
      <c r="C11" s="377"/>
      <c r="D11" s="83" t="str">
        <f>IF('Coach Card'!F8=E11,"X","")</f>
        <v/>
      </c>
      <c r="E11" s="357" t="s">
        <v>1338</v>
      </c>
      <c r="F11" s="359"/>
      <c r="G11" s="83" t="str">
        <f>IF('Coach Card'!F8=H11,"X","")</f>
        <v/>
      </c>
      <c r="H11" s="235" t="s">
        <v>1339</v>
      </c>
      <c r="I11" s="83" t="str">
        <f>IF('Coach Card'!F8=J11,"X","")</f>
        <v/>
      </c>
      <c r="J11" s="357" t="s">
        <v>1341</v>
      </c>
      <c r="K11" s="359"/>
      <c r="L11" s="83" t="str">
        <f>IF('Coach Card'!F8=M11,"X","")</f>
        <v/>
      </c>
      <c r="M11" s="357" t="s">
        <v>1340</v>
      </c>
      <c r="N11" s="358"/>
      <c r="O11" s="359"/>
      <c r="P11" s="389"/>
      <c r="Q11" s="390"/>
      <c r="R11" s="390"/>
      <c r="S11" s="390"/>
      <c r="T11" s="390"/>
    </row>
    <row r="12" spans="1:24" ht="33" customHeight="1" x14ac:dyDescent="0.25">
      <c r="A12" s="368" t="s">
        <v>609</v>
      </c>
      <c r="B12" s="369"/>
      <c r="C12" s="370"/>
      <c r="D12" s="82"/>
      <c r="E12" s="347" t="str">
        <f>IF('Coach Card'!N6&lt;&gt;"",'Coach Card'!N6,"")</f>
        <v/>
      </c>
      <c r="F12" s="347"/>
      <c r="G12" s="347"/>
      <c r="H12" s="347"/>
      <c r="I12" s="347"/>
      <c r="J12" s="347"/>
      <c r="K12" s="347"/>
      <c r="L12" s="347"/>
      <c r="M12" s="347"/>
      <c r="N12" s="347"/>
      <c r="O12" s="347"/>
      <c r="P12" s="347"/>
      <c r="Q12" s="347"/>
      <c r="R12" s="347"/>
      <c r="S12" s="347"/>
      <c r="T12" s="348"/>
    </row>
    <row r="13" spans="1:24" ht="33" customHeight="1" x14ac:dyDescent="0.25">
      <c r="A13" s="368" t="s">
        <v>610</v>
      </c>
      <c r="B13" s="369"/>
      <c r="C13" s="370"/>
      <c r="D13" s="82"/>
      <c r="E13" s="347" t="str">
        <f>IF('Coach Card'!F9&lt;&gt;"",'Coach Card'!F9,"")</f>
        <v/>
      </c>
      <c r="F13" s="347"/>
      <c r="G13" s="347"/>
      <c r="H13" s="347"/>
      <c r="I13" s="347"/>
      <c r="J13" s="347"/>
      <c r="K13" s="347"/>
      <c r="L13" s="347"/>
      <c r="M13" s="347"/>
      <c r="N13" s="347"/>
      <c r="O13" s="347"/>
      <c r="P13" s="347"/>
      <c r="Q13" s="347"/>
      <c r="R13" s="347"/>
      <c r="S13" s="347"/>
      <c r="T13" s="348"/>
    </row>
    <row r="14" spans="1:24" ht="20.100000000000001" customHeight="1" x14ac:dyDescent="0.25">
      <c r="A14" s="349" t="s">
        <v>611</v>
      </c>
      <c r="B14" s="350"/>
      <c r="C14" s="350"/>
      <c r="D14" s="350"/>
      <c r="E14" s="350"/>
      <c r="F14" s="350"/>
      <c r="G14" s="350"/>
      <c r="H14" s="350"/>
      <c r="I14" s="350"/>
      <c r="J14" s="350"/>
      <c r="K14" s="350"/>
      <c r="L14" s="350"/>
      <c r="M14" s="350"/>
      <c r="N14" s="350"/>
      <c r="O14" s="350"/>
      <c r="P14" s="350"/>
      <c r="Q14" s="350"/>
      <c r="R14" s="350"/>
      <c r="S14" s="350"/>
      <c r="T14" s="351"/>
    </row>
    <row r="15" spans="1:24" ht="23.25" customHeight="1" x14ac:dyDescent="0.25">
      <c r="A15" s="250" t="s">
        <v>612</v>
      </c>
      <c r="B15" s="250" t="s">
        <v>613</v>
      </c>
      <c r="C15" s="352" t="s">
        <v>614</v>
      </c>
      <c r="D15" s="371"/>
      <c r="E15" s="250" t="s">
        <v>615</v>
      </c>
      <c r="F15" s="352" t="s">
        <v>616</v>
      </c>
      <c r="G15" s="353"/>
      <c r="H15" s="353"/>
      <c r="I15" s="353"/>
      <c r="J15" s="353"/>
      <c r="K15" s="353"/>
      <c r="L15" s="353"/>
      <c r="M15" s="353"/>
      <c r="N15" s="353"/>
      <c r="O15" s="353"/>
      <c r="P15" s="353"/>
      <c r="Q15" s="354"/>
      <c r="R15" s="251" t="str">
        <f>IF('Coach Card'!AN16&lt;&gt;"","HYBRID BONUS","")</f>
        <v/>
      </c>
      <c r="S15" s="234" t="s">
        <v>617</v>
      </c>
      <c r="T15" s="252" t="s">
        <v>633</v>
      </c>
    </row>
    <row r="16" spans="1:24" ht="21.95" customHeight="1" x14ac:dyDescent="0.25">
      <c r="A16" s="123" t="str">
        <f>IFERROR(IF('Coach Card'!D19&lt;&gt;"",IF('Coach Card'!C19&lt;&gt;"",CONCATENATE("0",'Coach Card'!A19,":",IF('Coach Card'!B19&lt;10,CONCATENATE("0",'Coach Card'!B19),'Coach Card'!B19)," - 0",'Coach Card'!C19,":",IF('Coach Card'!D19&lt;10,CONCATENATE("0",'Coach Card'!D19),'Coach Card'!D19)),""),""),"")</f>
        <v/>
      </c>
      <c r="B16" s="123" t="str">
        <f ca="1">IF(OFFSET('Coach Card'!$F$17,U16,0)="Transition","Transition",IF(OFFSET('Coach Card'!$F$17,U16,0)="Transition - Surface Connection","SuCon",IF(OFFSET('Coach Card'!$F$17,U16,0)="Hybrid - Thrust + 2 connections","Req.Hybrid",IF(LEFT(OFFSET('Coach Card'!$F$17,U16,0),4)="Hybr","Hybrid",IF(LEFT(OFFSET('Coach Card'!$F$17,U16,0),4)="Acro",IF(RIGHT(OFFSET('Coach Card'!$F$17,U16,0),4)="Pair","Pair Acro","Acrobatic"),IF(LEFT(OFFSET('Coach Card'!$F$17,U16,0),4)="Tech","TRE",""))))))</f>
        <v/>
      </c>
      <c r="C16" s="355" t="str">
        <f ca="1">IF(OFFSET('Coach Card'!$G$17,U16,0)&gt;0,OFFSET('Coach Card'!$G$17,U16,0),"")</f>
        <v/>
      </c>
      <c r="D16" s="356"/>
      <c r="E16" s="123" t="str">
        <f ca="1">IF(OFFSET('Coach Card'!$H$17,U16,0)&gt;0,IF(OR(B16="Transition",F16="ChoHY"),"",OFFSET('Coach Card'!$H$17,U16,0)),"")</f>
        <v/>
      </c>
      <c r="F16" s="344" t="str">
        <f ca="1">CONCATENATE(IF(B16="Acrobatic",CONCATENATE(RIGHT(OFFSET('Coach Card'!$H$18,U16,0),1),V16),""),OFFSET('Coach Card'!$J$17,U16,0),IF(OFFSET('Coach Card'!$K$17,U16,0)&lt;&gt;"",V16,""),OFFSET('Coach Card'!$K$17,U16,0),IF(OFFSET('Coach Card'!$L$17,U16,0)&lt;&gt;"",V16,""),OFFSET('Coach Card'!$L$17,U16,0),IF(OFFSET('Coach Card'!$M$17,U16,0)&lt;&gt;"",V16,""),OFFSET('Coach Card'!$M$17,U16,0),IF(OFFSET('Coach Card'!$N$17,U16,0)&lt;&gt;"",IF(AND(LEFT(OFFSET('Coach Card'!$N$17,U16,0),1)="2",B16="Acrobatic"),"/",V16),""),OFFSET('Coach Card'!$N$17,U16,0),IF(OFFSET('Coach Card'!$O$17,U16,0)&lt;&gt;"",IF(AND(LEFT(OFFSET('Coach Card'!$O$17,U16,0),1)="2",B16="Acrobatic"),"/",V16),""),OFFSET('Coach Card'!$O$17,U16,0),IF(OFFSET('Coach Card'!$P$17,U16,0)&lt;&gt;"",V16,""),OFFSET('Coach Card'!$P$17,U16,0),IF(OFFSET('Coach Card'!$Q$17,U16,0)&lt;&gt;"",IF(LEFT(B16,4)="Acro"," + ",V16),""),OFFSET('Coach Card'!$Q$17,U16,0),IF(OFFSET('Coach Card'!$R$17,U16,0)&lt;&gt;"",IF(LEFT(B16,4)="Acro","/",V16),""),OFFSET('Coach Card'!$R$17,U16,0),IF(OFFSET('Coach Card'!$S$17,U16,0)&lt;&gt;"",V16,""),OFFSET('Coach Card'!$S$17,U16,0),IF(OFFSET('Coach Card'!$T$17,U16,0)&lt;&gt;"",V16,""),OFFSET('Coach Card'!$T$17,U16,0),IF(OFFSET('Coach Card'!$U$17,U16,0)&lt;&gt;"",V16,""),OFFSET('Coach Card'!$U$17,U16,0),IF(OFFSET('Coach Card'!$V$17,U16,0)&lt;&gt;"",V16,""),OFFSET('Coach Card'!$V$17,U16,0),IF(OFFSET('Coach Card'!$W$17,U16,0)&lt;&gt;"",V16,""),OFFSET('Coach Card'!$W$17,U16,0),IF(OFFSET('Coach Card'!$X$17,U16,0)&lt;&gt;"",V16,""),OFFSET('Coach Card'!$X$17,U16,0),IF(OFFSET('Coach Card'!$Y$17,U16,0)&lt;&gt;"",V16,""),OFFSET('Coach Card'!$Y$17,U16,0),IF(OFFSET('Coach Card'!$Z$17,U16,0)&lt;&gt;"",V16,""),OFFSET('Coach Card'!$Z$17,U16,0),IF(OFFSET('Coach Card'!$AA$17,U16,0)&lt;&gt;"",V16,""),OFFSET('Coach Card'!$AA$17,U16,0),IF(OFFSET('Coach Card'!$AB$17,U16,0)&lt;&gt;"",V16,""),OFFSET('Coach Card'!$AB$17,U16,0),IF(OFFSET('Coach Card'!$AC$17,U16,0)&lt;&gt;"",V16,""),OFFSET('Coach Card'!$AC$17,U16,0),IF(OFFSET('Coach Card'!$AD$17,U16,0)&lt;&gt;"",V16,""),OFFSET('Coach Card'!$AD$17,U16,0),IF(OFFSET('Coach Card'!$AE$17,U16,0)&lt;&gt;"",V16,""),OFFSET('Coach Card'!$AE$17,U16,0),IF(OFFSET('Coach Card'!$AF$17,U16,0)&lt;&gt;"",V16,""),OFFSET('Coach Card'!$AF$17,U16,0),IF(OFFSET('Coach Card'!$AG$17,U16,0)&lt;&gt;"",V16,""),OFFSET('Coach Card'!$AG$17,U16,0),IF(OFFSET('Coach Card'!$AH$17,U16,0)&lt;&gt;"",V16,""),OFFSET('Coach Card'!$AH$17,U16,0),IF(OFFSET('Coach Card'!$AI$17,U16,0)&lt;&gt;"",V16,""),OFFSET('Coach Card'!$AI$17,U16,0),IF(OFFSET('Coach Card'!$AJ$17,U16,0)&lt;&gt;"",V16,""),OFFSET('Coach Card'!$AJ$17,U16,0),IF(OFFSET('Coach Card'!$AK$17,U16,0)&lt;&gt;"",V16,""),OFFSET('Coach Card'!$AK$17,U16,0),IF(OFFSET('Coach Card'!$AL$17,U16,0)&lt;&gt;"",V16,""),OFFSET('Coach Card'!$AL$17,U16,0),IF(OFFSET('Coach Card'!$AM$17,U16,0)&lt;&gt;"",V16,""),OFFSET('Coach Card'!$AM$17,U16,0))</f>
        <v/>
      </c>
      <c r="G16" s="345"/>
      <c r="H16" s="345"/>
      <c r="I16" s="345"/>
      <c r="J16" s="345"/>
      <c r="K16" s="345"/>
      <c r="L16" s="345"/>
      <c r="M16" s="345"/>
      <c r="N16" s="345"/>
      <c r="O16" s="345"/>
      <c r="P16" s="345"/>
      <c r="Q16" s="346"/>
      <c r="R16" s="198" t="str">
        <f ca="1">IF(OR(LEFT(B16,4)="Acro",LEFT(B16,1)="T",LEFT(B16,1)=""),"",IF(OFFSET('Coach Card'!$AN$17,U16,0)="","",OFFSET('Coach Card'!$AN$17,U16,0)))</f>
        <v/>
      </c>
      <c r="S16" s="199" t="str">
        <f ca="1">IF(OFFSET('Coach Card'!$AO$18,U16,0)=0,"",OFFSET('Coach Card'!$AO$18,U16,0))</f>
        <v/>
      </c>
      <c r="T16" s="222"/>
      <c r="U16" s="257">
        <v>2</v>
      </c>
      <c r="V16" s="141" t="str">
        <f ca="1">IF(OFFSET('Coach Card'!$W$17,U16,0)&lt;&gt;"","-"," - ")</f>
        <v xml:space="preserve"> - </v>
      </c>
      <c r="W16" s="141">
        <v>0</v>
      </c>
      <c r="X16" s="141" t="str">
        <f ca="1">IF(OFFSET('Coach Card'!$BA$19,W16,0)="X","X","")</f>
        <v/>
      </c>
    </row>
    <row r="17" spans="1:24" ht="21.95" customHeight="1" x14ac:dyDescent="0.25">
      <c r="A17" s="123" t="str">
        <f>IFERROR(IF('Coach Card'!D21&lt;&gt;"",IF('Coach Card'!C21&lt;&gt;"",CONCATENATE("0",'Coach Card'!A21,":",IF('Coach Card'!B21&lt;10,CONCATENATE("0",'Coach Card'!B21),'Coach Card'!B21)," - 0",'Coach Card'!C21,":",IF('Coach Card'!D21&lt;10,CONCATENATE("0",'Coach Card'!D21),'Coach Card'!D21)),""),""),"")</f>
        <v/>
      </c>
      <c r="B17" s="123" t="str">
        <f ca="1">IF(OFFSET('Coach Card'!$F$17,U17,0)="Transition","Transition",IF(OFFSET('Coach Card'!$F$17,U17,0)="Transition - Surface Connection","SuCon",IF(OFFSET('Coach Card'!$F$17,U17,0)="Hybrid - Thrust + 2 connections","Req.Hybrid",IF(LEFT(OFFSET('Coach Card'!$F$17,U17,0),4)="Hybr","Hybrid",IF(LEFT(OFFSET('Coach Card'!$F$17,U17,0),4)="Acro",IF(RIGHT(OFFSET('Coach Card'!$F$17,U17,0),4)="Pair","Pair Acro","Acrobatic"),IF(LEFT(OFFSET('Coach Card'!$F$17,U17,0),4)="Tech","TRE",""))))))</f>
        <v/>
      </c>
      <c r="C17" s="355" t="str">
        <f ca="1">IF(OFFSET('Coach Card'!$G$17,U17,0)&gt;0,OFFSET('Coach Card'!$G$17,U17,0),"")</f>
        <v/>
      </c>
      <c r="D17" s="356"/>
      <c r="E17" s="123" t="str">
        <f ca="1">IF(OFFSET('Coach Card'!$H$17,U17,0)&gt;0,IF(OR(B17="Transition",F17="ChoHY"),"",OFFSET('Coach Card'!$H$17,U17,0)),"")</f>
        <v/>
      </c>
      <c r="F17" s="344" t="str">
        <f ca="1">CONCATENATE(IF(B17="Acrobatic",CONCATENATE(RIGHT(OFFSET('Coach Card'!$H$18,U17,0),1),V17),""),OFFSET('Coach Card'!$J$17,U17,0),IF(OFFSET('Coach Card'!$K$17,U17,0)&lt;&gt;"",V17,""),OFFSET('Coach Card'!$K$17,U17,0),IF(OFFSET('Coach Card'!$L$17,U17,0)&lt;&gt;"",V17,""),OFFSET('Coach Card'!$L$17,U17,0),IF(OFFSET('Coach Card'!$M$17,U17,0)&lt;&gt;"",V17,""),OFFSET('Coach Card'!$M$17,U17,0),IF(OFFSET('Coach Card'!$N$17,U17,0)&lt;&gt;"",IF(AND(LEFT(OFFSET('Coach Card'!$N$17,U17,0),1)="2",B17="Acrobatic"),"/",V17),""),OFFSET('Coach Card'!$N$17,U17,0),IF(OFFSET('Coach Card'!$O$17,U17,0)&lt;&gt;"",IF(AND(LEFT(OFFSET('Coach Card'!$O$17,U17,0),1)="2",B17="Acrobatic"),"/",V17),""),OFFSET('Coach Card'!$O$17,U17,0),IF(OFFSET('Coach Card'!$P$17,U17,0)&lt;&gt;"",V17,""),OFFSET('Coach Card'!$P$17,U17,0),IF(OFFSET('Coach Card'!$Q$17,U17,0)&lt;&gt;"",IF(LEFT(B17,4)="Acro"," + ",V17),""),OFFSET('Coach Card'!$Q$17,U17,0),IF(OFFSET('Coach Card'!$R$17,U17,0)&lt;&gt;"",IF(LEFT(B17,4)="Acro","/",V17),""),OFFSET('Coach Card'!$R$17,U17,0),IF(OFFSET('Coach Card'!$S$17,U17,0)&lt;&gt;"",V17,""),OFFSET('Coach Card'!$S$17,U17,0),IF(OFFSET('Coach Card'!$T$17,U17,0)&lt;&gt;"",V17,""),OFFSET('Coach Card'!$T$17,U17,0),IF(OFFSET('Coach Card'!$U$17,U17,0)&lt;&gt;"",V17,""),OFFSET('Coach Card'!$U$17,U17,0),IF(OFFSET('Coach Card'!$V$17,U17,0)&lt;&gt;"",V17,""),OFFSET('Coach Card'!$V$17,U17,0),IF(OFFSET('Coach Card'!$W$17,U17,0)&lt;&gt;"",V17,""),OFFSET('Coach Card'!$W$17,U17,0),IF(OFFSET('Coach Card'!$X$17,U17,0)&lt;&gt;"",V17,""),OFFSET('Coach Card'!$X$17,U17,0),IF(OFFSET('Coach Card'!$Y$17,U17,0)&lt;&gt;"",V17,""),OFFSET('Coach Card'!$Y$17,U17,0),IF(OFFSET('Coach Card'!$Z$17,U17,0)&lt;&gt;"",V17,""),OFFSET('Coach Card'!$Z$17,U17,0),IF(OFFSET('Coach Card'!$AA$17,U17,0)&lt;&gt;"",V17,""),OFFSET('Coach Card'!$AA$17,U17,0),IF(OFFSET('Coach Card'!$AB$17,U17,0)&lt;&gt;"",V17,""),OFFSET('Coach Card'!$AB$17,U17,0),IF(OFFSET('Coach Card'!$AC$17,U17,0)&lt;&gt;"",V17,""),OFFSET('Coach Card'!$AC$17,U17,0),IF(OFFSET('Coach Card'!$AD$17,U17,0)&lt;&gt;"",V17,""),OFFSET('Coach Card'!$AD$17,U17,0),IF(OFFSET('Coach Card'!$AE$17,U17,0)&lt;&gt;"",V17,""),OFFSET('Coach Card'!$AE$17,U17,0),IF(OFFSET('Coach Card'!$AF$17,U17,0)&lt;&gt;"",V17,""),OFFSET('Coach Card'!$AF$17,U17,0),IF(OFFSET('Coach Card'!$AG$17,U17,0)&lt;&gt;"",V17,""),OFFSET('Coach Card'!$AG$17,U17,0),IF(OFFSET('Coach Card'!$AH$17,U17,0)&lt;&gt;"",V17,""),OFFSET('Coach Card'!$AH$17,U17,0),IF(OFFSET('Coach Card'!$AI$17,U17,0)&lt;&gt;"",V17,""),OFFSET('Coach Card'!$AI$17,U17,0),IF(OFFSET('Coach Card'!$AJ$17,U17,0)&lt;&gt;"",V17,""),OFFSET('Coach Card'!$AJ$17,U17,0),IF(OFFSET('Coach Card'!$AK$17,U17,0)&lt;&gt;"",V17,""),OFFSET('Coach Card'!$AK$17,U17,0),IF(OFFSET('Coach Card'!$AL$17,U17,0)&lt;&gt;"",V17,""),OFFSET('Coach Card'!$AL$17,U17,0),IF(OFFSET('Coach Card'!$AM$17,U17,0)&lt;&gt;"",V17,""),OFFSET('Coach Card'!$AM$17,U17,0))</f>
        <v/>
      </c>
      <c r="G17" s="345"/>
      <c r="H17" s="345"/>
      <c r="I17" s="345"/>
      <c r="J17" s="345"/>
      <c r="K17" s="345"/>
      <c r="L17" s="345"/>
      <c r="M17" s="345"/>
      <c r="N17" s="345"/>
      <c r="O17" s="345"/>
      <c r="P17" s="345"/>
      <c r="Q17" s="346"/>
      <c r="R17" s="198" t="str">
        <f ca="1">IF(OR(LEFT(B17,4)="Acro",LEFT(B17,1)="T",LEFT(B17,1)=""),"",IF(OFFSET('Coach Card'!$AN$17,U17,0)="","",OFFSET('Coach Card'!$AN$17,U17,0)))</f>
        <v/>
      </c>
      <c r="S17" s="199" t="str">
        <f ca="1">IF(OFFSET('Coach Card'!$AO$18,U17,0)=0,"",OFFSET('Coach Card'!$AO$18,U17,0))</f>
        <v/>
      </c>
      <c r="T17" s="222"/>
      <c r="U17" s="257">
        <v>4</v>
      </c>
      <c r="V17" s="141" t="str">
        <f ca="1">IF(OFFSET('Coach Card'!$W$17,U17,0)&lt;&gt;"","-"," - ")</f>
        <v xml:space="preserve"> - </v>
      </c>
      <c r="W17" s="141">
        <v>2</v>
      </c>
      <c r="X17" s="141" t="str">
        <f ca="1">IF(OFFSET('Coach Card'!$BA$19,W17,0)="X","X","")</f>
        <v/>
      </c>
    </row>
    <row r="18" spans="1:24" ht="21.95" customHeight="1" x14ac:dyDescent="0.25">
      <c r="A18" s="123" t="str">
        <f>IFERROR(IF('Coach Card'!D23&lt;&gt;"",IF('Coach Card'!C23&lt;&gt;"",CONCATENATE("0",'Coach Card'!A23,":",IF('Coach Card'!B23&lt;10,CONCATENATE("0",'Coach Card'!B23),'Coach Card'!B23)," - 0",'Coach Card'!C23,":",IF('Coach Card'!D23&lt;10,CONCATENATE("0",'Coach Card'!D23),'Coach Card'!D23)),""),""),"")</f>
        <v/>
      </c>
      <c r="B18" s="123" t="str">
        <f ca="1">IF(OFFSET('Coach Card'!$F$17,U18,0)="Transition","Transition",IF(OFFSET('Coach Card'!$F$17,U18,0)="Transition - Surface Connection","SuCon",IF(OFFSET('Coach Card'!$F$17,U18,0)="Hybrid - Thrust + 2 connections","Req.Hybrid",IF(LEFT(OFFSET('Coach Card'!$F$17,U18,0),4)="Hybr","Hybrid",IF(LEFT(OFFSET('Coach Card'!$F$17,U18,0),4)="Acro",IF(RIGHT(OFFSET('Coach Card'!$F$17,U18,0),4)="Pair","Pair Acro","Acrobatic"),IF(LEFT(OFFSET('Coach Card'!$F$17,U18,0),4)="Tech","TRE",""))))))</f>
        <v/>
      </c>
      <c r="C18" s="355" t="str">
        <f ca="1">IF(OFFSET('Coach Card'!$G$17,U18,0)&gt;0,OFFSET('Coach Card'!$G$17,U18,0),"")</f>
        <v/>
      </c>
      <c r="D18" s="356"/>
      <c r="E18" s="123" t="str">
        <f ca="1">IF(OFFSET('Coach Card'!$H$17,U18,0)&gt;0,IF(OR(B18="Transition",F18="ChoHY"),"",OFFSET('Coach Card'!$H$17,U18,0)),"")</f>
        <v/>
      </c>
      <c r="F18" s="344" t="str">
        <f ca="1">CONCATENATE(IF(B18="Acrobatic",CONCATENATE(RIGHT(OFFSET('Coach Card'!$H$18,U18,0),1),V18),""),OFFSET('Coach Card'!$J$17,U18,0),IF(OFFSET('Coach Card'!$K$17,U18,0)&lt;&gt;"",V18,""),OFFSET('Coach Card'!$K$17,U18,0),IF(OFFSET('Coach Card'!$L$17,U18,0)&lt;&gt;"",V18,""),OFFSET('Coach Card'!$L$17,U18,0),IF(OFFSET('Coach Card'!$M$17,U18,0)&lt;&gt;"",V18,""),OFFSET('Coach Card'!$M$17,U18,0),IF(OFFSET('Coach Card'!$N$17,U18,0)&lt;&gt;"",IF(AND(LEFT(OFFSET('Coach Card'!$N$17,U18,0),1)="2",B18="Acrobatic"),"/",V18),""),OFFSET('Coach Card'!$N$17,U18,0),IF(OFFSET('Coach Card'!$O$17,U18,0)&lt;&gt;"",IF(AND(LEFT(OFFSET('Coach Card'!$O$17,U18,0),1)="2",B18="Acrobatic"),"/",V18),""),OFFSET('Coach Card'!$O$17,U18,0),IF(OFFSET('Coach Card'!$P$17,U18,0)&lt;&gt;"",V18,""),OFFSET('Coach Card'!$P$17,U18,0),IF(OFFSET('Coach Card'!$Q$17,U18,0)&lt;&gt;"",IF(LEFT(B18,4)="Acro"," + ",V18),""),OFFSET('Coach Card'!$Q$17,U18,0),IF(OFFSET('Coach Card'!$R$17,U18,0)&lt;&gt;"",IF(LEFT(B18,4)="Acro","/",V18),""),OFFSET('Coach Card'!$R$17,U18,0),IF(OFFSET('Coach Card'!$S$17,U18,0)&lt;&gt;"",V18,""),OFFSET('Coach Card'!$S$17,U18,0),IF(OFFSET('Coach Card'!$T$17,U18,0)&lt;&gt;"",V18,""),OFFSET('Coach Card'!$T$17,U18,0),IF(OFFSET('Coach Card'!$U$17,U18,0)&lt;&gt;"",V18,""),OFFSET('Coach Card'!$U$17,U18,0),IF(OFFSET('Coach Card'!$V$17,U18,0)&lt;&gt;"",V18,""),OFFSET('Coach Card'!$V$17,U18,0),IF(OFFSET('Coach Card'!$W$17,U18,0)&lt;&gt;"",V18,""),OFFSET('Coach Card'!$W$17,U18,0),IF(OFFSET('Coach Card'!$X$17,U18,0)&lt;&gt;"",V18,""),OFFSET('Coach Card'!$X$17,U18,0),IF(OFFSET('Coach Card'!$Y$17,U18,0)&lt;&gt;"",V18,""),OFFSET('Coach Card'!$Y$17,U18,0),IF(OFFSET('Coach Card'!$Z$17,U18,0)&lt;&gt;"",V18,""),OFFSET('Coach Card'!$Z$17,U18,0),IF(OFFSET('Coach Card'!$AA$17,U18,0)&lt;&gt;"",V18,""),OFFSET('Coach Card'!$AA$17,U18,0),IF(OFFSET('Coach Card'!$AB$17,U18,0)&lt;&gt;"",V18,""),OFFSET('Coach Card'!$AB$17,U18,0),IF(OFFSET('Coach Card'!$AC$17,U18,0)&lt;&gt;"",V18,""),OFFSET('Coach Card'!$AC$17,U18,0),IF(OFFSET('Coach Card'!$AD$17,U18,0)&lt;&gt;"",V18,""),OFFSET('Coach Card'!$AD$17,U18,0),IF(OFFSET('Coach Card'!$AE$17,U18,0)&lt;&gt;"",V18,""),OFFSET('Coach Card'!$AE$17,U18,0),IF(OFFSET('Coach Card'!$AF$17,U18,0)&lt;&gt;"",V18,""),OFFSET('Coach Card'!$AF$17,U18,0),IF(OFFSET('Coach Card'!$AG$17,U18,0)&lt;&gt;"",V18,""),OFFSET('Coach Card'!$AG$17,U18,0),IF(OFFSET('Coach Card'!$AH$17,U18,0)&lt;&gt;"",V18,""),OFFSET('Coach Card'!$AH$17,U18,0),IF(OFFSET('Coach Card'!$AI$17,U18,0)&lt;&gt;"",V18,""),OFFSET('Coach Card'!$AI$17,U18,0),IF(OFFSET('Coach Card'!$AJ$17,U18,0)&lt;&gt;"",V18,""),OFFSET('Coach Card'!$AJ$17,U18,0),IF(OFFSET('Coach Card'!$AK$17,U18,0)&lt;&gt;"",V18,""),OFFSET('Coach Card'!$AK$17,U18,0),IF(OFFSET('Coach Card'!$AL$17,U18,0)&lt;&gt;"",V18,""),OFFSET('Coach Card'!$AL$17,U18,0),IF(OFFSET('Coach Card'!$AM$17,U18,0)&lt;&gt;"",V18,""),OFFSET('Coach Card'!$AM$17,U18,0))</f>
        <v/>
      </c>
      <c r="G18" s="345"/>
      <c r="H18" s="345"/>
      <c r="I18" s="345"/>
      <c r="J18" s="345"/>
      <c r="K18" s="345"/>
      <c r="L18" s="345"/>
      <c r="M18" s="345"/>
      <c r="N18" s="345"/>
      <c r="O18" s="345"/>
      <c r="P18" s="345"/>
      <c r="Q18" s="346"/>
      <c r="R18" s="198" t="str">
        <f ca="1">IF(OR(LEFT(B18,4)="Acro",LEFT(B18,1)="T",LEFT(B18,1)=""),"",IF(OFFSET('Coach Card'!$AN$17,U18,0)="","",OFFSET('Coach Card'!$AN$17,U18,0)))</f>
        <v/>
      </c>
      <c r="S18" s="199" t="str">
        <f ca="1">IF(OFFSET('Coach Card'!$AO$18,U18,0)=0,"",OFFSET('Coach Card'!$AO$18,U18,0))</f>
        <v/>
      </c>
      <c r="T18" s="222"/>
      <c r="U18" s="257">
        <v>6</v>
      </c>
      <c r="V18" s="141" t="str">
        <f ca="1">IF(OFFSET('Coach Card'!$W$17,U18,0)&lt;&gt;"","-"," - ")</f>
        <v xml:space="preserve"> - </v>
      </c>
      <c r="W18" s="141">
        <v>4</v>
      </c>
      <c r="X18" s="141" t="str">
        <f ca="1">IF(OFFSET('Coach Card'!$BA$19,W18,0)="X","X","")</f>
        <v/>
      </c>
    </row>
    <row r="19" spans="1:24" ht="21.95" customHeight="1" x14ac:dyDescent="0.25">
      <c r="A19" s="123" t="str">
        <f>IFERROR(IF('Coach Card'!D25&lt;&gt;"",IF('Coach Card'!C25&lt;&gt;"",CONCATENATE("0",'Coach Card'!A25,":",IF('Coach Card'!B25&lt;10,CONCATENATE("0",'Coach Card'!B25),'Coach Card'!B25)," - 0",'Coach Card'!C25,":",IF('Coach Card'!D25&lt;10,CONCATENATE("0",'Coach Card'!D25),'Coach Card'!D25)),""),""),"")</f>
        <v/>
      </c>
      <c r="B19" s="123" t="str">
        <f ca="1">IF(OFFSET('Coach Card'!$F$17,U19,0)="Transition","Transition",IF(OFFSET('Coach Card'!$F$17,U19,0)="Transition - Surface Connection","SuCon",IF(OFFSET('Coach Card'!$F$17,U19,0)="Hybrid - Thrust + 2 connections","Req.Hybrid",IF(LEFT(OFFSET('Coach Card'!$F$17,U19,0),4)="Hybr","Hybrid",IF(LEFT(OFFSET('Coach Card'!$F$17,U19,0),4)="Acro",IF(RIGHT(OFFSET('Coach Card'!$F$17,U19,0),4)="Pair","Pair Acro","Acrobatic"),IF(LEFT(OFFSET('Coach Card'!$F$17,U19,0),4)="Tech","TRE",""))))))</f>
        <v/>
      </c>
      <c r="C19" s="355" t="str">
        <f ca="1">IF(OFFSET('Coach Card'!$G$17,U19,0)&gt;0,OFFSET('Coach Card'!$G$17,U19,0),"")</f>
        <v/>
      </c>
      <c r="D19" s="356"/>
      <c r="E19" s="123" t="str">
        <f ca="1">IF(OFFSET('Coach Card'!$H$17,U19,0)&gt;0,IF(OR(B19="Transition",F19="ChoHY"),"",OFFSET('Coach Card'!$H$17,U19,0)),"")</f>
        <v/>
      </c>
      <c r="F19" s="344" t="str">
        <f ca="1">CONCATENATE(IF(B19="Acrobatic",CONCATENATE(RIGHT(OFFSET('Coach Card'!$H$18,U19,0),1),V19),""),OFFSET('Coach Card'!$J$17,U19,0),IF(OFFSET('Coach Card'!$K$17,U19,0)&lt;&gt;"",V19,""),OFFSET('Coach Card'!$K$17,U19,0),IF(OFFSET('Coach Card'!$L$17,U19,0)&lt;&gt;"",V19,""),OFFSET('Coach Card'!$L$17,U19,0),IF(OFFSET('Coach Card'!$M$17,U19,0)&lt;&gt;"",V19,""),OFFSET('Coach Card'!$M$17,U19,0),IF(OFFSET('Coach Card'!$N$17,U19,0)&lt;&gt;"",IF(AND(LEFT(OFFSET('Coach Card'!$N$17,U19,0),1)="2",B19="Acrobatic"),"/",V19),""),OFFSET('Coach Card'!$N$17,U19,0),IF(OFFSET('Coach Card'!$O$17,U19,0)&lt;&gt;"",IF(AND(LEFT(OFFSET('Coach Card'!$O$17,U19,0),1)="2",B19="Acrobatic"),"/",V19),""),OFFSET('Coach Card'!$O$17,U19,0),IF(OFFSET('Coach Card'!$P$17,U19,0)&lt;&gt;"",V19,""),OFFSET('Coach Card'!$P$17,U19,0),IF(OFFSET('Coach Card'!$Q$17,U19,0)&lt;&gt;"",IF(LEFT(B19,4)="Acro"," + ",V19),""),OFFSET('Coach Card'!$Q$17,U19,0),IF(OFFSET('Coach Card'!$R$17,U19,0)&lt;&gt;"",IF(LEFT(B19,4)="Acro","/",V19),""),OFFSET('Coach Card'!$R$17,U19,0),IF(OFFSET('Coach Card'!$S$17,U19,0)&lt;&gt;"",V19,""),OFFSET('Coach Card'!$S$17,U19,0),IF(OFFSET('Coach Card'!$T$17,U19,0)&lt;&gt;"",V19,""),OFFSET('Coach Card'!$T$17,U19,0),IF(OFFSET('Coach Card'!$U$17,U19,0)&lt;&gt;"",V19,""),OFFSET('Coach Card'!$U$17,U19,0),IF(OFFSET('Coach Card'!$V$17,U19,0)&lt;&gt;"",V19,""),OFFSET('Coach Card'!$V$17,U19,0),IF(OFFSET('Coach Card'!$W$17,U19,0)&lt;&gt;"",V19,""),OFFSET('Coach Card'!$W$17,U19,0),IF(OFFSET('Coach Card'!$X$17,U19,0)&lt;&gt;"",V19,""),OFFSET('Coach Card'!$X$17,U19,0),IF(OFFSET('Coach Card'!$Y$17,U19,0)&lt;&gt;"",V19,""),OFFSET('Coach Card'!$Y$17,U19,0),IF(OFFSET('Coach Card'!$Z$17,U19,0)&lt;&gt;"",V19,""),OFFSET('Coach Card'!$Z$17,U19,0),IF(OFFSET('Coach Card'!$AA$17,U19,0)&lt;&gt;"",V19,""),OFFSET('Coach Card'!$AA$17,U19,0),IF(OFFSET('Coach Card'!$AB$17,U19,0)&lt;&gt;"",V19,""),OFFSET('Coach Card'!$AB$17,U19,0),IF(OFFSET('Coach Card'!$AC$17,U19,0)&lt;&gt;"",V19,""),OFFSET('Coach Card'!$AC$17,U19,0),IF(OFFSET('Coach Card'!$AD$17,U19,0)&lt;&gt;"",V19,""),OFFSET('Coach Card'!$AD$17,U19,0),IF(OFFSET('Coach Card'!$AE$17,U19,0)&lt;&gt;"",V19,""),OFFSET('Coach Card'!$AE$17,U19,0),IF(OFFSET('Coach Card'!$AF$17,U19,0)&lt;&gt;"",V19,""),OFFSET('Coach Card'!$AF$17,U19,0),IF(OFFSET('Coach Card'!$AG$17,U19,0)&lt;&gt;"",V19,""),OFFSET('Coach Card'!$AG$17,U19,0),IF(OFFSET('Coach Card'!$AH$17,U19,0)&lt;&gt;"",V19,""),OFFSET('Coach Card'!$AH$17,U19,0),IF(OFFSET('Coach Card'!$AI$17,U19,0)&lt;&gt;"",V19,""),OFFSET('Coach Card'!$AI$17,U19,0),IF(OFFSET('Coach Card'!$AJ$17,U19,0)&lt;&gt;"",V19,""),OFFSET('Coach Card'!$AJ$17,U19,0),IF(OFFSET('Coach Card'!$AK$17,U19,0)&lt;&gt;"",V19,""),OFFSET('Coach Card'!$AK$17,U19,0),IF(OFFSET('Coach Card'!$AL$17,U19,0)&lt;&gt;"",V19,""),OFFSET('Coach Card'!$AL$17,U19,0),IF(OFFSET('Coach Card'!$AM$17,U19,0)&lt;&gt;"",V19,""),OFFSET('Coach Card'!$AM$17,U19,0))</f>
        <v/>
      </c>
      <c r="G19" s="345"/>
      <c r="H19" s="345"/>
      <c r="I19" s="345"/>
      <c r="J19" s="345"/>
      <c r="K19" s="345"/>
      <c r="L19" s="345"/>
      <c r="M19" s="345"/>
      <c r="N19" s="345"/>
      <c r="O19" s="345"/>
      <c r="P19" s="345"/>
      <c r="Q19" s="346"/>
      <c r="R19" s="198" t="str">
        <f ca="1">IF(OR(LEFT(B19,4)="Acro",LEFT(B19,1)="T",LEFT(B19,1)=""),"",IF(OFFSET('Coach Card'!$AN$17,U19,0)="","",OFFSET('Coach Card'!$AN$17,U19,0)))</f>
        <v/>
      </c>
      <c r="S19" s="199" t="str">
        <f ca="1">IF(OFFSET('Coach Card'!$AO$18,U19,0)=0,"",OFFSET('Coach Card'!$AO$18,U19,0))</f>
        <v/>
      </c>
      <c r="T19" s="222"/>
      <c r="U19" s="257">
        <v>8</v>
      </c>
      <c r="V19" s="141" t="str">
        <f ca="1">IF(OFFSET('Coach Card'!$W$17,U19,0)&lt;&gt;"","-"," - ")</f>
        <v xml:space="preserve"> - </v>
      </c>
      <c r="W19" s="141">
        <v>6</v>
      </c>
      <c r="X19" s="141" t="str">
        <f ca="1">IF(OFFSET('Coach Card'!$BA$19,W19,0)="X","X","")</f>
        <v/>
      </c>
    </row>
    <row r="20" spans="1:24" ht="21.95" customHeight="1" x14ac:dyDescent="0.25">
      <c r="A20" s="123" t="str">
        <f>IFERROR(IF('Coach Card'!D27&lt;&gt;"",IF('Coach Card'!C27&lt;&gt;"",CONCATENATE("0",'Coach Card'!A27,":",IF('Coach Card'!B27&lt;10,CONCATENATE("0",'Coach Card'!B27),'Coach Card'!B27)," - 0",'Coach Card'!C27,":",IF('Coach Card'!D27&lt;10,CONCATENATE("0",'Coach Card'!D27),'Coach Card'!D27)),""),""),"")</f>
        <v/>
      </c>
      <c r="B20" s="123" t="str">
        <f ca="1">IF(OFFSET('Coach Card'!$F$17,U20,0)="Transition","Transition",IF(OFFSET('Coach Card'!$F$17,U20,0)="Transition - Surface Connection","SuCon",IF(OFFSET('Coach Card'!$F$17,U20,0)="Hybrid - Thrust + 2 connections","Req.Hybrid",IF(LEFT(OFFSET('Coach Card'!$F$17,U20,0),4)="Hybr","Hybrid",IF(LEFT(OFFSET('Coach Card'!$F$17,U20,0),4)="Acro",IF(RIGHT(OFFSET('Coach Card'!$F$17,U20,0),4)="Pair","Pair Acro","Acrobatic"),IF(LEFT(OFFSET('Coach Card'!$F$17,U20,0),4)="Tech","TRE",""))))))</f>
        <v/>
      </c>
      <c r="C20" s="355" t="str">
        <f ca="1">IF(OFFSET('Coach Card'!$G$17,U20,0)&gt;0,OFFSET('Coach Card'!$G$17,U20,0),"")</f>
        <v/>
      </c>
      <c r="D20" s="356"/>
      <c r="E20" s="123" t="str">
        <f ca="1">IF(OFFSET('Coach Card'!$H$17,U20,0)&gt;0,IF(OR(B20="Transition",F20="ChoHY"),"",OFFSET('Coach Card'!$H$17,U20,0)),"")</f>
        <v/>
      </c>
      <c r="F20" s="344" t="str">
        <f ca="1">CONCATENATE(IF(B20="Acrobatic",CONCATENATE(RIGHT(OFFSET('Coach Card'!$H$18,U20,0),1),V20),""),OFFSET('Coach Card'!$J$17,U20,0),IF(OFFSET('Coach Card'!$K$17,U20,0)&lt;&gt;"",V20,""),OFFSET('Coach Card'!$K$17,U20,0),IF(OFFSET('Coach Card'!$L$17,U20,0)&lt;&gt;"",V20,""),OFFSET('Coach Card'!$L$17,U20,0),IF(OFFSET('Coach Card'!$M$17,U20,0)&lt;&gt;"",V20,""),OFFSET('Coach Card'!$M$17,U20,0),IF(OFFSET('Coach Card'!$N$17,U20,0)&lt;&gt;"",IF(AND(LEFT(OFFSET('Coach Card'!$N$17,U20,0),1)="2",B20="Acrobatic"),"/",V20),""),OFFSET('Coach Card'!$N$17,U20,0),IF(OFFSET('Coach Card'!$O$17,U20,0)&lt;&gt;"",IF(AND(LEFT(OFFSET('Coach Card'!$O$17,U20,0),1)="2",B20="Acrobatic"),"/",V20),""),OFFSET('Coach Card'!$O$17,U20,0),IF(OFFSET('Coach Card'!$P$17,U20,0)&lt;&gt;"",V20,""),OFFSET('Coach Card'!$P$17,U20,0),IF(OFFSET('Coach Card'!$Q$17,U20,0)&lt;&gt;"",IF(LEFT(B20,4)="Acro"," + ",V20),""),OFFSET('Coach Card'!$Q$17,U20,0),IF(OFFSET('Coach Card'!$R$17,U20,0)&lt;&gt;"",IF(LEFT(B20,4)="Acro","/",V20),""),OFFSET('Coach Card'!$R$17,U20,0),IF(OFFSET('Coach Card'!$S$17,U20,0)&lt;&gt;"",V20,""),OFFSET('Coach Card'!$S$17,U20,0),IF(OFFSET('Coach Card'!$T$17,U20,0)&lt;&gt;"",V20,""),OFFSET('Coach Card'!$T$17,U20,0),IF(OFFSET('Coach Card'!$U$17,U20,0)&lt;&gt;"",V20,""),OFFSET('Coach Card'!$U$17,U20,0),IF(OFFSET('Coach Card'!$V$17,U20,0)&lt;&gt;"",V20,""),OFFSET('Coach Card'!$V$17,U20,0),IF(OFFSET('Coach Card'!$W$17,U20,0)&lt;&gt;"",V20,""),OFFSET('Coach Card'!$W$17,U20,0),IF(OFFSET('Coach Card'!$X$17,U20,0)&lt;&gt;"",V20,""),OFFSET('Coach Card'!$X$17,U20,0),IF(OFFSET('Coach Card'!$Y$17,U20,0)&lt;&gt;"",V20,""),OFFSET('Coach Card'!$Y$17,U20,0),IF(OFFSET('Coach Card'!$Z$17,U20,0)&lt;&gt;"",V20,""),OFFSET('Coach Card'!$Z$17,U20,0),IF(OFFSET('Coach Card'!$AA$17,U20,0)&lt;&gt;"",V20,""),OFFSET('Coach Card'!$AA$17,U20,0),IF(OFFSET('Coach Card'!$AB$17,U20,0)&lt;&gt;"",V20,""),OFFSET('Coach Card'!$AB$17,U20,0),IF(OFFSET('Coach Card'!$AC$17,U20,0)&lt;&gt;"",V20,""),OFFSET('Coach Card'!$AC$17,U20,0),IF(OFFSET('Coach Card'!$AD$17,U20,0)&lt;&gt;"",V20,""),OFFSET('Coach Card'!$AD$17,U20,0),IF(OFFSET('Coach Card'!$AE$17,U20,0)&lt;&gt;"",V20,""),OFFSET('Coach Card'!$AE$17,U20,0),IF(OFFSET('Coach Card'!$AF$17,U20,0)&lt;&gt;"",V20,""),OFFSET('Coach Card'!$AF$17,U20,0),IF(OFFSET('Coach Card'!$AG$17,U20,0)&lt;&gt;"",V20,""),OFFSET('Coach Card'!$AG$17,U20,0),IF(OFFSET('Coach Card'!$AH$17,U20,0)&lt;&gt;"",V20,""),OFFSET('Coach Card'!$AH$17,U20,0),IF(OFFSET('Coach Card'!$AI$17,U20,0)&lt;&gt;"",V20,""),OFFSET('Coach Card'!$AI$17,U20,0),IF(OFFSET('Coach Card'!$AJ$17,U20,0)&lt;&gt;"",V20,""),OFFSET('Coach Card'!$AJ$17,U20,0),IF(OFFSET('Coach Card'!$AK$17,U20,0)&lt;&gt;"",V20,""),OFFSET('Coach Card'!$AK$17,U20,0),IF(OFFSET('Coach Card'!$AL$17,U20,0)&lt;&gt;"",V20,""),OFFSET('Coach Card'!$AL$17,U20,0),IF(OFFSET('Coach Card'!$AM$17,U20,0)&lt;&gt;"",V20,""),OFFSET('Coach Card'!$AM$17,U20,0))</f>
        <v/>
      </c>
      <c r="G20" s="345"/>
      <c r="H20" s="345"/>
      <c r="I20" s="345"/>
      <c r="J20" s="345"/>
      <c r="K20" s="345"/>
      <c r="L20" s="345"/>
      <c r="M20" s="345"/>
      <c r="N20" s="345"/>
      <c r="O20" s="345"/>
      <c r="P20" s="345"/>
      <c r="Q20" s="346"/>
      <c r="R20" s="198" t="str">
        <f ca="1">IF(OR(LEFT(B20,4)="Acro",LEFT(B20,1)="T",LEFT(B20,1)=""),"",IF(OFFSET('Coach Card'!$AN$17,U20,0)="","",OFFSET('Coach Card'!$AN$17,U20,0)))</f>
        <v/>
      </c>
      <c r="S20" s="199" t="str">
        <f ca="1">IF(OFFSET('Coach Card'!$AO$18,U20,0)=0,"",OFFSET('Coach Card'!$AO$18,U20,0))</f>
        <v/>
      </c>
      <c r="T20" s="222"/>
      <c r="U20" s="257">
        <v>10</v>
      </c>
      <c r="V20" s="141" t="str">
        <f ca="1">IF(OFFSET('Coach Card'!$W$17,U20,0)&lt;&gt;"","-"," - ")</f>
        <v xml:space="preserve"> - </v>
      </c>
      <c r="W20" s="141">
        <v>8</v>
      </c>
      <c r="X20" s="141" t="str">
        <f ca="1">IF(OFFSET('Coach Card'!$BA$19,W20,0)="X","X","")</f>
        <v/>
      </c>
    </row>
    <row r="21" spans="1:24" ht="21.95" customHeight="1" x14ac:dyDescent="0.25">
      <c r="A21" s="123" t="str">
        <f>IFERROR(IF('Coach Card'!D29&lt;&gt;"",IF('Coach Card'!C29&lt;&gt;"",CONCATENATE("0",'Coach Card'!A29,":",IF('Coach Card'!B29&lt;10,CONCATENATE("0",'Coach Card'!B29),'Coach Card'!B29)," - 0",'Coach Card'!C29,":",IF('Coach Card'!D29&lt;10,CONCATENATE("0",'Coach Card'!D29),'Coach Card'!D29)),""),""),"")</f>
        <v/>
      </c>
      <c r="B21" s="123" t="str">
        <f ca="1">IF(OFFSET('Coach Card'!$F$17,U21,0)="Transition","Transition",IF(OFFSET('Coach Card'!$F$17,U21,0)="Transition - Surface Connection","SuCon",IF(OFFSET('Coach Card'!$F$17,U21,0)="Hybrid - Thrust + 2 connections","Req.Hybrid",IF(LEFT(OFFSET('Coach Card'!$F$17,U21,0),4)="Hybr","Hybrid",IF(LEFT(OFFSET('Coach Card'!$F$17,U21,0),4)="Acro",IF(RIGHT(OFFSET('Coach Card'!$F$17,U21,0),4)="Pair","Pair Acro","Acrobatic"),IF(LEFT(OFFSET('Coach Card'!$F$17,U21,0),4)="Tech","TRE",""))))))</f>
        <v/>
      </c>
      <c r="C21" s="355" t="str">
        <f ca="1">IF(OFFSET('Coach Card'!$G$17,U21,0)&gt;0,OFFSET('Coach Card'!$G$17,U21,0),"")</f>
        <v/>
      </c>
      <c r="D21" s="356"/>
      <c r="E21" s="123" t="str">
        <f ca="1">IF(OFFSET('Coach Card'!$H$17,U21,0)&gt;0,IF(OR(B21="Transition",F21="ChoHY"),"",OFFSET('Coach Card'!$H$17,U21,0)),"")</f>
        <v/>
      </c>
      <c r="F21" s="344" t="str">
        <f ca="1">CONCATENATE(IF(B21="Acrobatic",CONCATENATE(RIGHT(OFFSET('Coach Card'!$H$18,U21,0),1),V21),""),OFFSET('Coach Card'!$J$17,U21,0),IF(OFFSET('Coach Card'!$K$17,U21,0)&lt;&gt;"",V21,""),OFFSET('Coach Card'!$K$17,U21,0),IF(OFFSET('Coach Card'!$L$17,U21,0)&lt;&gt;"",V21,""),OFFSET('Coach Card'!$L$17,U21,0),IF(OFFSET('Coach Card'!$M$17,U21,0)&lt;&gt;"",V21,""),OFFSET('Coach Card'!$M$17,U21,0),IF(OFFSET('Coach Card'!$N$17,U21,0)&lt;&gt;"",IF(AND(LEFT(OFFSET('Coach Card'!$N$17,U21,0),1)="2",B21="Acrobatic"),"/",V21),""),OFFSET('Coach Card'!$N$17,U21,0),IF(OFFSET('Coach Card'!$O$17,U21,0)&lt;&gt;"",IF(AND(LEFT(OFFSET('Coach Card'!$O$17,U21,0),1)="2",B21="Acrobatic"),"/",V21),""),OFFSET('Coach Card'!$O$17,U21,0),IF(OFFSET('Coach Card'!$P$17,U21,0)&lt;&gt;"",V21,""),OFFSET('Coach Card'!$P$17,U21,0),IF(OFFSET('Coach Card'!$Q$17,U21,0)&lt;&gt;"",IF(LEFT(B21,4)="Acro"," + ",V21),""),OFFSET('Coach Card'!$Q$17,U21,0),IF(OFFSET('Coach Card'!$R$17,U21,0)&lt;&gt;"",IF(LEFT(B21,4)="Acro","/",V21),""),OFFSET('Coach Card'!$R$17,U21,0),IF(OFFSET('Coach Card'!$S$17,U21,0)&lt;&gt;"",V21,""),OFFSET('Coach Card'!$S$17,U21,0),IF(OFFSET('Coach Card'!$T$17,U21,0)&lt;&gt;"",V21,""),OFFSET('Coach Card'!$T$17,U21,0),IF(OFFSET('Coach Card'!$U$17,U21,0)&lt;&gt;"",V21,""),OFFSET('Coach Card'!$U$17,U21,0),IF(OFFSET('Coach Card'!$V$17,U21,0)&lt;&gt;"",V21,""),OFFSET('Coach Card'!$V$17,U21,0),IF(OFFSET('Coach Card'!$W$17,U21,0)&lt;&gt;"",V21,""),OFFSET('Coach Card'!$W$17,U21,0),IF(OFFSET('Coach Card'!$X$17,U21,0)&lt;&gt;"",V21,""),OFFSET('Coach Card'!$X$17,U21,0),IF(OFFSET('Coach Card'!$Y$17,U21,0)&lt;&gt;"",V21,""),OFFSET('Coach Card'!$Y$17,U21,0),IF(OFFSET('Coach Card'!$Z$17,U21,0)&lt;&gt;"",V21,""),OFFSET('Coach Card'!$Z$17,U21,0),IF(OFFSET('Coach Card'!$AA$17,U21,0)&lt;&gt;"",V21,""),OFFSET('Coach Card'!$AA$17,U21,0),IF(OFFSET('Coach Card'!$AB$17,U21,0)&lt;&gt;"",V21,""),OFFSET('Coach Card'!$AB$17,U21,0),IF(OFFSET('Coach Card'!$AC$17,U21,0)&lt;&gt;"",V21,""),OFFSET('Coach Card'!$AC$17,U21,0),IF(OFFSET('Coach Card'!$AD$17,U21,0)&lt;&gt;"",V21,""),OFFSET('Coach Card'!$AD$17,U21,0),IF(OFFSET('Coach Card'!$AE$17,U21,0)&lt;&gt;"",V21,""),OFFSET('Coach Card'!$AE$17,U21,0),IF(OFFSET('Coach Card'!$AF$17,U21,0)&lt;&gt;"",V21,""),OFFSET('Coach Card'!$AF$17,U21,0),IF(OFFSET('Coach Card'!$AG$17,U21,0)&lt;&gt;"",V21,""),OFFSET('Coach Card'!$AG$17,U21,0),IF(OFFSET('Coach Card'!$AH$17,U21,0)&lt;&gt;"",V21,""),OFFSET('Coach Card'!$AH$17,U21,0),IF(OFFSET('Coach Card'!$AI$17,U21,0)&lt;&gt;"",V21,""),OFFSET('Coach Card'!$AI$17,U21,0),IF(OFFSET('Coach Card'!$AJ$17,U21,0)&lt;&gt;"",V21,""),OFFSET('Coach Card'!$AJ$17,U21,0),IF(OFFSET('Coach Card'!$AK$17,U21,0)&lt;&gt;"",V21,""),OFFSET('Coach Card'!$AK$17,U21,0),IF(OFFSET('Coach Card'!$AL$17,U21,0)&lt;&gt;"",V21,""),OFFSET('Coach Card'!$AL$17,U21,0),IF(OFFSET('Coach Card'!$AM$17,U21,0)&lt;&gt;"",V21,""),OFFSET('Coach Card'!$AM$17,U21,0))</f>
        <v/>
      </c>
      <c r="G21" s="345"/>
      <c r="H21" s="345"/>
      <c r="I21" s="345"/>
      <c r="J21" s="345"/>
      <c r="K21" s="345"/>
      <c r="L21" s="345"/>
      <c r="M21" s="345"/>
      <c r="N21" s="345"/>
      <c r="O21" s="345"/>
      <c r="P21" s="345"/>
      <c r="Q21" s="346"/>
      <c r="R21" s="198" t="str">
        <f ca="1">IF(OR(LEFT(B21,4)="Acro",LEFT(B21,1)="T",LEFT(B21,1)=""),"",IF(OFFSET('Coach Card'!$AN$17,U21,0)="","",OFFSET('Coach Card'!$AN$17,U21,0)))</f>
        <v/>
      </c>
      <c r="S21" s="199" t="str">
        <f ca="1">IF(OFFSET('Coach Card'!$AO$18,U21,0)=0,"",OFFSET('Coach Card'!$AO$18,U21,0))</f>
        <v/>
      </c>
      <c r="T21" s="222"/>
      <c r="U21" s="257">
        <v>12</v>
      </c>
      <c r="V21" s="141" t="str">
        <f ca="1">IF(OFFSET('Coach Card'!$W$17,U21,0)&lt;&gt;"","-"," - ")</f>
        <v xml:space="preserve"> - </v>
      </c>
      <c r="W21" s="141">
        <v>10</v>
      </c>
      <c r="X21" s="141" t="str">
        <f ca="1">IF(OFFSET('Coach Card'!$BA$19,W21,0)="X","X","")</f>
        <v/>
      </c>
    </row>
    <row r="22" spans="1:24" ht="21.95" customHeight="1" x14ac:dyDescent="0.25">
      <c r="A22" s="123" t="str">
        <f>IFERROR(IF('Coach Card'!D31&lt;&gt;"",IF('Coach Card'!C31&lt;&gt;"",CONCATENATE("0",'Coach Card'!A31,":",IF('Coach Card'!B31&lt;10,CONCATENATE("0",'Coach Card'!B31),'Coach Card'!B31)," - 0",'Coach Card'!C31,":",IF('Coach Card'!D31&lt;10,CONCATENATE("0",'Coach Card'!D31),'Coach Card'!D31)),""),""),"")</f>
        <v/>
      </c>
      <c r="B22" s="123" t="str">
        <f ca="1">IF(OFFSET('Coach Card'!$F$17,U22,0)="Transition","Transition",IF(OFFSET('Coach Card'!$F$17,U22,0)="Transition - Surface Connection","SuCon",IF(OFFSET('Coach Card'!$F$17,U22,0)="Hybrid - Thrust + 2 connections","Req.Hybrid",IF(LEFT(OFFSET('Coach Card'!$F$17,U22,0),4)="Hybr","Hybrid",IF(LEFT(OFFSET('Coach Card'!$F$17,U22,0),4)="Acro",IF(RIGHT(OFFSET('Coach Card'!$F$17,U22,0),4)="Pair","Pair Acro","Acrobatic"),IF(LEFT(OFFSET('Coach Card'!$F$17,U22,0),4)="Tech","TRE",""))))))</f>
        <v/>
      </c>
      <c r="C22" s="355" t="str">
        <f ca="1">IF(OFFSET('Coach Card'!$G$17,U22,0)&gt;0,OFFSET('Coach Card'!$G$17,U22,0),"")</f>
        <v/>
      </c>
      <c r="D22" s="356"/>
      <c r="E22" s="123" t="str">
        <f ca="1">IF(OFFSET('Coach Card'!$H$17,U22,0)&gt;0,IF(OR(B22="Transition",F22="ChoHY"),"",OFFSET('Coach Card'!$H$17,U22,0)),"")</f>
        <v/>
      </c>
      <c r="F22" s="344" t="str">
        <f ca="1">CONCATENATE(IF(B22="Acrobatic",CONCATENATE(RIGHT(OFFSET('Coach Card'!$H$18,U22,0),1),V22),""),OFFSET('Coach Card'!$J$17,U22,0),IF(OFFSET('Coach Card'!$K$17,U22,0)&lt;&gt;"",V22,""),OFFSET('Coach Card'!$K$17,U22,0),IF(OFFSET('Coach Card'!$L$17,U22,0)&lt;&gt;"",V22,""),OFFSET('Coach Card'!$L$17,U22,0),IF(OFFSET('Coach Card'!$M$17,U22,0)&lt;&gt;"",V22,""),OFFSET('Coach Card'!$M$17,U22,0),IF(OFFSET('Coach Card'!$N$17,U22,0)&lt;&gt;"",IF(AND(LEFT(OFFSET('Coach Card'!$N$17,U22,0),1)="2",B22="Acrobatic"),"/",V22),""),OFFSET('Coach Card'!$N$17,U22,0),IF(OFFSET('Coach Card'!$O$17,U22,0)&lt;&gt;"",IF(AND(LEFT(OFFSET('Coach Card'!$O$17,U22,0),1)="2",B22="Acrobatic"),"/",V22),""),OFFSET('Coach Card'!$O$17,U22,0),IF(OFFSET('Coach Card'!$P$17,U22,0)&lt;&gt;"",V22,""),OFFSET('Coach Card'!$P$17,U22,0),IF(OFFSET('Coach Card'!$Q$17,U22,0)&lt;&gt;"",IF(LEFT(B22,4)="Acro"," + ",V22),""),OFFSET('Coach Card'!$Q$17,U22,0),IF(OFFSET('Coach Card'!$R$17,U22,0)&lt;&gt;"",IF(LEFT(B22,4)="Acro","/",V22),""),OFFSET('Coach Card'!$R$17,U22,0),IF(OFFSET('Coach Card'!$S$17,U22,0)&lt;&gt;"",V22,""),OFFSET('Coach Card'!$S$17,U22,0),IF(OFFSET('Coach Card'!$T$17,U22,0)&lt;&gt;"",V22,""),OFFSET('Coach Card'!$T$17,U22,0),IF(OFFSET('Coach Card'!$U$17,U22,0)&lt;&gt;"",V22,""),OFFSET('Coach Card'!$U$17,U22,0),IF(OFFSET('Coach Card'!$V$17,U22,0)&lt;&gt;"",V22,""),OFFSET('Coach Card'!$V$17,U22,0),IF(OFFSET('Coach Card'!$W$17,U22,0)&lt;&gt;"",V22,""),OFFSET('Coach Card'!$W$17,U22,0),IF(OFFSET('Coach Card'!$X$17,U22,0)&lt;&gt;"",V22,""),OFFSET('Coach Card'!$X$17,U22,0),IF(OFFSET('Coach Card'!$Y$17,U22,0)&lt;&gt;"",V22,""),OFFSET('Coach Card'!$Y$17,U22,0),IF(OFFSET('Coach Card'!$Z$17,U22,0)&lt;&gt;"",V22,""),OFFSET('Coach Card'!$Z$17,U22,0),IF(OFFSET('Coach Card'!$AA$17,U22,0)&lt;&gt;"",V22,""),OFFSET('Coach Card'!$AA$17,U22,0),IF(OFFSET('Coach Card'!$AB$17,U22,0)&lt;&gt;"",V22,""),OFFSET('Coach Card'!$AB$17,U22,0),IF(OFFSET('Coach Card'!$AC$17,U22,0)&lt;&gt;"",V22,""),OFFSET('Coach Card'!$AC$17,U22,0),IF(OFFSET('Coach Card'!$AD$17,U22,0)&lt;&gt;"",V22,""),OFFSET('Coach Card'!$AD$17,U22,0),IF(OFFSET('Coach Card'!$AE$17,U22,0)&lt;&gt;"",V22,""),OFFSET('Coach Card'!$AE$17,U22,0),IF(OFFSET('Coach Card'!$AF$17,U22,0)&lt;&gt;"",V22,""),OFFSET('Coach Card'!$AF$17,U22,0),IF(OFFSET('Coach Card'!$AG$17,U22,0)&lt;&gt;"",V22,""),OFFSET('Coach Card'!$AG$17,U22,0),IF(OFFSET('Coach Card'!$AH$17,U22,0)&lt;&gt;"",V22,""),OFFSET('Coach Card'!$AH$17,U22,0),IF(OFFSET('Coach Card'!$AI$17,U22,0)&lt;&gt;"",V22,""),OFFSET('Coach Card'!$AI$17,U22,0),IF(OFFSET('Coach Card'!$AJ$17,U22,0)&lt;&gt;"",V22,""),OFFSET('Coach Card'!$AJ$17,U22,0),IF(OFFSET('Coach Card'!$AK$17,U22,0)&lt;&gt;"",V22,""),OFFSET('Coach Card'!$AK$17,U22,0),IF(OFFSET('Coach Card'!$AL$17,U22,0)&lt;&gt;"",V22,""),OFFSET('Coach Card'!$AL$17,U22,0),IF(OFFSET('Coach Card'!$AM$17,U22,0)&lt;&gt;"",V22,""),OFFSET('Coach Card'!$AM$17,U22,0))</f>
        <v/>
      </c>
      <c r="G22" s="345"/>
      <c r="H22" s="345"/>
      <c r="I22" s="345"/>
      <c r="J22" s="345"/>
      <c r="K22" s="345"/>
      <c r="L22" s="345"/>
      <c r="M22" s="345"/>
      <c r="N22" s="345"/>
      <c r="O22" s="345"/>
      <c r="P22" s="345"/>
      <c r="Q22" s="346"/>
      <c r="R22" s="198" t="str">
        <f ca="1">IF(OR(LEFT(B22,4)="Acro",LEFT(B22,1)="T",LEFT(B22,1)=""),"",IF(OFFSET('Coach Card'!$AN$17,U22,0)="","",OFFSET('Coach Card'!$AN$17,U22,0)))</f>
        <v/>
      </c>
      <c r="S22" s="199" t="str">
        <f ca="1">IF(OFFSET('Coach Card'!$AO$18,U22,0)=0,"",OFFSET('Coach Card'!$AO$18,U22,0))</f>
        <v/>
      </c>
      <c r="T22" s="222"/>
      <c r="U22" s="257">
        <v>14</v>
      </c>
      <c r="V22" s="141" t="str">
        <f ca="1">IF(OFFSET('Coach Card'!$W$17,U22,0)&lt;&gt;"","-"," - ")</f>
        <v xml:space="preserve"> - </v>
      </c>
      <c r="W22" s="141">
        <v>12</v>
      </c>
      <c r="X22" s="141" t="str">
        <f ca="1">IF(OFFSET('Coach Card'!$BA$19,W22,0)="X","X","")</f>
        <v/>
      </c>
    </row>
    <row r="23" spans="1:24" ht="21.95" customHeight="1" x14ac:dyDescent="0.25">
      <c r="A23" s="123" t="str">
        <f>IFERROR(IF('Coach Card'!D33&lt;&gt;"",IF('Coach Card'!C33&lt;&gt;"",CONCATENATE("0",'Coach Card'!A33,":",IF('Coach Card'!B33&lt;10,CONCATENATE("0",'Coach Card'!B33),'Coach Card'!B33)," - 0",'Coach Card'!C33,":",IF('Coach Card'!D33&lt;10,CONCATENATE("0",'Coach Card'!D33),'Coach Card'!D33)),""),""),"")</f>
        <v/>
      </c>
      <c r="B23" s="123" t="str">
        <f ca="1">IF(OFFSET('Coach Card'!$F$17,U23,0)="Transition","Transition",IF(OFFSET('Coach Card'!$F$17,U23,0)="Transition - Surface Connection","SuCon",IF(OFFSET('Coach Card'!$F$17,U23,0)="Hybrid - Thrust + 2 connections","Req.Hybrid",IF(LEFT(OFFSET('Coach Card'!$F$17,U23,0),4)="Hybr","Hybrid",IF(LEFT(OFFSET('Coach Card'!$F$17,U23,0),4)="Acro",IF(RIGHT(OFFSET('Coach Card'!$F$17,U23,0),4)="Pair","Pair Acro","Acrobatic"),IF(LEFT(OFFSET('Coach Card'!$F$17,U23,0),4)="Tech","TRE",""))))))</f>
        <v/>
      </c>
      <c r="C23" s="355" t="str">
        <f ca="1">IF(OFFSET('Coach Card'!$G$17,U23,0)&gt;0,OFFSET('Coach Card'!$G$17,U23,0),"")</f>
        <v/>
      </c>
      <c r="D23" s="356"/>
      <c r="E23" s="123" t="str">
        <f ca="1">IF(OFFSET('Coach Card'!$H$17,U23,0)&gt;0,IF(OR(B23="Transition",F23="ChoHY"),"",OFFSET('Coach Card'!$H$17,U23,0)),"")</f>
        <v/>
      </c>
      <c r="F23" s="344" t="str">
        <f ca="1">CONCATENATE(IF(B23="Acrobatic",CONCATENATE(RIGHT(OFFSET('Coach Card'!$H$18,U23,0),1),V23),""),OFFSET('Coach Card'!$J$17,U23,0),IF(OFFSET('Coach Card'!$K$17,U23,0)&lt;&gt;"",V23,""),OFFSET('Coach Card'!$K$17,U23,0),IF(OFFSET('Coach Card'!$L$17,U23,0)&lt;&gt;"",V23,""),OFFSET('Coach Card'!$L$17,U23,0),IF(OFFSET('Coach Card'!$M$17,U23,0)&lt;&gt;"",V23,""),OFFSET('Coach Card'!$M$17,U23,0),IF(OFFSET('Coach Card'!$N$17,U23,0)&lt;&gt;"",IF(AND(LEFT(OFFSET('Coach Card'!$N$17,U23,0),1)="2",B23="Acrobatic"),"/",V23),""),OFFSET('Coach Card'!$N$17,U23,0),IF(OFFSET('Coach Card'!$O$17,U23,0)&lt;&gt;"",IF(AND(LEFT(OFFSET('Coach Card'!$O$17,U23,0),1)="2",B23="Acrobatic"),"/",V23),""),OFFSET('Coach Card'!$O$17,U23,0),IF(OFFSET('Coach Card'!$P$17,U23,0)&lt;&gt;"",V23,""),OFFSET('Coach Card'!$P$17,U23,0),IF(OFFSET('Coach Card'!$Q$17,U23,0)&lt;&gt;"",IF(LEFT(B23,4)="Acro"," + ",V23),""),OFFSET('Coach Card'!$Q$17,U23,0),IF(OFFSET('Coach Card'!$R$17,U23,0)&lt;&gt;"",IF(LEFT(B23,4)="Acro","/",V23),""),OFFSET('Coach Card'!$R$17,U23,0),IF(OFFSET('Coach Card'!$S$17,U23,0)&lt;&gt;"",V23,""),OFFSET('Coach Card'!$S$17,U23,0),IF(OFFSET('Coach Card'!$T$17,U23,0)&lt;&gt;"",V23,""),OFFSET('Coach Card'!$T$17,U23,0),IF(OFFSET('Coach Card'!$U$17,U23,0)&lt;&gt;"",V23,""),OFFSET('Coach Card'!$U$17,U23,0),IF(OFFSET('Coach Card'!$V$17,U23,0)&lt;&gt;"",V23,""),OFFSET('Coach Card'!$V$17,U23,0),IF(OFFSET('Coach Card'!$W$17,U23,0)&lt;&gt;"",V23,""),OFFSET('Coach Card'!$W$17,U23,0),IF(OFFSET('Coach Card'!$X$17,U23,0)&lt;&gt;"",V23,""),OFFSET('Coach Card'!$X$17,U23,0),IF(OFFSET('Coach Card'!$Y$17,U23,0)&lt;&gt;"",V23,""),OFFSET('Coach Card'!$Y$17,U23,0),IF(OFFSET('Coach Card'!$Z$17,U23,0)&lt;&gt;"",V23,""),OFFSET('Coach Card'!$Z$17,U23,0),IF(OFFSET('Coach Card'!$AA$17,U23,0)&lt;&gt;"",V23,""),OFFSET('Coach Card'!$AA$17,U23,0),IF(OFFSET('Coach Card'!$AB$17,U23,0)&lt;&gt;"",V23,""),OFFSET('Coach Card'!$AB$17,U23,0),IF(OFFSET('Coach Card'!$AC$17,U23,0)&lt;&gt;"",V23,""),OFFSET('Coach Card'!$AC$17,U23,0),IF(OFFSET('Coach Card'!$AD$17,U23,0)&lt;&gt;"",V23,""),OFFSET('Coach Card'!$AD$17,U23,0),IF(OFFSET('Coach Card'!$AE$17,U23,0)&lt;&gt;"",V23,""),OFFSET('Coach Card'!$AE$17,U23,0),IF(OFFSET('Coach Card'!$AF$17,U23,0)&lt;&gt;"",V23,""),OFFSET('Coach Card'!$AF$17,U23,0),IF(OFFSET('Coach Card'!$AG$17,U23,0)&lt;&gt;"",V23,""),OFFSET('Coach Card'!$AG$17,U23,0),IF(OFFSET('Coach Card'!$AH$17,U23,0)&lt;&gt;"",V23,""),OFFSET('Coach Card'!$AH$17,U23,0),IF(OFFSET('Coach Card'!$AI$17,U23,0)&lt;&gt;"",V23,""),OFFSET('Coach Card'!$AI$17,U23,0),IF(OFFSET('Coach Card'!$AJ$17,U23,0)&lt;&gt;"",V23,""),OFFSET('Coach Card'!$AJ$17,U23,0),IF(OFFSET('Coach Card'!$AK$17,U23,0)&lt;&gt;"",V23,""),OFFSET('Coach Card'!$AK$17,U23,0),IF(OFFSET('Coach Card'!$AL$17,U23,0)&lt;&gt;"",V23,""),OFFSET('Coach Card'!$AL$17,U23,0),IF(OFFSET('Coach Card'!$AM$17,U23,0)&lt;&gt;"",V23,""),OFFSET('Coach Card'!$AM$17,U23,0))</f>
        <v/>
      </c>
      <c r="G23" s="345"/>
      <c r="H23" s="345"/>
      <c r="I23" s="345"/>
      <c r="J23" s="345"/>
      <c r="K23" s="345"/>
      <c r="L23" s="345"/>
      <c r="M23" s="345"/>
      <c r="N23" s="345"/>
      <c r="O23" s="345"/>
      <c r="P23" s="345"/>
      <c r="Q23" s="346"/>
      <c r="R23" s="198" t="str">
        <f ca="1">IF(OR(LEFT(B23,4)="Acro",LEFT(B23,1)="T",LEFT(B23,1)=""),"",IF(OFFSET('Coach Card'!$AN$17,U23,0)="","",OFFSET('Coach Card'!$AN$17,U23,0)))</f>
        <v/>
      </c>
      <c r="S23" s="199" t="str">
        <f ca="1">IF(OFFSET('Coach Card'!$AO$18,U23,0)=0,"",OFFSET('Coach Card'!$AO$18,U23,0))</f>
        <v/>
      </c>
      <c r="T23" s="222"/>
      <c r="U23" s="257">
        <v>16</v>
      </c>
      <c r="V23" s="141" t="str">
        <f ca="1">IF(OFFSET('Coach Card'!$W$17,U23,0)&lt;&gt;"","-"," - ")</f>
        <v xml:space="preserve"> - </v>
      </c>
      <c r="W23" s="141">
        <v>14</v>
      </c>
      <c r="X23" s="141" t="str">
        <f ca="1">IF(OFFSET('Coach Card'!$BA$19,W23,0)="X","X","")</f>
        <v/>
      </c>
    </row>
    <row r="24" spans="1:24" ht="21.95" customHeight="1" x14ac:dyDescent="0.25">
      <c r="A24" s="123" t="str">
        <f>IFERROR(IF('Coach Card'!D35&lt;&gt;"",IF('Coach Card'!C35&lt;&gt;"",CONCATENATE("0",'Coach Card'!A35,":",IF('Coach Card'!B35&lt;10,CONCATENATE("0",'Coach Card'!B35),'Coach Card'!B35)," - 0",'Coach Card'!C35,":",IF('Coach Card'!D35&lt;10,CONCATENATE("0",'Coach Card'!D35),'Coach Card'!D35)),""),""),"")</f>
        <v/>
      </c>
      <c r="B24" s="123" t="str">
        <f ca="1">IF(OFFSET('Coach Card'!$F$17,U24,0)="Transition","Transition",IF(OFFSET('Coach Card'!$F$17,U24,0)="Transition - Surface Connection","SuCon",IF(OFFSET('Coach Card'!$F$17,U24,0)="Hybrid - Thrust + 2 connections","Req.Hybrid",IF(LEFT(OFFSET('Coach Card'!$F$17,U24,0),4)="Hybr","Hybrid",IF(LEFT(OFFSET('Coach Card'!$F$17,U24,0),4)="Acro",IF(RIGHT(OFFSET('Coach Card'!$F$17,U24,0),4)="Pair","Pair Acro","Acrobatic"),IF(LEFT(OFFSET('Coach Card'!$F$17,U24,0),4)="Tech","TRE",""))))))</f>
        <v/>
      </c>
      <c r="C24" s="355" t="str">
        <f ca="1">IF(OFFSET('Coach Card'!$G$17,U24,0)&gt;0,OFFSET('Coach Card'!$G$17,U24,0),"")</f>
        <v/>
      </c>
      <c r="D24" s="356"/>
      <c r="E24" s="123" t="str">
        <f ca="1">IF(OFFSET('Coach Card'!$H$17,U24,0)&gt;0,IF(OR(B24="Transition",F24="ChoHY"),"",OFFSET('Coach Card'!$H$17,U24,0)),"")</f>
        <v/>
      </c>
      <c r="F24" s="344" t="str">
        <f ca="1">CONCATENATE(IF(B24="Acrobatic",CONCATENATE(RIGHT(OFFSET('Coach Card'!$H$18,U24,0),1),V24),""),OFFSET('Coach Card'!$J$17,U24,0),IF(OFFSET('Coach Card'!$K$17,U24,0)&lt;&gt;"",V24,""),OFFSET('Coach Card'!$K$17,U24,0),IF(OFFSET('Coach Card'!$L$17,U24,0)&lt;&gt;"",V24,""),OFFSET('Coach Card'!$L$17,U24,0),IF(OFFSET('Coach Card'!$M$17,U24,0)&lt;&gt;"",V24,""),OFFSET('Coach Card'!$M$17,U24,0),IF(OFFSET('Coach Card'!$N$17,U24,0)&lt;&gt;"",IF(AND(LEFT(OFFSET('Coach Card'!$N$17,U24,0),1)="2",B24="Acrobatic"),"/",V24),""),OFFSET('Coach Card'!$N$17,U24,0),IF(OFFSET('Coach Card'!$O$17,U24,0)&lt;&gt;"",IF(AND(LEFT(OFFSET('Coach Card'!$O$17,U24,0),1)="2",B24="Acrobatic"),"/",V24),""),OFFSET('Coach Card'!$O$17,U24,0),IF(OFFSET('Coach Card'!$P$17,U24,0)&lt;&gt;"",V24,""),OFFSET('Coach Card'!$P$17,U24,0),IF(OFFSET('Coach Card'!$Q$17,U24,0)&lt;&gt;"",IF(LEFT(B24,4)="Acro"," + ",V24),""),OFFSET('Coach Card'!$Q$17,U24,0),IF(OFFSET('Coach Card'!$R$17,U24,0)&lt;&gt;"",IF(LEFT(B24,4)="Acro","/",V24),""),OFFSET('Coach Card'!$R$17,U24,0),IF(OFFSET('Coach Card'!$S$17,U24,0)&lt;&gt;"",V24,""),OFFSET('Coach Card'!$S$17,U24,0),IF(OFFSET('Coach Card'!$T$17,U24,0)&lt;&gt;"",V24,""),OFFSET('Coach Card'!$T$17,U24,0),IF(OFFSET('Coach Card'!$U$17,U24,0)&lt;&gt;"",V24,""),OFFSET('Coach Card'!$U$17,U24,0),IF(OFFSET('Coach Card'!$V$17,U24,0)&lt;&gt;"",V24,""),OFFSET('Coach Card'!$V$17,U24,0),IF(OFFSET('Coach Card'!$W$17,U24,0)&lt;&gt;"",V24,""),OFFSET('Coach Card'!$W$17,U24,0),IF(OFFSET('Coach Card'!$X$17,U24,0)&lt;&gt;"",V24,""),OFFSET('Coach Card'!$X$17,U24,0),IF(OFFSET('Coach Card'!$Y$17,U24,0)&lt;&gt;"",V24,""),OFFSET('Coach Card'!$Y$17,U24,0),IF(OFFSET('Coach Card'!$Z$17,U24,0)&lt;&gt;"",V24,""),OFFSET('Coach Card'!$Z$17,U24,0),IF(OFFSET('Coach Card'!$AA$17,U24,0)&lt;&gt;"",V24,""),OFFSET('Coach Card'!$AA$17,U24,0),IF(OFFSET('Coach Card'!$AB$17,U24,0)&lt;&gt;"",V24,""),OFFSET('Coach Card'!$AB$17,U24,0),IF(OFFSET('Coach Card'!$AC$17,U24,0)&lt;&gt;"",V24,""),OFFSET('Coach Card'!$AC$17,U24,0),IF(OFFSET('Coach Card'!$AD$17,U24,0)&lt;&gt;"",V24,""),OFFSET('Coach Card'!$AD$17,U24,0),IF(OFFSET('Coach Card'!$AE$17,U24,0)&lt;&gt;"",V24,""),OFFSET('Coach Card'!$AE$17,U24,0),IF(OFFSET('Coach Card'!$AF$17,U24,0)&lt;&gt;"",V24,""),OFFSET('Coach Card'!$AF$17,U24,0),IF(OFFSET('Coach Card'!$AG$17,U24,0)&lt;&gt;"",V24,""),OFFSET('Coach Card'!$AG$17,U24,0),IF(OFFSET('Coach Card'!$AH$17,U24,0)&lt;&gt;"",V24,""),OFFSET('Coach Card'!$AH$17,U24,0),IF(OFFSET('Coach Card'!$AI$17,U24,0)&lt;&gt;"",V24,""),OFFSET('Coach Card'!$AI$17,U24,0),IF(OFFSET('Coach Card'!$AJ$17,U24,0)&lt;&gt;"",V24,""),OFFSET('Coach Card'!$AJ$17,U24,0),IF(OFFSET('Coach Card'!$AK$17,U24,0)&lt;&gt;"",V24,""),OFFSET('Coach Card'!$AK$17,U24,0),IF(OFFSET('Coach Card'!$AL$17,U24,0)&lt;&gt;"",V24,""),OFFSET('Coach Card'!$AL$17,U24,0),IF(OFFSET('Coach Card'!$AM$17,U24,0)&lt;&gt;"",V24,""),OFFSET('Coach Card'!$AM$17,U24,0))</f>
        <v/>
      </c>
      <c r="G24" s="345"/>
      <c r="H24" s="345"/>
      <c r="I24" s="345"/>
      <c r="J24" s="345"/>
      <c r="K24" s="345"/>
      <c r="L24" s="345"/>
      <c r="M24" s="345"/>
      <c r="N24" s="345"/>
      <c r="O24" s="345"/>
      <c r="P24" s="345"/>
      <c r="Q24" s="346"/>
      <c r="R24" s="198" t="str">
        <f ca="1">IF(OR(LEFT(B24,4)="Acro",LEFT(B24,1)="T",LEFT(B24,1)=""),"",IF(OFFSET('Coach Card'!$AN$17,U24,0)="","",OFFSET('Coach Card'!$AN$17,U24,0)))</f>
        <v/>
      </c>
      <c r="S24" s="199" t="str">
        <f ca="1">IF(OFFSET('Coach Card'!$AO$18,U24,0)=0,"",OFFSET('Coach Card'!$AO$18,U24,0))</f>
        <v/>
      </c>
      <c r="T24" s="222"/>
      <c r="U24" s="257">
        <v>18</v>
      </c>
      <c r="V24" s="141" t="str">
        <f ca="1">IF(OFFSET('Coach Card'!$W$17,U24,0)&lt;&gt;"","-"," - ")</f>
        <v xml:space="preserve"> - </v>
      </c>
      <c r="W24" s="141">
        <v>16</v>
      </c>
      <c r="X24" s="141" t="str">
        <f ca="1">IF(OFFSET('Coach Card'!$BA$19,W24,0)="X","X","")</f>
        <v/>
      </c>
    </row>
    <row r="25" spans="1:24" ht="21.95" customHeight="1" x14ac:dyDescent="0.25">
      <c r="A25" s="123" t="str">
        <f>IFERROR(IF('Coach Card'!D37&lt;&gt;"",IF('Coach Card'!C37&lt;&gt;"",CONCATENATE("0",'Coach Card'!A37,":",IF('Coach Card'!B37&lt;10,CONCATENATE("0",'Coach Card'!B37),'Coach Card'!B37)," - 0",'Coach Card'!C37,":",IF('Coach Card'!D37&lt;10,CONCATENATE("0",'Coach Card'!D37),'Coach Card'!D37)),""),""),"")</f>
        <v/>
      </c>
      <c r="B25" s="123" t="str">
        <f ca="1">IF(OFFSET('Coach Card'!$F$17,U25,0)="Transition","Transition",IF(OFFSET('Coach Card'!$F$17,U25,0)="Transition - Surface Connection","SuCon",IF(OFFSET('Coach Card'!$F$17,U25,0)="Hybrid - Thrust + 2 connections","Req.Hybrid",IF(LEFT(OFFSET('Coach Card'!$F$17,U25,0),4)="Hybr","Hybrid",IF(LEFT(OFFSET('Coach Card'!$F$17,U25,0),4)="Acro",IF(RIGHT(OFFSET('Coach Card'!$F$17,U25,0),4)="Pair","Pair Acro","Acrobatic"),IF(LEFT(OFFSET('Coach Card'!$F$17,U25,0),4)="Tech","TRE",""))))))</f>
        <v/>
      </c>
      <c r="C25" s="355" t="str">
        <f ca="1">IF(OFFSET('Coach Card'!$G$17,U25,0)&gt;0,OFFSET('Coach Card'!$G$17,U25,0),"")</f>
        <v/>
      </c>
      <c r="D25" s="356"/>
      <c r="E25" s="123" t="str">
        <f ca="1">IF(OFFSET('Coach Card'!$H$17,U25,0)&gt;0,IF(OR(B25="Transition",F25="ChoHY"),"",OFFSET('Coach Card'!$H$17,U25,0)),"")</f>
        <v/>
      </c>
      <c r="F25" s="344" t="str">
        <f ca="1">CONCATENATE(IF(B25="Acrobatic",CONCATENATE(RIGHT(OFFSET('Coach Card'!$H$18,U25,0),1),V25),""),OFFSET('Coach Card'!$J$17,U25,0),IF(OFFSET('Coach Card'!$K$17,U25,0)&lt;&gt;"",V25,""),OFFSET('Coach Card'!$K$17,U25,0),IF(OFFSET('Coach Card'!$L$17,U25,0)&lt;&gt;"",V25,""),OFFSET('Coach Card'!$L$17,U25,0),IF(OFFSET('Coach Card'!$M$17,U25,0)&lt;&gt;"",V25,""),OFFSET('Coach Card'!$M$17,U25,0),IF(OFFSET('Coach Card'!$N$17,U25,0)&lt;&gt;"",IF(AND(LEFT(OFFSET('Coach Card'!$N$17,U25,0),1)="2",B25="Acrobatic"),"/",V25),""),OFFSET('Coach Card'!$N$17,U25,0),IF(OFFSET('Coach Card'!$O$17,U25,0)&lt;&gt;"",IF(AND(LEFT(OFFSET('Coach Card'!$O$17,U25,0),1)="2",B25="Acrobatic"),"/",V25),""),OFFSET('Coach Card'!$O$17,U25,0),IF(OFFSET('Coach Card'!$P$17,U25,0)&lt;&gt;"",V25,""),OFFSET('Coach Card'!$P$17,U25,0),IF(OFFSET('Coach Card'!$Q$17,U25,0)&lt;&gt;"",IF(LEFT(B25,4)="Acro"," + ",V25),""),OFFSET('Coach Card'!$Q$17,U25,0),IF(OFFSET('Coach Card'!$R$17,U25,0)&lt;&gt;"",IF(LEFT(B25,4)="Acro","/",V25),""),OFFSET('Coach Card'!$R$17,U25,0),IF(OFFSET('Coach Card'!$S$17,U25,0)&lt;&gt;"",V25,""),OFFSET('Coach Card'!$S$17,U25,0),IF(OFFSET('Coach Card'!$T$17,U25,0)&lt;&gt;"",V25,""),OFFSET('Coach Card'!$T$17,U25,0),IF(OFFSET('Coach Card'!$U$17,U25,0)&lt;&gt;"",V25,""),OFFSET('Coach Card'!$U$17,U25,0),IF(OFFSET('Coach Card'!$V$17,U25,0)&lt;&gt;"",V25,""),OFFSET('Coach Card'!$V$17,U25,0),IF(OFFSET('Coach Card'!$W$17,U25,0)&lt;&gt;"",V25,""),OFFSET('Coach Card'!$W$17,U25,0),IF(OFFSET('Coach Card'!$X$17,U25,0)&lt;&gt;"",V25,""),OFFSET('Coach Card'!$X$17,U25,0),IF(OFFSET('Coach Card'!$Y$17,U25,0)&lt;&gt;"",V25,""),OFFSET('Coach Card'!$Y$17,U25,0),IF(OFFSET('Coach Card'!$Z$17,U25,0)&lt;&gt;"",V25,""),OFFSET('Coach Card'!$Z$17,U25,0),IF(OFFSET('Coach Card'!$AA$17,U25,0)&lt;&gt;"",V25,""),OFFSET('Coach Card'!$AA$17,U25,0),IF(OFFSET('Coach Card'!$AB$17,U25,0)&lt;&gt;"",V25,""),OFFSET('Coach Card'!$AB$17,U25,0),IF(OFFSET('Coach Card'!$AC$17,U25,0)&lt;&gt;"",V25,""),OFFSET('Coach Card'!$AC$17,U25,0),IF(OFFSET('Coach Card'!$AD$17,U25,0)&lt;&gt;"",V25,""),OFFSET('Coach Card'!$AD$17,U25,0),IF(OFFSET('Coach Card'!$AE$17,U25,0)&lt;&gt;"",V25,""),OFFSET('Coach Card'!$AE$17,U25,0),IF(OFFSET('Coach Card'!$AF$17,U25,0)&lt;&gt;"",V25,""),OFFSET('Coach Card'!$AF$17,U25,0),IF(OFFSET('Coach Card'!$AG$17,U25,0)&lt;&gt;"",V25,""),OFFSET('Coach Card'!$AG$17,U25,0),IF(OFFSET('Coach Card'!$AH$17,U25,0)&lt;&gt;"",V25,""),OFFSET('Coach Card'!$AH$17,U25,0),IF(OFFSET('Coach Card'!$AI$17,U25,0)&lt;&gt;"",V25,""),OFFSET('Coach Card'!$AI$17,U25,0),IF(OFFSET('Coach Card'!$AJ$17,U25,0)&lt;&gt;"",V25,""),OFFSET('Coach Card'!$AJ$17,U25,0),IF(OFFSET('Coach Card'!$AK$17,U25,0)&lt;&gt;"",V25,""),OFFSET('Coach Card'!$AK$17,U25,0),IF(OFFSET('Coach Card'!$AL$17,U25,0)&lt;&gt;"",V25,""),OFFSET('Coach Card'!$AL$17,U25,0),IF(OFFSET('Coach Card'!$AM$17,U25,0)&lt;&gt;"",V25,""),OFFSET('Coach Card'!$AM$17,U25,0))</f>
        <v/>
      </c>
      <c r="G25" s="345"/>
      <c r="H25" s="345"/>
      <c r="I25" s="345"/>
      <c r="J25" s="345"/>
      <c r="K25" s="345"/>
      <c r="L25" s="345"/>
      <c r="M25" s="345"/>
      <c r="N25" s="345"/>
      <c r="O25" s="345"/>
      <c r="P25" s="345"/>
      <c r="Q25" s="346"/>
      <c r="R25" s="198" t="str">
        <f ca="1">IF(OR(LEFT(B25,4)="Acro",LEFT(B25,1)="T",LEFT(B25,1)=""),"",IF(OFFSET('Coach Card'!$AN$17,U25,0)="","",OFFSET('Coach Card'!$AN$17,U25,0)))</f>
        <v/>
      </c>
      <c r="S25" s="199" t="str">
        <f ca="1">IF(OFFSET('Coach Card'!$AO$18,U25,0)=0,"",OFFSET('Coach Card'!$AO$18,U25,0))</f>
        <v/>
      </c>
      <c r="T25" s="222"/>
      <c r="U25" s="257">
        <v>20</v>
      </c>
      <c r="V25" s="141" t="str">
        <f ca="1">IF(OFFSET('Coach Card'!$W$17,U25,0)&lt;&gt;"","-"," - ")</f>
        <v xml:space="preserve"> - </v>
      </c>
      <c r="W25" s="141">
        <v>18</v>
      </c>
      <c r="X25" s="141" t="str">
        <f ca="1">IF(OFFSET('Coach Card'!$BA$19,W25,0)="X","X","")</f>
        <v/>
      </c>
    </row>
    <row r="26" spans="1:24" ht="21.95" customHeight="1" x14ac:dyDescent="0.25">
      <c r="A26" s="123" t="str">
        <f>IFERROR(IF('Coach Card'!D39&lt;&gt;"",IF('Coach Card'!C39&lt;&gt;"",CONCATENATE("0",'Coach Card'!A39,":",IF('Coach Card'!B39&lt;10,CONCATENATE("0",'Coach Card'!B39),'Coach Card'!B39)," - 0",'Coach Card'!C39,":",IF('Coach Card'!D39&lt;10,CONCATENATE("0",'Coach Card'!D39),'Coach Card'!D39)),""),""),"")</f>
        <v/>
      </c>
      <c r="B26" s="123" t="str">
        <f ca="1">IF(OFFSET('Coach Card'!$F$17,U26,0)="Transition","Transition",IF(OFFSET('Coach Card'!$F$17,U26,0)="Transition - Surface Connection","SuCon",IF(OFFSET('Coach Card'!$F$17,U26,0)="Hybrid - Thrust + 2 connections","Req.Hybrid",IF(LEFT(OFFSET('Coach Card'!$F$17,U26,0),4)="Hybr","Hybrid",IF(LEFT(OFFSET('Coach Card'!$F$17,U26,0),4)="Acro",IF(RIGHT(OFFSET('Coach Card'!$F$17,U26,0),4)="Pair","Pair Acro","Acrobatic"),IF(LEFT(OFFSET('Coach Card'!$F$17,U26,0),4)="Tech","TRE",""))))))</f>
        <v/>
      </c>
      <c r="C26" s="355" t="str">
        <f ca="1">IF(OFFSET('Coach Card'!$G$17,U26,0)&gt;0,OFFSET('Coach Card'!$G$17,U26,0),"")</f>
        <v/>
      </c>
      <c r="D26" s="356"/>
      <c r="E26" s="123" t="str">
        <f ca="1">IF(OFFSET('Coach Card'!$H$17,U26,0)&gt;0,IF(OR(B26="Transition",F26="ChoHY"),"",OFFSET('Coach Card'!$H$17,U26,0)),"")</f>
        <v/>
      </c>
      <c r="F26" s="344" t="str">
        <f ca="1">CONCATENATE(IF(B26="Acrobatic",CONCATENATE(RIGHT(OFFSET('Coach Card'!$H$18,U26,0),1),V26),""),OFFSET('Coach Card'!$J$17,U26,0),IF(OFFSET('Coach Card'!$K$17,U26,0)&lt;&gt;"",V26,""),OFFSET('Coach Card'!$K$17,U26,0),IF(OFFSET('Coach Card'!$L$17,U26,0)&lt;&gt;"",V26,""),OFFSET('Coach Card'!$L$17,U26,0),IF(OFFSET('Coach Card'!$M$17,U26,0)&lt;&gt;"",V26,""),OFFSET('Coach Card'!$M$17,U26,0),IF(OFFSET('Coach Card'!$N$17,U26,0)&lt;&gt;"",IF(AND(LEFT(OFFSET('Coach Card'!$N$17,U26,0),1)="2",B26="Acrobatic"),"/",V26),""),OFFSET('Coach Card'!$N$17,U26,0),IF(OFFSET('Coach Card'!$O$17,U26,0)&lt;&gt;"",IF(AND(LEFT(OFFSET('Coach Card'!$O$17,U26,0),1)="2",B26="Acrobatic"),"/",V26),""),OFFSET('Coach Card'!$O$17,U26,0),IF(OFFSET('Coach Card'!$P$17,U26,0)&lt;&gt;"",V26,""),OFFSET('Coach Card'!$P$17,U26,0),IF(OFFSET('Coach Card'!$Q$17,U26,0)&lt;&gt;"",IF(LEFT(B26,4)="Acro"," + ",V26),""),OFFSET('Coach Card'!$Q$17,U26,0),IF(OFFSET('Coach Card'!$R$17,U26,0)&lt;&gt;"",IF(LEFT(B26,4)="Acro","/",V26),""),OFFSET('Coach Card'!$R$17,U26,0),IF(OFFSET('Coach Card'!$S$17,U26,0)&lt;&gt;"",V26,""),OFFSET('Coach Card'!$S$17,U26,0),IF(OFFSET('Coach Card'!$T$17,U26,0)&lt;&gt;"",V26,""),OFFSET('Coach Card'!$T$17,U26,0),IF(OFFSET('Coach Card'!$U$17,U26,0)&lt;&gt;"",V26,""),OFFSET('Coach Card'!$U$17,U26,0),IF(OFFSET('Coach Card'!$V$17,U26,0)&lt;&gt;"",V26,""),OFFSET('Coach Card'!$V$17,U26,0),IF(OFFSET('Coach Card'!$W$17,U26,0)&lt;&gt;"",V26,""),OFFSET('Coach Card'!$W$17,U26,0),IF(OFFSET('Coach Card'!$X$17,U26,0)&lt;&gt;"",V26,""),OFFSET('Coach Card'!$X$17,U26,0),IF(OFFSET('Coach Card'!$Y$17,U26,0)&lt;&gt;"",V26,""),OFFSET('Coach Card'!$Y$17,U26,0),IF(OFFSET('Coach Card'!$Z$17,U26,0)&lt;&gt;"",V26,""),OFFSET('Coach Card'!$Z$17,U26,0),IF(OFFSET('Coach Card'!$AA$17,U26,0)&lt;&gt;"",V26,""),OFFSET('Coach Card'!$AA$17,U26,0),IF(OFFSET('Coach Card'!$AB$17,U26,0)&lt;&gt;"",V26,""),OFFSET('Coach Card'!$AB$17,U26,0),IF(OFFSET('Coach Card'!$AC$17,U26,0)&lt;&gt;"",V26,""),OFFSET('Coach Card'!$AC$17,U26,0),IF(OFFSET('Coach Card'!$AD$17,U26,0)&lt;&gt;"",V26,""),OFFSET('Coach Card'!$AD$17,U26,0),IF(OFFSET('Coach Card'!$AE$17,U26,0)&lt;&gt;"",V26,""),OFFSET('Coach Card'!$AE$17,U26,0),IF(OFFSET('Coach Card'!$AF$17,U26,0)&lt;&gt;"",V26,""),OFFSET('Coach Card'!$AF$17,U26,0),IF(OFFSET('Coach Card'!$AG$17,U26,0)&lt;&gt;"",V26,""),OFFSET('Coach Card'!$AG$17,U26,0),IF(OFFSET('Coach Card'!$AH$17,U26,0)&lt;&gt;"",V26,""),OFFSET('Coach Card'!$AH$17,U26,0),IF(OFFSET('Coach Card'!$AI$17,U26,0)&lt;&gt;"",V26,""),OFFSET('Coach Card'!$AI$17,U26,0),IF(OFFSET('Coach Card'!$AJ$17,U26,0)&lt;&gt;"",V26,""),OFFSET('Coach Card'!$AJ$17,U26,0),IF(OFFSET('Coach Card'!$AK$17,U26,0)&lt;&gt;"",V26,""),OFFSET('Coach Card'!$AK$17,U26,0),IF(OFFSET('Coach Card'!$AL$17,U26,0)&lt;&gt;"",V26,""),OFFSET('Coach Card'!$AL$17,U26,0),IF(OFFSET('Coach Card'!$AM$17,U26,0)&lt;&gt;"",V26,""),OFFSET('Coach Card'!$AM$17,U26,0))</f>
        <v/>
      </c>
      <c r="G26" s="345"/>
      <c r="H26" s="345"/>
      <c r="I26" s="345"/>
      <c r="J26" s="345"/>
      <c r="K26" s="345"/>
      <c r="L26" s="345"/>
      <c r="M26" s="345"/>
      <c r="N26" s="345"/>
      <c r="O26" s="345"/>
      <c r="P26" s="345"/>
      <c r="Q26" s="346"/>
      <c r="R26" s="198" t="str">
        <f ca="1">IF(OR(LEFT(B26,4)="Acro",LEFT(B26,1)="T",LEFT(B26,1)=""),"",IF(OFFSET('Coach Card'!$AN$17,U26,0)="","",OFFSET('Coach Card'!$AN$17,U26,0)))</f>
        <v/>
      </c>
      <c r="S26" s="199" t="str">
        <f ca="1">IF(OFFSET('Coach Card'!$AO$18,U26,0)=0,"",OFFSET('Coach Card'!$AO$18,U26,0))</f>
        <v/>
      </c>
      <c r="T26" s="222"/>
      <c r="U26" s="257">
        <v>22</v>
      </c>
      <c r="V26" s="141" t="str">
        <f ca="1">IF(OFFSET('Coach Card'!$W$17,U26,0)&lt;&gt;"","-"," - ")</f>
        <v xml:space="preserve"> - </v>
      </c>
      <c r="W26" s="141">
        <v>20</v>
      </c>
      <c r="X26" s="141" t="str">
        <f ca="1">IF(OFFSET('Coach Card'!$BA$19,W26,0)="X","X","")</f>
        <v/>
      </c>
    </row>
    <row r="27" spans="1:24" ht="21.95" customHeight="1" x14ac:dyDescent="0.25">
      <c r="A27" s="123" t="str">
        <f>IFERROR(IF('Coach Card'!D41&lt;&gt;"",IF('Coach Card'!C41&lt;&gt;"",CONCATENATE("0",'Coach Card'!A41,":",IF('Coach Card'!B41&lt;10,CONCATENATE("0",'Coach Card'!B41),'Coach Card'!B41)," - 0",'Coach Card'!C41,":",IF('Coach Card'!D41&lt;10,CONCATENATE("0",'Coach Card'!D41),'Coach Card'!D41)),""),""),"")</f>
        <v/>
      </c>
      <c r="B27" s="123" t="str">
        <f ca="1">IF(OFFSET('Coach Card'!$F$17,U27,0)="Transition","Transition",IF(OFFSET('Coach Card'!$F$17,U27,0)="Transition - Surface Connection","SuCon",IF(OFFSET('Coach Card'!$F$17,U27,0)="Hybrid - Thrust + 2 connections","Req.Hybrid",IF(LEFT(OFFSET('Coach Card'!$F$17,U27,0),4)="Hybr","Hybrid",IF(LEFT(OFFSET('Coach Card'!$F$17,U27,0),4)="Acro",IF(RIGHT(OFFSET('Coach Card'!$F$17,U27,0),4)="Pair","Pair Acro","Acrobatic"),IF(LEFT(OFFSET('Coach Card'!$F$17,U27,0),4)="Tech","TRE",""))))))</f>
        <v/>
      </c>
      <c r="C27" s="355" t="str">
        <f ca="1">IF(OFFSET('Coach Card'!$G$17,U27,0)&gt;0,OFFSET('Coach Card'!$G$17,U27,0),"")</f>
        <v/>
      </c>
      <c r="D27" s="356"/>
      <c r="E27" s="123" t="str">
        <f ca="1">IF(OFFSET('Coach Card'!$H$17,U27,0)&gt;0,IF(OR(B27="Transition",F27="ChoHY"),"",OFFSET('Coach Card'!$H$17,U27,0)),"")</f>
        <v/>
      </c>
      <c r="F27" s="344" t="str">
        <f ca="1">CONCATENATE(IF(B27="Acrobatic",CONCATENATE(RIGHT(OFFSET('Coach Card'!$H$18,U27,0),1),V27),""),OFFSET('Coach Card'!$J$17,U27,0),IF(OFFSET('Coach Card'!$K$17,U27,0)&lt;&gt;"",V27,""),OFFSET('Coach Card'!$K$17,U27,0),IF(OFFSET('Coach Card'!$L$17,U27,0)&lt;&gt;"",V27,""),OFFSET('Coach Card'!$L$17,U27,0),IF(OFFSET('Coach Card'!$M$17,U27,0)&lt;&gt;"",V27,""),OFFSET('Coach Card'!$M$17,U27,0),IF(OFFSET('Coach Card'!$N$17,U27,0)&lt;&gt;"",IF(AND(LEFT(OFFSET('Coach Card'!$N$17,U27,0),1)="2",B27="Acrobatic"),"/",V27),""),OFFSET('Coach Card'!$N$17,U27,0),IF(OFFSET('Coach Card'!$O$17,U27,0)&lt;&gt;"",IF(AND(LEFT(OFFSET('Coach Card'!$O$17,U27,0),1)="2",B27="Acrobatic"),"/",V27),""),OFFSET('Coach Card'!$O$17,U27,0),IF(OFFSET('Coach Card'!$P$17,U27,0)&lt;&gt;"",V27,""),OFFSET('Coach Card'!$P$17,U27,0),IF(OFFSET('Coach Card'!$Q$17,U27,0)&lt;&gt;"",IF(LEFT(B27,4)="Acro"," + ",V27),""),OFFSET('Coach Card'!$Q$17,U27,0),IF(OFFSET('Coach Card'!$R$17,U27,0)&lt;&gt;"",IF(LEFT(B27,4)="Acro","/",V27),""),OFFSET('Coach Card'!$R$17,U27,0),IF(OFFSET('Coach Card'!$S$17,U27,0)&lt;&gt;"",V27,""),OFFSET('Coach Card'!$S$17,U27,0),IF(OFFSET('Coach Card'!$T$17,U27,0)&lt;&gt;"",V27,""),OFFSET('Coach Card'!$T$17,U27,0),IF(OFFSET('Coach Card'!$U$17,U27,0)&lt;&gt;"",V27,""),OFFSET('Coach Card'!$U$17,U27,0),IF(OFFSET('Coach Card'!$V$17,U27,0)&lt;&gt;"",V27,""),OFFSET('Coach Card'!$V$17,U27,0),IF(OFFSET('Coach Card'!$W$17,U27,0)&lt;&gt;"",V27,""),OFFSET('Coach Card'!$W$17,U27,0),IF(OFFSET('Coach Card'!$X$17,U27,0)&lt;&gt;"",V27,""),OFFSET('Coach Card'!$X$17,U27,0),IF(OFFSET('Coach Card'!$Y$17,U27,0)&lt;&gt;"",V27,""),OFFSET('Coach Card'!$Y$17,U27,0),IF(OFFSET('Coach Card'!$Z$17,U27,0)&lt;&gt;"",V27,""),OFFSET('Coach Card'!$Z$17,U27,0),IF(OFFSET('Coach Card'!$AA$17,U27,0)&lt;&gt;"",V27,""),OFFSET('Coach Card'!$AA$17,U27,0),IF(OFFSET('Coach Card'!$AB$17,U27,0)&lt;&gt;"",V27,""),OFFSET('Coach Card'!$AB$17,U27,0),IF(OFFSET('Coach Card'!$AC$17,U27,0)&lt;&gt;"",V27,""),OFFSET('Coach Card'!$AC$17,U27,0),IF(OFFSET('Coach Card'!$AD$17,U27,0)&lt;&gt;"",V27,""),OFFSET('Coach Card'!$AD$17,U27,0),IF(OFFSET('Coach Card'!$AE$17,U27,0)&lt;&gt;"",V27,""),OFFSET('Coach Card'!$AE$17,U27,0),IF(OFFSET('Coach Card'!$AF$17,U27,0)&lt;&gt;"",V27,""),OFFSET('Coach Card'!$AF$17,U27,0),IF(OFFSET('Coach Card'!$AG$17,U27,0)&lt;&gt;"",V27,""),OFFSET('Coach Card'!$AG$17,U27,0),IF(OFFSET('Coach Card'!$AH$17,U27,0)&lt;&gt;"",V27,""),OFFSET('Coach Card'!$AH$17,U27,0),IF(OFFSET('Coach Card'!$AI$17,U27,0)&lt;&gt;"",V27,""),OFFSET('Coach Card'!$AI$17,U27,0),IF(OFFSET('Coach Card'!$AJ$17,U27,0)&lt;&gt;"",V27,""),OFFSET('Coach Card'!$AJ$17,U27,0),IF(OFFSET('Coach Card'!$AK$17,U27,0)&lt;&gt;"",V27,""),OFFSET('Coach Card'!$AK$17,U27,0),IF(OFFSET('Coach Card'!$AL$17,U27,0)&lt;&gt;"",V27,""),OFFSET('Coach Card'!$AL$17,U27,0),IF(OFFSET('Coach Card'!$AM$17,U27,0)&lt;&gt;"",V27,""),OFFSET('Coach Card'!$AM$17,U27,0))</f>
        <v/>
      </c>
      <c r="G27" s="345"/>
      <c r="H27" s="345"/>
      <c r="I27" s="345"/>
      <c r="J27" s="345"/>
      <c r="K27" s="345"/>
      <c r="L27" s="345"/>
      <c r="M27" s="345"/>
      <c r="N27" s="345"/>
      <c r="O27" s="345"/>
      <c r="P27" s="345"/>
      <c r="Q27" s="346"/>
      <c r="R27" s="198" t="str">
        <f ca="1">IF(OR(LEFT(B27,4)="Acro",LEFT(B27,1)="T",LEFT(B27,1)=""),"",IF(OFFSET('Coach Card'!$AN$17,U27,0)="","",OFFSET('Coach Card'!$AN$17,U27,0)))</f>
        <v/>
      </c>
      <c r="S27" s="199" t="str">
        <f ca="1">IF(OFFSET('Coach Card'!$AO$18,U27,0)=0,"",OFFSET('Coach Card'!$AO$18,U27,0))</f>
        <v/>
      </c>
      <c r="T27" s="222"/>
      <c r="U27" s="257">
        <v>24</v>
      </c>
      <c r="V27" s="141" t="str">
        <f ca="1">IF(OFFSET('Coach Card'!$W$17,U27,0)&lt;&gt;"","-"," - ")</f>
        <v xml:space="preserve"> - </v>
      </c>
      <c r="W27" s="141">
        <v>22</v>
      </c>
      <c r="X27" s="141" t="str">
        <f ca="1">IF(OFFSET('Coach Card'!$BA$19,W27,0)="X","X","")</f>
        <v/>
      </c>
    </row>
    <row r="28" spans="1:24" ht="21.95" customHeight="1" x14ac:dyDescent="0.25">
      <c r="A28" s="123" t="str">
        <f>IFERROR(IF('Coach Card'!D43&lt;&gt;"",IF('Coach Card'!C43&lt;&gt;"",CONCATENATE("0",'Coach Card'!A43,":",IF('Coach Card'!B43&lt;10,CONCATENATE("0",'Coach Card'!B43),'Coach Card'!B43)," - 0",'Coach Card'!C43,":",IF('Coach Card'!D43&lt;10,CONCATENATE("0",'Coach Card'!D43),'Coach Card'!D43)),""),""),"")</f>
        <v/>
      </c>
      <c r="B28" s="123" t="str">
        <f ca="1">IF(OFFSET('Coach Card'!$F$17,U28,0)="Transition","Transition",IF(OFFSET('Coach Card'!$F$17,U28,0)="Transition - Surface Connection","SuCon",IF(OFFSET('Coach Card'!$F$17,U28,0)="Hybrid - Thrust + 2 connections","Req.Hybrid",IF(LEFT(OFFSET('Coach Card'!$F$17,U28,0),4)="Hybr","Hybrid",IF(LEFT(OFFSET('Coach Card'!$F$17,U28,0),4)="Acro",IF(RIGHT(OFFSET('Coach Card'!$F$17,U28,0),4)="Pair","Pair Acro","Acrobatic"),IF(LEFT(OFFSET('Coach Card'!$F$17,U28,0),4)="Tech","TRE",""))))))</f>
        <v/>
      </c>
      <c r="C28" s="355" t="str">
        <f ca="1">IF(OFFSET('Coach Card'!$G$17,U28,0)&gt;0,OFFSET('Coach Card'!$G$17,U28,0),"")</f>
        <v/>
      </c>
      <c r="D28" s="356"/>
      <c r="E28" s="123" t="str">
        <f ca="1">IF(OFFSET('Coach Card'!$H$17,U28,0)&gt;0,IF(OR(B28="Transition",F28="ChoHY"),"",OFFSET('Coach Card'!$H$17,U28,0)),"")</f>
        <v/>
      </c>
      <c r="F28" s="344" t="str">
        <f ca="1">CONCATENATE(IF(B28="Acrobatic",CONCATENATE(RIGHT(OFFSET('Coach Card'!$H$18,U28,0),1),V28),""),OFFSET('Coach Card'!$J$17,U28,0),IF(OFFSET('Coach Card'!$K$17,U28,0)&lt;&gt;"",V28,""),OFFSET('Coach Card'!$K$17,U28,0),IF(OFFSET('Coach Card'!$L$17,U28,0)&lt;&gt;"",V28,""),OFFSET('Coach Card'!$L$17,U28,0),IF(OFFSET('Coach Card'!$M$17,U28,0)&lt;&gt;"",V28,""),OFFSET('Coach Card'!$M$17,U28,0),IF(OFFSET('Coach Card'!$N$17,U28,0)&lt;&gt;"",IF(AND(LEFT(OFFSET('Coach Card'!$N$17,U28,0),1)="2",B28="Acrobatic"),"/",V28),""),OFFSET('Coach Card'!$N$17,U28,0),IF(OFFSET('Coach Card'!$O$17,U28,0)&lt;&gt;"",IF(AND(LEFT(OFFSET('Coach Card'!$O$17,U28,0),1)="2",B28="Acrobatic"),"/",V28),""),OFFSET('Coach Card'!$O$17,U28,0),IF(OFFSET('Coach Card'!$P$17,U28,0)&lt;&gt;"",V28,""),OFFSET('Coach Card'!$P$17,U28,0),IF(OFFSET('Coach Card'!$Q$17,U28,0)&lt;&gt;"",IF(LEFT(B28,4)="Acro"," + ",V28),""),OFFSET('Coach Card'!$Q$17,U28,0),IF(OFFSET('Coach Card'!$R$17,U28,0)&lt;&gt;"",IF(LEFT(B28,4)="Acro","/",V28),""),OFFSET('Coach Card'!$R$17,U28,0),IF(OFFSET('Coach Card'!$S$17,U28,0)&lt;&gt;"",V28,""),OFFSET('Coach Card'!$S$17,U28,0),IF(OFFSET('Coach Card'!$T$17,U28,0)&lt;&gt;"",V28,""),OFFSET('Coach Card'!$T$17,U28,0),IF(OFFSET('Coach Card'!$U$17,U28,0)&lt;&gt;"",V28,""),OFFSET('Coach Card'!$U$17,U28,0),IF(OFFSET('Coach Card'!$V$17,U28,0)&lt;&gt;"",V28,""),OFFSET('Coach Card'!$V$17,U28,0),IF(OFFSET('Coach Card'!$W$17,U28,0)&lt;&gt;"",V28,""),OFFSET('Coach Card'!$W$17,U28,0),IF(OFFSET('Coach Card'!$X$17,U28,0)&lt;&gt;"",V28,""),OFFSET('Coach Card'!$X$17,U28,0),IF(OFFSET('Coach Card'!$Y$17,U28,0)&lt;&gt;"",V28,""),OFFSET('Coach Card'!$Y$17,U28,0),IF(OFFSET('Coach Card'!$Z$17,U28,0)&lt;&gt;"",V28,""),OFFSET('Coach Card'!$Z$17,U28,0),IF(OFFSET('Coach Card'!$AA$17,U28,0)&lt;&gt;"",V28,""),OFFSET('Coach Card'!$AA$17,U28,0),IF(OFFSET('Coach Card'!$AB$17,U28,0)&lt;&gt;"",V28,""),OFFSET('Coach Card'!$AB$17,U28,0),IF(OFFSET('Coach Card'!$AC$17,U28,0)&lt;&gt;"",V28,""),OFFSET('Coach Card'!$AC$17,U28,0),IF(OFFSET('Coach Card'!$AD$17,U28,0)&lt;&gt;"",V28,""),OFFSET('Coach Card'!$AD$17,U28,0),IF(OFFSET('Coach Card'!$AE$17,U28,0)&lt;&gt;"",V28,""),OFFSET('Coach Card'!$AE$17,U28,0),IF(OFFSET('Coach Card'!$AF$17,U28,0)&lt;&gt;"",V28,""),OFFSET('Coach Card'!$AF$17,U28,0),IF(OFFSET('Coach Card'!$AG$17,U28,0)&lt;&gt;"",V28,""),OFFSET('Coach Card'!$AG$17,U28,0),IF(OFFSET('Coach Card'!$AH$17,U28,0)&lt;&gt;"",V28,""),OFFSET('Coach Card'!$AH$17,U28,0),IF(OFFSET('Coach Card'!$AI$17,U28,0)&lt;&gt;"",V28,""),OFFSET('Coach Card'!$AI$17,U28,0),IF(OFFSET('Coach Card'!$AJ$17,U28,0)&lt;&gt;"",V28,""),OFFSET('Coach Card'!$AJ$17,U28,0),IF(OFFSET('Coach Card'!$AK$17,U28,0)&lt;&gt;"",V28,""),OFFSET('Coach Card'!$AK$17,U28,0),IF(OFFSET('Coach Card'!$AL$17,U28,0)&lt;&gt;"",V28,""),OFFSET('Coach Card'!$AL$17,U28,0),IF(OFFSET('Coach Card'!$AM$17,U28,0)&lt;&gt;"",V28,""),OFFSET('Coach Card'!$AM$17,U28,0))</f>
        <v/>
      </c>
      <c r="G28" s="345"/>
      <c r="H28" s="345"/>
      <c r="I28" s="345"/>
      <c r="J28" s="345"/>
      <c r="K28" s="345"/>
      <c r="L28" s="345"/>
      <c r="M28" s="345"/>
      <c r="N28" s="345"/>
      <c r="O28" s="345"/>
      <c r="P28" s="345"/>
      <c r="Q28" s="346"/>
      <c r="R28" s="198" t="str">
        <f ca="1">IF(OR(LEFT(B28,4)="Acro",LEFT(B28,1)="T",LEFT(B28,1)=""),"",IF(OFFSET('Coach Card'!$AN$17,U28,0)="","",OFFSET('Coach Card'!$AN$17,U28,0)))</f>
        <v/>
      </c>
      <c r="S28" s="199" t="str">
        <f ca="1">IF(OFFSET('Coach Card'!$AO$18,U28,0)=0,"",OFFSET('Coach Card'!$AO$18,U28,0))</f>
        <v/>
      </c>
      <c r="T28" s="222"/>
      <c r="U28" s="257">
        <v>26</v>
      </c>
      <c r="V28" s="141" t="str">
        <f ca="1">IF(OFFSET('Coach Card'!$W$17,U28,0)&lt;&gt;"","-"," - ")</f>
        <v xml:space="preserve"> - </v>
      </c>
      <c r="W28" s="141">
        <v>24</v>
      </c>
      <c r="X28" s="141" t="str">
        <f ca="1">IF(OFFSET('Coach Card'!$BA$19,W28,0)="X","X","")</f>
        <v/>
      </c>
    </row>
    <row r="29" spans="1:24" ht="21.95" customHeight="1" x14ac:dyDescent="0.25">
      <c r="A29" s="123" t="str">
        <f>IFERROR(IF('Coach Card'!D45&lt;&gt;"",IF('Coach Card'!C45&lt;&gt;"",CONCATENATE("0",'Coach Card'!A45,":",IF('Coach Card'!B45&lt;10,CONCATENATE("0",'Coach Card'!B45),'Coach Card'!B45)," - 0",'Coach Card'!C45,":",IF('Coach Card'!D45&lt;10,CONCATENATE("0",'Coach Card'!D45),'Coach Card'!D45)),""),""),"")</f>
        <v/>
      </c>
      <c r="B29" s="123" t="str">
        <f ca="1">IF(OFFSET('Coach Card'!$F$17,U29,0)="Transition","Transition",IF(OFFSET('Coach Card'!$F$17,U29,0)="Transition - Surface Connection","SuCon",IF(OFFSET('Coach Card'!$F$17,U29,0)="Hybrid - Thrust + 2 connections","Req.Hybrid",IF(LEFT(OFFSET('Coach Card'!$F$17,U29,0),4)="Hybr","Hybrid",IF(LEFT(OFFSET('Coach Card'!$F$17,U29,0),4)="Acro",IF(RIGHT(OFFSET('Coach Card'!$F$17,U29,0),4)="Pair","Pair Acro","Acrobatic"),IF(LEFT(OFFSET('Coach Card'!$F$17,U29,0),4)="Tech","TRE",""))))))</f>
        <v/>
      </c>
      <c r="C29" s="355" t="str">
        <f ca="1">IF(OFFSET('Coach Card'!$G$17,U29,0)&gt;0,OFFSET('Coach Card'!$G$17,U29,0),"")</f>
        <v/>
      </c>
      <c r="D29" s="356"/>
      <c r="E29" s="123" t="str">
        <f ca="1">IF(OFFSET('Coach Card'!$H$17,U29,0)&gt;0,IF(OR(B29="Transition",F29="ChoHY"),"",OFFSET('Coach Card'!$H$17,U29,0)),"")</f>
        <v/>
      </c>
      <c r="F29" s="344" t="str">
        <f ca="1">CONCATENATE(IF(B29="Acrobatic",CONCATENATE(RIGHT(OFFSET('Coach Card'!$H$18,U29,0),1),V29),""),OFFSET('Coach Card'!$J$17,U29,0),IF(OFFSET('Coach Card'!$K$17,U29,0)&lt;&gt;"",V29,""),OFFSET('Coach Card'!$K$17,U29,0),IF(OFFSET('Coach Card'!$L$17,U29,0)&lt;&gt;"",V29,""),OFFSET('Coach Card'!$L$17,U29,0),IF(OFFSET('Coach Card'!$M$17,U29,0)&lt;&gt;"",V29,""),OFFSET('Coach Card'!$M$17,U29,0),IF(OFFSET('Coach Card'!$N$17,U29,0)&lt;&gt;"",IF(AND(LEFT(OFFSET('Coach Card'!$N$17,U29,0),1)="2",B29="Acrobatic"),"/",V29),""),OFFSET('Coach Card'!$N$17,U29,0),IF(OFFSET('Coach Card'!$O$17,U29,0)&lt;&gt;"",IF(AND(LEFT(OFFSET('Coach Card'!$O$17,U29,0),1)="2",B29="Acrobatic"),"/",V29),""),OFFSET('Coach Card'!$O$17,U29,0),IF(OFFSET('Coach Card'!$P$17,U29,0)&lt;&gt;"",V29,""),OFFSET('Coach Card'!$P$17,U29,0),IF(OFFSET('Coach Card'!$Q$17,U29,0)&lt;&gt;"",IF(LEFT(B29,4)="Acro"," + ",V29),""),OFFSET('Coach Card'!$Q$17,U29,0),IF(OFFSET('Coach Card'!$R$17,U29,0)&lt;&gt;"",IF(LEFT(B29,4)="Acro","/",V29),""),OFFSET('Coach Card'!$R$17,U29,0),IF(OFFSET('Coach Card'!$S$17,U29,0)&lt;&gt;"",V29,""),OFFSET('Coach Card'!$S$17,U29,0),IF(OFFSET('Coach Card'!$T$17,U29,0)&lt;&gt;"",V29,""),OFFSET('Coach Card'!$T$17,U29,0),IF(OFFSET('Coach Card'!$U$17,U29,0)&lt;&gt;"",V29,""),OFFSET('Coach Card'!$U$17,U29,0),IF(OFFSET('Coach Card'!$V$17,U29,0)&lt;&gt;"",V29,""),OFFSET('Coach Card'!$V$17,U29,0),IF(OFFSET('Coach Card'!$W$17,U29,0)&lt;&gt;"",V29,""),OFFSET('Coach Card'!$W$17,U29,0),IF(OFFSET('Coach Card'!$X$17,U29,0)&lt;&gt;"",V29,""),OFFSET('Coach Card'!$X$17,U29,0),IF(OFFSET('Coach Card'!$Y$17,U29,0)&lt;&gt;"",V29,""),OFFSET('Coach Card'!$Y$17,U29,0),IF(OFFSET('Coach Card'!$Z$17,U29,0)&lt;&gt;"",V29,""),OFFSET('Coach Card'!$Z$17,U29,0),IF(OFFSET('Coach Card'!$AA$17,U29,0)&lt;&gt;"",V29,""),OFFSET('Coach Card'!$AA$17,U29,0),IF(OFFSET('Coach Card'!$AB$17,U29,0)&lt;&gt;"",V29,""),OFFSET('Coach Card'!$AB$17,U29,0),IF(OFFSET('Coach Card'!$AC$17,U29,0)&lt;&gt;"",V29,""),OFFSET('Coach Card'!$AC$17,U29,0),IF(OFFSET('Coach Card'!$AD$17,U29,0)&lt;&gt;"",V29,""),OFFSET('Coach Card'!$AD$17,U29,0),IF(OFFSET('Coach Card'!$AE$17,U29,0)&lt;&gt;"",V29,""),OFFSET('Coach Card'!$AE$17,U29,0),IF(OFFSET('Coach Card'!$AF$17,U29,0)&lt;&gt;"",V29,""),OFFSET('Coach Card'!$AF$17,U29,0),IF(OFFSET('Coach Card'!$AG$17,U29,0)&lt;&gt;"",V29,""),OFFSET('Coach Card'!$AG$17,U29,0),IF(OFFSET('Coach Card'!$AH$17,U29,0)&lt;&gt;"",V29,""),OFFSET('Coach Card'!$AH$17,U29,0),IF(OFFSET('Coach Card'!$AI$17,U29,0)&lt;&gt;"",V29,""),OFFSET('Coach Card'!$AI$17,U29,0),IF(OFFSET('Coach Card'!$AJ$17,U29,0)&lt;&gt;"",V29,""),OFFSET('Coach Card'!$AJ$17,U29,0),IF(OFFSET('Coach Card'!$AK$17,U29,0)&lt;&gt;"",V29,""),OFFSET('Coach Card'!$AK$17,U29,0),IF(OFFSET('Coach Card'!$AL$17,U29,0)&lt;&gt;"",V29,""),OFFSET('Coach Card'!$AL$17,U29,0),IF(OFFSET('Coach Card'!$AM$17,U29,0)&lt;&gt;"",V29,""),OFFSET('Coach Card'!$AM$17,U29,0))</f>
        <v/>
      </c>
      <c r="G29" s="345"/>
      <c r="H29" s="345"/>
      <c r="I29" s="345"/>
      <c r="J29" s="345"/>
      <c r="K29" s="345"/>
      <c r="L29" s="345"/>
      <c r="M29" s="345"/>
      <c r="N29" s="345"/>
      <c r="O29" s="345"/>
      <c r="P29" s="345"/>
      <c r="Q29" s="346"/>
      <c r="R29" s="198" t="str">
        <f ca="1">IF(OR(LEFT(B29,4)="Acro",LEFT(B29,1)="T",LEFT(B29,1)=""),"",IF(OFFSET('Coach Card'!$AN$17,U29,0)="","",OFFSET('Coach Card'!$AN$17,U29,0)))</f>
        <v/>
      </c>
      <c r="S29" s="199" t="str">
        <f ca="1">IF(OFFSET('Coach Card'!$AO$18,U29,0)=0,"",OFFSET('Coach Card'!$AO$18,U29,0))</f>
        <v/>
      </c>
      <c r="T29" s="222"/>
      <c r="U29" s="257">
        <v>28</v>
      </c>
      <c r="V29" s="141" t="str">
        <f ca="1">IF(OFFSET('Coach Card'!$W$17,U29,0)&lt;&gt;"","-"," - ")</f>
        <v xml:space="preserve"> - </v>
      </c>
      <c r="W29" s="141">
        <v>26</v>
      </c>
      <c r="X29" s="141" t="str">
        <f ca="1">IF(OFFSET('Coach Card'!$BA$19,W29,0)="X","X","")</f>
        <v/>
      </c>
    </row>
    <row r="30" spans="1:24" ht="21.95" customHeight="1" x14ac:dyDescent="0.25">
      <c r="A30" s="123" t="str">
        <f>IFERROR(IF('Coach Card'!D47&lt;&gt;"",IF('Coach Card'!C47&lt;&gt;"",CONCATENATE("0",'Coach Card'!A47,":",IF('Coach Card'!B47&lt;10,CONCATENATE("0",'Coach Card'!B47),'Coach Card'!B47)," - 0",'Coach Card'!C47,":",IF('Coach Card'!D47&lt;10,CONCATENATE("0",'Coach Card'!D47),'Coach Card'!D47)),""),""),"")</f>
        <v/>
      </c>
      <c r="B30" s="123" t="str">
        <f ca="1">IF(OFFSET('Coach Card'!$F$17,U30,0)="Transition","Transition",IF(OFFSET('Coach Card'!$F$17,U30,0)="Transition - Surface Connection","SuCon",IF(OFFSET('Coach Card'!$F$17,U30,0)="Hybrid - Thrust + 2 connections","Req.Hybrid",IF(LEFT(OFFSET('Coach Card'!$F$17,U30,0),4)="Hybr","Hybrid",IF(LEFT(OFFSET('Coach Card'!$F$17,U30,0),4)="Acro",IF(RIGHT(OFFSET('Coach Card'!$F$17,U30,0),4)="Pair","Pair Acro","Acrobatic"),IF(LEFT(OFFSET('Coach Card'!$F$17,U30,0),4)="Tech","TRE",""))))))</f>
        <v/>
      </c>
      <c r="C30" s="355" t="str">
        <f ca="1">IF(OFFSET('Coach Card'!$G$17,U30,0)&gt;0,OFFSET('Coach Card'!$G$17,U30,0),"")</f>
        <v/>
      </c>
      <c r="D30" s="356"/>
      <c r="E30" s="123" t="str">
        <f ca="1">IF(OFFSET('Coach Card'!$H$17,U30,0)&gt;0,IF(OR(B30="Transition",F30="ChoHY"),"",OFFSET('Coach Card'!$H$17,U30,0)),"")</f>
        <v/>
      </c>
      <c r="F30" s="344" t="str">
        <f ca="1">CONCATENATE(IF(B30="Acrobatic",CONCATENATE(RIGHT(OFFSET('Coach Card'!$H$18,U30,0),1),V30),""),OFFSET('Coach Card'!$J$17,U30,0),IF(OFFSET('Coach Card'!$K$17,U30,0)&lt;&gt;"",V30,""),OFFSET('Coach Card'!$K$17,U30,0),IF(OFFSET('Coach Card'!$L$17,U30,0)&lt;&gt;"",V30,""),OFFSET('Coach Card'!$L$17,U30,0),IF(OFFSET('Coach Card'!$M$17,U30,0)&lt;&gt;"",V30,""),OFFSET('Coach Card'!$M$17,U30,0),IF(OFFSET('Coach Card'!$N$17,U30,0)&lt;&gt;"",IF(AND(LEFT(OFFSET('Coach Card'!$N$17,U30,0),1)="2",B30="Acrobatic"),"/",V30),""),OFFSET('Coach Card'!$N$17,U30,0),IF(OFFSET('Coach Card'!$O$17,U30,0)&lt;&gt;"",IF(AND(LEFT(OFFSET('Coach Card'!$O$17,U30,0),1)="2",B30="Acrobatic"),"/",V30),""),OFFSET('Coach Card'!$O$17,U30,0),IF(OFFSET('Coach Card'!$P$17,U30,0)&lt;&gt;"",V30,""),OFFSET('Coach Card'!$P$17,U30,0),IF(OFFSET('Coach Card'!$Q$17,U30,0)&lt;&gt;"",IF(LEFT(B30,4)="Acro"," + ",V30),""),OFFSET('Coach Card'!$Q$17,U30,0),IF(OFFSET('Coach Card'!$R$17,U30,0)&lt;&gt;"",IF(LEFT(B30,4)="Acro","/",V30),""),OFFSET('Coach Card'!$R$17,U30,0),IF(OFFSET('Coach Card'!$S$17,U30,0)&lt;&gt;"",V30,""),OFFSET('Coach Card'!$S$17,U30,0),IF(OFFSET('Coach Card'!$T$17,U30,0)&lt;&gt;"",V30,""),OFFSET('Coach Card'!$T$17,U30,0),IF(OFFSET('Coach Card'!$U$17,U30,0)&lt;&gt;"",V30,""),OFFSET('Coach Card'!$U$17,U30,0),IF(OFFSET('Coach Card'!$V$17,U30,0)&lt;&gt;"",V30,""),OFFSET('Coach Card'!$V$17,U30,0),IF(OFFSET('Coach Card'!$W$17,U30,0)&lt;&gt;"",V30,""),OFFSET('Coach Card'!$W$17,U30,0),IF(OFFSET('Coach Card'!$X$17,U30,0)&lt;&gt;"",V30,""),OFFSET('Coach Card'!$X$17,U30,0),IF(OFFSET('Coach Card'!$Y$17,U30,0)&lt;&gt;"",V30,""),OFFSET('Coach Card'!$Y$17,U30,0),IF(OFFSET('Coach Card'!$Z$17,U30,0)&lt;&gt;"",V30,""),OFFSET('Coach Card'!$Z$17,U30,0),IF(OFFSET('Coach Card'!$AA$17,U30,0)&lt;&gt;"",V30,""),OFFSET('Coach Card'!$AA$17,U30,0),IF(OFFSET('Coach Card'!$AB$17,U30,0)&lt;&gt;"",V30,""),OFFSET('Coach Card'!$AB$17,U30,0),IF(OFFSET('Coach Card'!$AC$17,U30,0)&lt;&gt;"",V30,""),OFFSET('Coach Card'!$AC$17,U30,0),IF(OFFSET('Coach Card'!$AD$17,U30,0)&lt;&gt;"",V30,""),OFFSET('Coach Card'!$AD$17,U30,0),IF(OFFSET('Coach Card'!$AE$17,U30,0)&lt;&gt;"",V30,""),OFFSET('Coach Card'!$AE$17,U30,0),IF(OFFSET('Coach Card'!$AF$17,U30,0)&lt;&gt;"",V30,""),OFFSET('Coach Card'!$AF$17,U30,0),IF(OFFSET('Coach Card'!$AG$17,U30,0)&lt;&gt;"",V30,""),OFFSET('Coach Card'!$AG$17,U30,0),IF(OFFSET('Coach Card'!$AH$17,U30,0)&lt;&gt;"",V30,""),OFFSET('Coach Card'!$AH$17,U30,0),IF(OFFSET('Coach Card'!$AI$17,U30,0)&lt;&gt;"",V30,""),OFFSET('Coach Card'!$AI$17,U30,0),IF(OFFSET('Coach Card'!$AJ$17,U30,0)&lt;&gt;"",V30,""),OFFSET('Coach Card'!$AJ$17,U30,0),IF(OFFSET('Coach Card'!$AK$17,U30,0)&lt;&gt;"",V30,""),OFFSET('Coach Card'!$AK$17,U30,0),IF(OFFSET('Coach Card'!$AL$17,U30,0)&lt;&gt;"",V30,""),OFFSET('Coach Card'!$AL$17,U30,0),IF(OFFSET('Coach Card'!$AM$17,U30,0)&lt;&gt;"",V30,""),OFFSET('Coach Card'!$AM$17,U30,0))</f>
        <v/>
      </c>
      <c r="G30" s="345"/>
      <c r="H30" s="345"/>
      <c r="I30" s="345"/>
      <c r="J30" s="345"/>
      <c r="K30" s="345"/>
      <c r="L30" s="345"/>
      <c r="M30" s="345"/>
      <c r="N30" s="345"/>
      <c r="O30" s="345"/>
      <c r="P30" s="345"/>
      <c r="Q30" s="346"/>
      <c r="R30" s="198" t="str">
        <f ca="1">IF(OR(LEFT(B30,4)="Acro",LEFT(B30,1)="T",LEFT(B30,1)=""),"",IF(OFFSET('Coach Card'!$AN$17,U30,0)="","",OFFSET('Coach Card'!$AN$17,U30,0)))</f>
        <v/>
      </c>
      <c r="S30" s="199" t="str">
        <f ca="1">IF(OFFSET('Coach Card'!$AO$18,U30,0)=0,"",OFFSET('Coach Card'!$AO$18,U30,0))</f>
        <v/>
      </c>
      <c r="T30" s="222"/>
      <c r="U30" s="257">
        <v>30</v>
      </c>
      <c r="V30" s="141" t="str">
        <f ca="1">IF(OFFSET('Coach Card'!$W$17,U30,0)&lt;&gt;"","-"," - ")</f>
        <v xml:space="preserve"> - </v>
      </c>
      <c r="W30" s="141">
        <v>28</v>
      </c>
      <c r="X30" s="141" t="str">
        <f ca="1">IF(OFFSET('Coach Card'!$BA$19,W30,0)="X","X","")</f>
        <v/>
      </c>
    </row>
    <row r="31" spans="1:24" ht="21.95" customHeight="1" x14ac:dyDescent="0.25">
      <c r="A31" s="123" t="str">
        <f>IFERROR(IF('Coach Card'!D49&lt;&gt;"",IF('Coach Card'!C49&lt;&gt;"",CONCATENATE("0",'Coach Card'!A49,":",IF('Coach Card'!B49&lt;10,CONCATENATE("0",'Coach Card'!B49),'Coach Card'!B49)," - 0",'Coach Card'!C49,":",IF('Coach Card'!D49&lt;10,CONCATENATE("0",'Coach Card'!D49),'Coach Card'!D49)),""),""),"")</f>
        <v/>
      </c>
      <c r="B31" s="123" t="str">
        <f ca="1">IF(OFFSET('Coach Card'!$F$17,U31,0)="Transition","Transition",IF(OFFSET('Coach Card'!$F$17,U31,0)="Transition - Surface Connection","SuCon",IF(OFFSET('Coach Card'!$F$17,U31,0)="Hybrid - Thrust + 2 connections","Req.Hybrid",IF(LEFT(OFFSET('Coach Card'!$F$17,U31,0),4)="Hybr","Hybrid",IF(LEFT(OFFSET('Coach Card'!$F$17,U31,0),4)="Acro",IF(RIGHT(OFFSET('Coach Card'!$F$17,U31,0),4)="Pair","Pair Acro","Acrobatic"),IF(LEFT(OFFSET('Coach Card'!$F$17,U31,0),4)="Tech","TRE",""))))))</f>
        <v/>
      </c>
      <c r="C31" s="355" t="str">
        <f ca="1">IF(OFFSET('Coach Card'!$G$17,U31,0)&gt;0,OFFSET('Coach Card'!$G$17,U31,0),"")</f>
        <v/>
      </c>
      <c r="D31" s="356"/>
      <c r="E31" s="123" t="str">
        <f ca="1">IF(OFFSET('Coach Card'!$H$17,U31,0)&gt;0,IF(OR(B31="Transition",F31="ChoHY"),"",OFFSET('Coach Card'!$H$17,U31,0)),"")</f>
        <v/>
      </c>
      <c r="F31" s="344" t="str">
        <f ca="1">CONCATENATE(IF(B31="Acrobatic",CONCATENATE(RIGHT(OFFSET('Coach Card'!$H$18,U31,0),1),V31),""),OFFSET('Coach Card'!$J$17,U31,0),IF(OFFSET('Coach Card'!$K$17,U31,0)&lt;&gt;"",V31,""),OFFSET('Coach Card'!$K$17,U31,0),IF(OFFSET('Coach Card'!$L$17,U31,0)&lt;&gt;"",V31,""),OFFSET('Coach Card'!$L$17,U31,0),IF(OFFSET('Coach Card'!$M$17,U31,0)&lt;&gt;"",V31,""),OFFSET('Coach Card'!$M$17,U31,0),IF(OFFSET('Coach Card'!$N$17,U31,0)&lt;&gt;"",IF(AND(LEFT(OFFSET('Coach Card'!$N$17,U31,0),1)="2",B31="Acrobatic"),"/",V31),""),OFFSET('Coach Card'!$N$17,U31,0),IF(OFFSET('Coach Card'!$O$17,U31,0)&lt;&gt;"",IF(AND(LEFT(OFFSET('Coach Card'!$O$17,U31,0),1)="2",B31="Acrobatic"),"/",V31),""),OFFSET('Coach Card'!$O$17,U31,0),IF(OFFSET('Coach Card'!$P$17,U31,0)&lt;&gt;"",V31,""),OFFSET('Coach Card'!$P$17,U31,0),IF(OFFSET('Coach Card'!$Q$17,U31,0)&lt;&gt;"",IF(LEFT(B31,4)="Acro"," + ",V31),""),OFFSET('Coach Card'!$Q$17,U31,0),IF(OFFSET('Coach Card'!$R$17,U31,0)&lt;&gt;"",IF(LEFT(B31,4)="Acro","/",V31),""),OFFSET('Coach Card'!$R$17,U31,0),IF(OFFSET('Coach Card'!$S$17,U31,0)&lt;&gt;"",V31,""),OFFSET('Coach Card'!$S$17,U31,0),IF(OFFSET('Coach Card'!$T$17,U31,0)&lt;&gt;"",V31,""),OFFSET('Coach Card'!$T$17,U31,0),IF(OFFSET('Coach Card'!$U$17,U31,0)&lt;&gt;"",V31,""),OFFSET('Coach Card'!$U$17,U31,0),IF(OFFSET('Coach Card'!$V$17,U31,0)&lt;&gt;"",V31,""),OFFSET('Coach Card'!$V$17,U31,0),IF(OFFSET('Coach Card'!$W$17,U31,0)&lt;&gt;"",V31,""),OFFSET('Coach Card'!$W$17,U31,0),IF(OFFSET('Coach Card'!$X$17,U31,0)&lt;&gt;"",V31,""),OFFSET('Coach Card'!$X$17,U31,0),IF(OFFSET('Coach Card'!$Y$17,U31,0)&lt;&gt;"",V31,""),OFFSET('Coach Card'!$Y$17,U31,0),IF(OFFSET('Coach Card'!$Z$17,U31,0)&lt;&gt;"",V31,""),OFFSET('Coach Card'!$Z$17,U31,0),IF(OFFSET('Coach Card'!$AA$17,U31,0)&lt;&gt;"",V31,""),OFFSET('Coach Card'!$AA$17,U31,0),IF(OFFSET('Coach Card'!$AB$17,U31,0)&lt;&gt;"",V31,""),OFFSET('Coach Card'!$AB$17,U31,0),IF(OFFSET('Coach Card'!$AC$17,U31,0)&lt;&gt;"",V31,""),OFFSET('Coach Card'!$AC$17,U31,0),IF(OFFSET('Coach Card'!$AD$17,U31,0)&lt;&gt;"",V31,""),OFFSET('Coach Card'!$AD$17,U31,0),IF(OFFSET('Coach Card'!$AE$17,U31,0)&lt;&gt;"",V31,""),OFFSET('Coach Card'!$AE$17,U31,0),IF(OFFSET('Coach Card'!$AF$17,U31,0)&lt;&gt;"",V31,""),OFFSET('Coach Card'!$AF$17,U31,0),IF(OFFSET('Coach Card'!$AG$17,U31,0)&lt;&gt;"",V31,""),OFFSET('Coach Card'!$AG$17,U31,0),IF(OFFSET('Coach Card'!$AH$17,U31,0)&lt;&gt;"",V31,""),OFFSET('Coach Card'!$AH$17,U31,0),IF(OFFSET('Coach Card'!$AI$17,U31,0)&lt;&gt;"",V31,""),OFFSET('Coach Card'!$AI$17,U31,0),IF(OFFSET('Coach Card'!$AJ$17,U31,0)&lt;&gt;"",V31,""),OFFSET('Coach Card'!$AJ$17,U31,0),IF(OFFSET('Coach Card'!$AK$17,U31,0)&lt;&gt;"",V31,""),OFFSET('Coach Card'!$AK$17,U31,0),IF(OFFSET('Coach Card'!$AL$17,U31,0)&lt;&gt;"",V31,""),OFFSET('Coach Card'!$AL$17,U31,0),IF(OFFSET('Coach Card'!$AM$17,U31,0)&lt;&gt;"",V31,""),OFFSET('Coach Card'!$AM$17,U31,0))</f>
        <v/>
      </c>
      <c r="G31" s="345"/>
      <c r="H31" s="345"/>
      <c r="I31" s="345"/>
      <c r="J31" s="345"/>
      <c r="K31" s="345"/>
      <c r="L31" s="345"/>
      <c r="M31" s="345"/>
      <c r="N31" s="345"/>
      <c r="O31" s="345"/>
      <c r="P31" s="345"/>
      <c r="Q31" s="346"/>
      <c r="R31" s="198" t="str">
        <f ca="1">IF(OR(LEFT(B31,4)="Acro",LEFT(B31,1)="T",LEFT(B31,1)=""),"",IF(OFFSET('Coach Card'!$AN$17,U31,0)="","",OFFSET('Coach Card'!$AN$17,U31,0)))</f>
        <v/>
      </c>
      <c r="S31" s="199" t="str">
        <f ca="1">IF(OFFSET('Coach Card'!$AO$18,U31,0)=0,"",OFFSET('Coach Card'!$AO$18,U31,0))</f>
        <v/>
      </c>
      <c r="T31" s="222"/>
      <c r="U31" s="257">
        <v>32</v>
      </c>
      <c r="V31" s="141" t="str">
        <f ca="1">IF(OFFSET('Coach Card'!$W$17,U31,0)&lt;&gt;"","-"," - ")</f>
        <v xml:space="preserve"> - </v>
      </c>
      <c r="W31" s="141">
        <v>30</v>
      </c>
      <c r="X31" s="141" t="str">
        <f ca="1">IF(OFFSET('Coach Card'!$BA$19,W31,0)="X","X","")</f>
        <v/>
      </c>
    </row>
    <row r="32" spans="1:24" ht="21.95" customHeight="1" x14ac:dyDescent="0.25">
      <c r="A32" s="123" t="str">
        <f>IFERROR(IF('Coach Card'!D51&lt;&gt;"",IF('Coach Card'!C51&lt;&gt;"",CONCATENATE("0",'Coach Card'!A51,":",IF('Coach Card'!B51&lt;10,CONCATENATE("0",'Coach Card'!B51),'Coach Card'!B51)," - 0",'Coach Card'!C51,":",IF('Coach Card'!D51&lt;10,CONCATENATE("0",'Coach Card'!D51),'Coach Card'!D51)),""),""),"")</f>
        <v/>
      </c>
      <c r="B32" s="123" t="str">
        <f ca="1">IF(OFFSET('Coach Card'!$F$17,U32,0)="Transition","Transition",IF(OFFSET('Coach Card'!$F$17,U32,0)="Transition - Surface Connection","SuCon",IF(OFFSET('Coach Card'!$F$17,U32,0)="Hybrid - Thrust + 2 connections","Req.Hybrid",IF(LEFT(OFFSET('Coach Card'!$F$17,U32,0),4)="Hybr","Hybrid",IF(LEFT(OFFSET('Coach Card'!$F$17,U32,0),4)="Acro",IF(RIGHT(OFFSET('Coach Card'!$F$17,U32,0),4)="Pair","Pair Acro","Acrobatic"),IF(LEFT(OFFSET('Coach Card'!$F$17,U32,0),4)="Tech","TRE",""))))))</f>
        <v/>
      </c>
      <c r="C32" s="355" t="str">
        <f ca="1">IF(OFFSET('Coach Card'!$G$17,U32,0)&gt;0,OFFSET('Coach Card'!$G$17,U32,0),"")</f>
        <v/>
      </c>
      <c r="D32" s="356"/>
      <c r="E32" s="123" t="str">
        <f ca="1">IF(OFFSET('Coach Card'!$H$17,U32,0)&gt;0,IF(OR(B32="Transition",F32="ChoHY"),"",OFFSET('Coach Card'!$H$17,U32,0)),"")</f>
        <v/>
      </c>
      <c r="F32" s="344" t="str">
        <f ca="1">CONCATENATE(IF(B32="Acrobatic",CONCATENATE(RIGHT(OFFSET('Coach Card'!$H$18,U32,0),1),V32),""),OFFSET('Coach Card'!$J$17,U32,0),IF(OFFSET('Coach Card'!$K$17,U32,0)&lt;&gt;"",V32,""),OFFSET('Coach Card'!$K$17,U32,0),IF(OFFSET('Coach Card'!$L$17,U32,0)&lt;&gt;"",V32,""),OFFSET('Coach Card'!$L$17,U32,0),IF(OFFSET('Coach Card'!$M$17,U32,0)&lt;&gt;"",V32,""),OFFSET('Coach Card'!$M$17,U32,0),IF(OFFSET('Coach Card'!$N$17,U32,0)&lt;&gt;"",IF(AND(LEFT(OFFSET('Coach Card'!$N$17,U32,0),1)="2",B32="Acrobatic"),"/",V32),""),OFFSET('Coach Card'!$N$17,U32,0),IF(OFFSET('Coach Card'!$O$17,U32,0)&lt;&gt;"",IF(AND(LEFT(OFFSET('Coach Card'!$O$17,U32,0),1)="2",B32="Acrobatic"),"/",V32),""),OFFSET('Coach Card'!$O$17,U32,0),IF(OFFSET('Coach Card'!$P$17,U32,0)&lt;&gt;"",V32,""),OFFSET('Coach Card'!$P$17,U32,0),IF(OFFSET('Coach Card'!$Q$17,U32,0)&lt;&gt;"",IF(LEFT(B32,4)="Acro"," + ",V32),""),OFFSET('Coach Card'!$Q$17,U32,0),IF(OFFSET('Coach Card'!$R$17,U32,0)&lt;&gt;"",IF(LEFT(B32,4)="Acro","/",V32),""),OFFSET('Coach Card'!$R$17,U32,0),IF(OFFSET('Coach Card'!$S$17,U32,0)&lt;&gt;"",V32,""),OFFSET('Coach Card'!$S$17,U32,0),IF(OFFSET('Coach Card'!$T$17,U32,0)&lt;&gt;"",V32,""),OFFSET('Coach Card'!$T$17,U32,0),IF(OFFSET('Coach Card'!$U$17,U32,0)&lt;&gt;"",V32,""),OFFSET('Coach Card'!$U$17,U32,0),IF(OFFSET('Coach Card'!$V$17,U32,0)&lt;&gt;"",V32,""),OFFSET('Coach Card'!$V$17,U32,0),IF(OFFSET('Coach Card'!$W$17,U32,0)&lt;&gt;"",V32,""),OFFSET('Coach Card'!$W$17,U32,0),IF(OFFSET('Coach Card'!$X$17,U32,0)&lt;&gt;"",V32,""),OFFSET('Coach Card'!$X$17,U32,0),IF(OFFSET('Coach Card'!$Y$17,U32,0)&lt;&gt;"",V32,""),OFFSET('Coach Card'!$Y$17,U32,0),IF(OFFSET('Coach Card'!$Z$17,U32,0)&lt;&gt;"",V32,""),OFFSET('Coach Card'!$Z$17,U32,0),IF(OFFSET('Coach Card'!$AA$17,U32,0)&lt;&gt;"",V32,""),OFFSET('Coach Card'!$AA$17,U32,0),IF(OFFSET('Coach Card'!$AB$17,U32,0)&lt;&gt;"",V32,""),OFFSET('Coach Card'!$AB$17,U32,0),IF(OFFSET('Coach Card'!$AC$17,U32,0)&lt;&gt;"",V32,""),OFFSET('Coach Card'!$AC$17,U32,0),IF(OFFSET('Coach Card'!$AD$17,U32,0)&lt;&gt;"",V32,""),OFFSET('Coach Card'!$AD$17,U32,0),IF(OFFSET('Coach Card'!$AE$17,U32,0)&lt;&gt;"",V32,""),OFFSET('Coach Card'!$AE$17,U32,0),IF(OFFSET('Coach Card'!$AF$17,U32,0)&lt;&gt;"",V32,""),OFFSET('Coach Card'!$AF$17,U32,0),IF(OFFSET('Coach Card'!$AG$17,U32,0)&lt;&gt;"",V32,""),OFFSET('Coach Card'!$AG$17,U32,0),IF(OFFSET('Coach Card'!$AH$17,U32,0)&lt;&gt;"",V32,""),OFFSET('Coach Card'!$AH$17,U32,0),IF(OFFSET('Coach Card'!$AI$17,U32,0)&lt;&gt;"",V32,""),OFFSET('Coach Card'!$AI$17,U32,0),IF(OFFSET('Coach Card'!$AJ$17,U32,0)&lt;&gt;"",V32,""),OFFSET('Coach Card'!$AJ$17,U32,0),IF(OFFSET('Coach Card'!$AK$17,U32,0)&lt;&gt;"",V32,""),OFFSET('Coach Card'!$AK$17,U32,0),IF(OFFSET('Coach Card'!$AL$17,U32,0)&lt;&gt;"",V32,""),OFFSET('Coach Card'!$AL$17,U32,0),IF(OFFSET('Coach Card'!$AM$17,U32,0)&lt;&gt;"",V32,""),OFFSET('Coach Card'!$AM$17,U32,0))</f>
        <v/>
      </c>
      <c r="G32" s="345"/>
      <c r="H32" s="345"/>
      <c r="I32" s="345"/>
      <c r="J32" s="345"/>
      <c r="K32" s="345"/>
      <c r="L32" s="345"/>
      <c r="M32" s="345"/>
      <c r="N32" s="345"/>
      <c r="O32" s="345"/>
      <c r="P32" s="345"/>
      <c r="Q32" s="346"/>
      <c r="R32" s="198" t="str">
        <f ca="1">IF(OR(LEFT(B32,4)="Acro",LEFT(B32,1)="T",LEFT(B32,1)=""),"",IF(OFFSET('Coach Card'!$AN$17,U32,0)="","",OFFSET('Coach Card'!$AN$17,U32,0)))</f>
        <v/>
      </c>
      <c r="S32" s="199" t="str">
        <f ca="1">IF(OFFSET('Coach Card'!$AO$18,U32,0)=0,"",OFFSET('Coach Card'!$AO$18,U32,0))</f>
        <v/>
      </c>
      <c r="T32" s="222"/>
      <c r="U32" s="257">
        <v>34</v>
      </c>
      <c r="V32" s="141" t="str">
        <f ca="1">IF(OFFSET('Coach Card'!$W$17,U32,0)&lt;&gt;"","-"," - ")</f>
        <v xml:space="preserve"> - </v>
      </c>
      <c r="W32" s="141">
        <v>32</v>
      </c>
      <c r="X32" s="141" t="str">
        <f ca="1">IF(OFFSET('Coach Card'!$BA$19,W32,0)="X","X","")</f>
        <v/>
      </c>
    </row>
    <row r="33" spans="1:24" ht="21.95" customHeight="1" x14ac:dyDescent="0.25">
      <c r="A33" s="123" t="str">
        <f>IFERROR(IF('Coach Card'!D53&lt;&gt;"",IF('Coach Card'!C53&lt;&gt;"",CONCATENATE("0",'Coach Card'!A53,":",IF('Coach Card'!B53&lt;10,CONCATENATE("0",'Coach Card'!B53),'Coach Card'!B53)," - 0",'Coach Card'!C53,":",IF('Coach Card'!D53&lt;10,CONCATENATE("0",'Coach Card'!D53),'Coach Card'!D53)),""),""),"")</f>
        <v/>
      </c>
      <c r="B33" s="123" t="str">
        <f ca="1">IF(OFFSET('Coach Card'!$F$17,U33,0)="Transition","Transition",IF(OFFSET('Coach Card'!$F$17,U33,0)="Transition - Surface Connection","SuCon",IF(OFFSET('Coach Card'!$F$17,U33,0)="Hybrid - Thrust + 2 connections","Req.Hybrid",IF(LEFT(OFFSET('Coach Card'!$F$17,U33,0),4)="Hybr","Hybrid",IF(LEFT(OFFSET('Coach Card'!$F$17,U33,0),4)="Acro",IF(RIGHT(OFFSET('Coach Card'!$F$17,U33,0),4)="Pair","Pair Acro","Acrobatic"),IF(LEFT(OFFSET('Coach Card'!$F$17,U33,0),4)="Tech","TRE",""))))))</f>
        <v/>
      </c>
      <c r="C33" s="355" t="str">
        <f ca="1">IF(OFFSET('Coach Card'!$G$17,U33,0)&gt;0,OFFSET('Coach Card'!$G$17,U33,0),"")</f>
        <v/>
      </c>
      <c r="D33" s="356"/>
      <c r="E33" s="123" t="str">
        <f ca="1">IF(OFFSET('Coach Card'!$H$17,U33,0)&gt;0,IF(OR(B33="Transition",F33="ChoHY"),"",OFFSET('Coach Card'!$H$17,U33,0)),"")</f>
        <v/>
      </c>
      <c r="F33" s="344" t="str">
        <f ca="1">CONCATENATE(IF(B33="Acrobatic",CONCATENATE(RIGHT(OFFSET('Coach Card'!$H$18,U33,0),1),V33),""),OFFSET('Coach Card'!$J$17,U33,0),IF(OFFSET('Coach Card'!$K$17,U33,0)&lt;&gt;"",V33,""),OFFSET('Coach Card'!$K$17,U33,0),IF(OFFSET('Coach Card'!$L$17,U33,0)&lt;&gt;"",V33,""),OFFSET('Coach Card'!$L$17,U33,0),IF(OFFSET('Coach Card'!$M$17,U33,0)&lt;&gt;"",V33,""),OFFSET('Coach Card'!$M$17,U33,0),IF(OFFSET('Coach Card'!$N$17,U33,0)&lt;&gt;"",IF(AND(LEFT(OFFSET('Coach Card'!$N$17,U33,0),1)="2",B33="Acrobatic"),"/",V33),""),OFFSET('Coach Card'!$N$17,U33,0),IF(OFFSET('Coach Card'!$O$17,U33,0)&lt;&gt;"",IF(AND(LEFT(OFFSET('Coach Card'!$O$17,U33,0),1)="2",B33="Acrobatic"),"/",V33),""),OFFSET('Coach Card'!$O$17,U33,0),IF(OFFSET('Coach Card'!$P$17,U33,0)&lt;&gt;"",V33,""),OFFSET('Coach Card'!$P$17,U33,0),IF(OFFSET('Coach Card'!$Q$17,U33,0)&lt;&gt;"",IF(LEFT(B33,4)="Acro"," + ",V33),""),OFFSET('Coach Card'!$Q$17,U33,0),IF(OFFSET('Coach Card'!$R$17,U33,0)&lt;&gt;"",IF(LEFT(B33,4)="Acro","/",V33),""),OFFSET('Coach Card'!$R$17,U33,0),IF(OFFSET('Coach Card'!$S$17,U33,0)&lt;&gt;"",V33,""),OFFSET('Coach Card'!$S$17,U33,0),IF(OFFSET('Coach Card'!$T$17,U33,0)&lt;&gt;"",V33,""),OFFSET('Coach Card'!$T$17,U33,0),IF(OFFSET('Coach Card'!$U$17,U33,0)&lt;&gt;"",V33,""),OFFSET('Coach Card'!$U$17,U33,0),IF(OFFSET('Coach Card'!$V$17,U33,0)&lt;&gt;"",V33,""),OFFSET('Coach Card'!$V$17,U33,0),IF(OFFSET('Coach Card'!$W$17,U33,0)&lt;&gt;"",V33,""),OFFSET('Coach Card'!$W$17,U33,0),IF(OFFSET('Coach Card'!$X$17,U33,0)&lt;&gt;"",V33,""),OFFSET('Coach Card'!$X$17,U33,0),IF(OFFSET('Coach Card'!$Y$17,U33,0)&lt;&gt;"",V33,""),OFFSET('Coach Card'!$Y$17,U33,0),IF(OFFSET('Coach Card'!$Z$17,U33,0)&lt;&gt;"",V33,""),OFFSET('Coach Card'!$Z$17,U33,0),IF(OFFSET('Coach Card'!$AA$17,U33,0)&lt;&gt;"",V33,""),OFFSET('Coach Card'!$AA$17,U33,0),IF(OFFSET('Coach Card'!$AB$17,U33,0)&lt;&gt;"",V33,""),OFFSET('Coach Card'!$AB$17,U33,0),IF(OFFSET('Coach Card'!$AC$17,U33,0)&lt;&gt;"",V33,""),OFFSET('Coach Card'!$AC$17,U33,0),IF(OFFSET('Coach Card'!$AD$17,U33,0)&lt;&gt;"",V33,""),OFFSET('Coach Card'!$AD$17,U33,0),IF(OFFSET('Coach Card'!$AE$17,U33,0)&lt;&gt;"",V33,""),OFFSET('Coach Card'!$AE$17,U33,0),IF(OFFSET('Coach Card'!$AF$17,U33,0)&lt;&gt;"",V33,""),OFFSET('Coach Card'!$AF$17,U33,0),IF(OFFSET('Coach Card'!$AG$17,U33,0)&lt;&gt;"",V33,""),OFFSET('Coach Card'!$AG$17,U33,0),IF(OFFSET('Coach Card'!$AH$17,U33,0)&lt;&gt;"",V33,""),OFFSET('Coach Card'!$AH$17,U33,0),IF(OFFSET('Coach Card'!$AI$17,U33,0)&lt;&gt;"",V33,""),OFFSET('Coach Card'!$AI$17,U33,0),IF(OFFSET('Coach Card'!$AJ$17,U33,0)&lt;&gt;"",V33,""),OFFSET('Coach Card'!$AJ$17,U33,0),IF(OFFSET('Coach Card'!$AK$17,U33,0)&lt;&gt;"",V33,""),OFFSET('Coach Card'!$AK$17,U33,0),IF(OFFSET('Coach Card'!$AL$17,U33,0)&lt;&gt;"",V33,""),OFFSET('Coach Card'!$AL$17,U33,0),IF(OFFSET('Coach Card'!$AM$17,U33,0)&lt;&gt;"",V33,""),OFFSET('Coach Card'!$AM$17,U33,0))</f>
        <v/>
      </c>
      <c r="G33" s="345"/>
      <c r="H33" s="345"/>
      <c r="I33" s="345"/>
      <c r="J33" s="345"/>
      <c r="K33" s="345"/>
      <c r="L33" s="345"/>
      <c r="M33" s="345"/>
      <c r="N33" s="345"/>
      <c r="O33" s="345"/>
      <c r="P33" s="345"/>
      <c r="Q33" s="346"/>
      <c r="R33" s="198" t="str">
        <f ca="1">IF(OR(LEFT(B33,4)="Acro",LEFT(B33,1)="T",LEFT(B33,1)=""),"",IF(OFFSET('Coach Card'!$AN$17,U33,0)="","",OFFSET('Coach Card'!$AN$17,U33,0)))</f>
        <v/>
      </c>
      <c r="S33" s="199" t="str">
        <f ca="1">IF(OFFSET('Coach Card'!$AO$18,U33,0)=0,"",OFFSET('Coach Card'!$AO$18,U33,0))</f>
        <v/>
      </c>
      <c r="T33" s="222"/>
      <c r="U33" s="257">
        <v>36</v>
      </c>
      <c r="V33" s="141" t="str">
        <f ca="1">IF(OFFSET('Coach Card'!$W$17,U33,0)&lt;&gt;"","-"," - ")</f>
        <v xml:space="preserve"> - </v>
      </c>
      <c r="W33" s="141">
        <v>34</v>
      </c>
      <c r="X33" s="141" t="str">
        <f ca="1">IF(OFFSET('Coach Card'!$BA$19,W33,0)="X","X","")</f>
        <v/>
      </c>
    </row>
    <row r="34" spans="1:24" ht="21.95" customHeight="1" x14ac:dyDescent="0.25">
      <c r="A34" s="123" t="str">
        <f>IFERROR(IF('Coach Card'!D55&lt;&gt;"",IF('Coach Card'!C55&lt;&gt;"",CONCATENATE("0",'Coach Card'!A55,":",IF('Coach Card'!B55&lt;10,CONCATENATE("0",'Coach Card'!B55),'Coach Card'!B55)," - 0",'Coach Card'!C55,":",IF('Coach Card'!D55&lt;10,CONCATENATE("0",'Coach Card'!D55),'Coach Card'!D55)),""),""),"")</f>
        <v/>
      </c>
      <c r="B34" s="123" t="str">
        <f ca="1">IF(OFFSET('Coach Card'!$F$17,U34,0)="Transition","Transition",IF(OFFSET('Coach Card'!$F$17,U34,0)="Transition - Surface Connection","SuCon",IF(OFFSET('Coach Card'!$F$17,U34,0)="Hybrid - Thrust + 2 connections","Req.Hybrid",IF(LEFT(OFFSET('Coach Card'!$F$17,U34,0),4)="Hybr","Hybrid",IF(LEFT(OFFSET('Coach Card'!$F$17,U34,0),4)="Acro",IF(RIGHT(OFFSET('Coach Card'!$F$17,U34,0),4)="Pair","Pair Acro","Acrobatic"),IF(LEFT(OFFSET('Coach Card'!$F$17,U34,0),4)="Tech","TRE",""))))))</f>
        <v/>
      </c>
      <c r="C34" s="355" t="str">
        <f ca="1">IF(OFFSET('Coach Card'!$G$17,U34,0)&gt;0,OFFSET('Coach Card'!$G$17,U34,0),"")</f>
        <v/>
      </c>
      <c r="D34" s="356"/>
      <c r="E34" s="123" t="str">
        <f ca="1">IF(OFFSET('Coach Card'!$H$17,U34,0)&gt;0,IF(OR(B34="Transition",F34="ChoHY"),"",OFFSET('Coach Card'!$H$17,U34,0)),"")</f>
        <v/>
      </c>
      <c r="F34" s="344" t="str">
        <f ca="1">CONCATENATE(IF(B34="Acrobatic",CONCATENATE(RIGHT(OFFSET('Coach Card'!$H$18,U34,0),1),V34),""),OFFSET('Coach Card'!$J$17,U34,0),IF(OFFSET('Coach Card'!$K$17,U34,0)&lt;&gt;"",V34,""),OFFSET('Coach Card'!$K$17,U34,0),IF(OFFSET('Coach Card'!$L$17,U34,0)&lt;&gt;"",V34,""),OFFSET('Coach Card'!$L$17,U34,0),IF(OFFSET('Coach Card'!$M$17,U34,0)&lt;&gt;"",V34,""),OFFSET('Coach Card'!$M$17,U34,0),IF(OFFSET('Coach Card'!$N$17,U34,0)&lt;&gt;"",IF(AND(LEFT(OFFSET('Coach Card'!$N$17,U34,0),1)="2",B34="Acrobatic"),"/",V34),""),OFFSET('Coach Card'!$N$17,U34,0),IF(OFFSET('Coach Card'!$O$17,U34,0)&lt;&gt;"",IF(AND(LEFT(OFFSET('Coach Card'!$O$17,U34,0),1)="2",B34="Acrobatic"),"/",V34),""),OFFSET('Coach Card'!$O$17,U34,0),IF(OFFSET('Coach Card'!$P$17,U34,0)&lt;&gt;"",V34,""),OFFSET('Coach Card'!$P$17,U34,0),IF(OFFSET('Coach Card'!$Q$17,U34,0)&lt;&gt;"",IF(LEFT(B34,4)="Acro"," + ",V34),""),OFFSET('Coach Card'!$Q$17,U34,0),IF(OFFSET('Coach Card'!$R$17,U34,0)&lt;&gt;"",IF(LEFT(B34,4)="Acro","/",V34),""),OFFSET('Coach Card'!$R$17,U34,0),IF(OFFSET('Coach Card'!$S$17,U34,0)&lt;&gt;"",V34,""),OFFSET('Coach Card'!$S$17,U34,0),IF(OFFSET('Coach Card'!$T$17,U34,0)&lt;&gt;"",V34,""),OFFSET('Coach Card'!$T$17,U34,0),IF(OFFSET('Coach Card'!$U$17,U34,0)&lt;&gt;"",V34,""),OFFSET('Coach Card'!$U$17,U34,0),IF(OFFSET('Coach Card'!$V$17,U34,0)&lt;&gt;"",V34,""),OFFSET('Coach Card'!$V$17,U34,0),IF(OFFSET('Coach Card'!$W$17,U34,0)&lt;&gt;"",V34,""),OFFSET('Coach Card'!$W$17,U34,0),IF(OFFSET('Coach Card'!$X$17,U34,0)&lt;&gt;"",V34,""),OFFSET('Coach Card'!$X$17,U34,0),IF(OFFSET('Coach Card'!$Y$17,U34,0)&lt;&gt;"",V34,""),OFFSET('Coach Card'!$Y$17,U34,0),IF(OFFSET('Coach Card'!$Z$17,U34,0)&lt;&gt;"",V34,""),OFFSET('Coach Card'!$Z$17,U34,0),IF(OFFSET('Coach Card'!$AA$17,U34,0)&lt;&gt;"",V34,""),OFFSET('Coach Card'!$AA$17,U34,0),IF(OFFSET('Coach Card'!$AB$17,U34,0)&lt;&gt;"",V34,""),OFFSET('Coach Card'!$AB$17,U34,0),IF(OFFSET('Coach Card'!$AC$17,U34,0)&lt;&gt;"",V34,""),OFFSET('Coach Card'!$AC$17,U34,0),IF(OFFSET('Coach Card'!$AD$17,U34,0)&lt;&gt;"",V34,""),OFFSET('Coach Card'!$AD$17,U34,0),IF(OFFSET('Coach Card'!$AE$17,U34,0)&lt;&gt;"",V34,""),OFFSET('Coach Card'!$AE$17,U34,0),IF(OFFSET('Coach Card'!$AF$17,U34,0)&lt;&gt;"",V34,""),OFFSET('Coach Card'!$AF$17,U34,0),IF(OFFSET('Coach Card'!$AG$17,U34,0)&lt;&gt;"",V34,""),OFFSET('Coach Card'!$AG$17,U34,0),IF(OFFSET('Coach Card'!$AH$17,U34,0)&lt;&gt;"",V34,""),OFFSET('Coach Card'!$AH$17,U34,0),IF(OFFSET('Coach Card'!$AI$17,U34,0)&lt;&gt;"",V34,""),OFFSET('Coach Card'!$AI$17,U34,0),IF(OFFSET('Coach Card'!$AJ$17,U34,0)&lt;&gt;"",V34,""),OFFSET('Coach Card'!$AJ$17,U34,0),IF(OFFSET('Coach Card'!$AK$17,U34,0)&lt;&gt;"",V34,""),OFFSET('Coach Card'!$AK$17,U34,0),IF(OFFSET('Coach Card'!$AL$17,U34,0)&lt;&gt;"",V34,""),OFFSET('Coach Card'!$AL$17,U34,0),IF(OFFSET('Coach Card'!$AM$17,U34,0)&lt;&gt;"",V34,""),OFFSET('Coach Card'!$AM$17,U34,0))</f>
        <v/>
      </c>
      <c r="G34" s="345"/>
      <c r="H34" s="345"/>
      <c r="I34" s="345"/>
      <c r="J34" s="345"/>
      <c r="K34" s="345"/>
      <c r="L34" s="345"/>
      <c r="M34" s="345"/>
      <c r="N34" s="345"/>
      <c r="O34" s="345"/>
      <c r="P34" s="345"/>
      <c r="Q34" s="346"/>
      <c r="R34" s="198" t="str">
        <f ca="1">IF(OR(LEFT(B34,4)="Acro",LEFT(B34,1)="T",LEFT(B34,1)=""),"",IF(OFFSET('Coach Card'!$AN$17,U34,0)="","",OFFSET('Coach Card'!$AN$17,U34,0)))</f>
        <v/>
      </c>
      <c r="S34" s="199" t="str">
        <f ca="1">IF(OFFSET('Coach Card'!$AO$18,U34,0)=0,"",OFFSET('Coach Card'!$AO$18,U34,0))</f>
        <v/>
      </c>
      <c r="T34" s="222"/>
      <c r="U34" s="257">
        <v>38</v>
      </c>
      <c r="V34" s="141" t="str">
        <f ca="1">IF(OFFSET('Coach Card'!$W$17,U34,0)&lt;&gt;"","-"," - ")</f>
        <v xml:space="preserve"> - </v>
      </c>
      <c r="W34" s="141">
        <v>36</v>
      </c>
      <c r="X34" s="141" t="str">
        <f ca="1">IF(OFFSET('Coach Card'!$BA$19,W34,0)="X","X","")</f>
        <v/>
      </c>
    </row>
    <row r="35" spans="1:24" ht="21.95" customHeight="1" x14ac:dyDescent="0.25">
      <c r="A35" s="123" t="str">
        <f>IFERROR(IF('Coach Card'!D57&lt;&gt;"",IF('Coach Card'!C57&lt;&gt;"",CONCATENATE("0",'Coach Card'!A57,":",IF('Coach Card'!B57&lt;10,CONCATENATE("0",'Coach Card'!B57),'Coach Card'!B57)," - 0",'Coach Card'!C57,":",IF('Coach Card'!D57&lt;10,CONCATENATE("0",'Coach Card'!D57),'Coach Card'!D57)),""),""),"")</f>
        <v/>
      </c>
      <c r="B35" s="123" t="str">
        <f ca="1">IF(OFFSET('Coach Card'!$F$17,U35,0)="Transition","Transition",IF(OFFSET('Coach Card'!$F$17,U35,0)="Transition - Surface Connection","SuCon",IF(OFFSET('Coach Card'!$F$17,U35,0)="Hybrid - Thrust + 2 connections","Req.Hybrid",IF(LEFT(OFFSET('Coach Card'!$F$17,U35,0),4)="Hybr","Hybrid",IF(LEFT(OFFSET('Coach Card'!$F$17,U35,0),4)="Acro",IF(RIGHT(OFFSET('Coach Card'!$F$17,U35,0),4)="Pair","Pair Acro","Acrobatic"),IF(LEFT(OFFSET('Coach Card'!$F$17,U35,0),4)="Tech","TRE",""))))))</f>
        <v/>
      </c>
      <c r="C35" s="355" t="str">
        <f ca="1">IF(OFFSET('Coach Card'!$G$17,U35,0)&gt;0,OFFSET('Coach Card'!$G$17,U35,0),"")</f>
        <v/>
      </c>
      <c r="D35" s="356"/>
      <c r="E35" s="123" t="str">
        <f ca="1">IF(OFFSET('Coach Card'!$H$17,U35,0)&gt;0,IF(OR(B35="Transition",F35="ChoHY"),"",OFFSET('Coach Card'!$H$17,U35,0)),"")</f>
        <v/>
      </c>
      <c r="F35" s="344" t="str">
        <f ca="1">CONCATENATE(IF(B35="Acrobatic",CONCATENATE(RIGHT(OFFSET('Coach Card'!$H$18,U35,0),1),V35),""),OFFSET('Coach Card'!$J$17,U35,0),IF(OFFSET('Coach Card'!$K$17,U35,0)&lt;&gt;"",V35,""),OFFSET('Coach Card'!$K$17,U35,0),IF(OFFSET('Coach Card'!$L$17,U35,0)&lt;&gt;"",V35,""),OFFSET('Coach Card'!$L$17,U35,0),IF(OFFSET('Coach Card'!$M$17,U35,0)&lt;&gt;"",V35,""),OFFSET('Coach Card'!$M$17,U35,0),IF(OFFSET('Coach Card'!$N$17,U35,0)&lt;&gt;"",IF(AND(LEFT(OFFSET('Coach Card'!$N$17,U35,0),1)="2",B35="Acrobatic"),"/",V35),""),OFFSET('Coach Card'!$N$17,U35,0),IF(OFFSET('Coach Card'!$O$17,U35,0)&lt;&gt;"",IF(AND(LEFT(OFFSET('Coach Card'!$O$17,U35,0),1)="2",B35="Acrobatic"),"/",V35),""),OFFSET('Coach Card'!$O$17,U35,0),IF(OFFSET('Coach Card'!$P$17,U35,0)&lt;&gt;"",V35,""),OFFSET('Coach Card'!$P$17,U35,0),IF(OFFSET('Coach Card'!$Q$17,U35,0)&lt;&gt;"",IF(LEFT(B35,4)="Acro"," + ",V35),""),OFFSET('Coach Card'!$Q$17,U35,0),IF(OFFSET('Coach Card'!$R$17,U35,0)&lt;&gt;"",IF(LEFT(B35,4)="Acro","/",V35),""),OFFSET('Coach Card'!$R$17,U35,0),IF(OFFSET('Coach Card'!$S$17,U35,0)&lt;&gt;"",V35,""),OFFSET('Coach Card'!$S$17,U35,0),IF(OFFSET('Coach Card'!$T$17,U35,0)&lt;&gt;"",V35,""),OFFSET('Coach Card'!$T$17,U35,0),IF(OFFSET('Coach Card'!$U$17,U35,0)&lt;&gt;"",V35,""),OFFSET('Coach Card'!$U$17,U35,0),IF(OFFSET('Coach Card'!$V$17,U35,0)&lt;&gt;"",V35,""),OFFSET('Coach Card'!$V$17,U35,0),IF(OFFSET('Coach Card'!$W$17,U35,0)&lt;&gt;"",V35,""),OFFSET('Coach Card'!$W$17,U35,0),IF(OFFSET('Coach Card'!$X$17,U35,0)&lt;&gt;"",V35,""),OFFSET('Coach Card'!$X$17,U35,0),IF(OFFSET('Coach Card'!$Y$17,U35,0)&lt;&gt;"",V35,""),OFFSET('Coach Card'!$Y$17,U35,0),IF(OFFSET('Coach Card'!$Z$17,U35,0)&lt;&gt;"",V35,""),OFFSET('Coach Card'!$Z$17,U35,0),IF(OFFSET('Coach Card'!$AA$17,U35,0)&lt;&gt;"",V35,""),OFFSET('Coach Card'!$AA$17,U35,0),IF(OFFSET('Coach Card'!$AB$17,U35,0)&lt;&gt;"",V35,""),OFFSET('Coach Card'!$AB$17,U35,0),IF(OFFSET('Coach Card'!$AC$17,U35,0)&lt;&gt;"",V35,""),OFFSET('Coach Card'!$AC$17,U35,0),IF(OFFSET('Coach Card'!$AD$17,U35,0)&lt;&gt;"",V35,""),OFFSET('Coach Card'!$AD$17,U35,0),IF(OFFSET('Coach Card'!$AE$17,U35,0)&lt;&gt;"",V35,""),OFFSET('Coach Card'!$AE$17,U35,0),IF(OFFSET('Coach Card'!$AF$17,U35,0)&lt;&gt;"",V35,""),OFFSET('Coach Card'!$AF$17,U35,0),IF(OFFSET('Coach Card'!$AG$17,U35,0)&lt;&gt;"",V35,""),OFFSET('Coach Card'!$AG$17,U35,0),IF(OFFSET('Coach Card'!$AH$17,U35,0)&lt;&gt;"",V35,""),OFFSET('Coach Card'!$AH$17,U35,0),IF(OFFSET('Coach Card'!$AI$17,U35,0)&lt;&gt;"",V35,""),OFFSET('Coach Card'!$AI$17,U35,0),IF(OFFSET('Coach Card'!$AJ$17,U35,0)&lt;&gt;"",V35,""),OFFSET('Coach Card'!$AJ$17,U35,0),IF(OFFSET('Coach Card'!$AK$17,U35,0)&lt;&gt;"",V35,""),OFFSET('Coach Card'!$AK$17,U35,0),IF(OFFSET('Coach Card'!$AL$17,U35,0)&lt;&gt;"",V35,""),OFFSET('Coach Card'!$AL$17,U35,0),IF(OFFSET('Coach Card'!$AM$17,U35,0)&lt;&gt;"",V35,""),OFFSET('Coach Card'!$AM$17,U35,0))</f>
        <v/>
      </c>
      <c r="G35" s="345"/>
      <c r="H35" s="345"/>
      <c r="I35" s="345"/>
      <c r="J35" s="345"/>
      <c r="K35" s="345"/>
      <c r="L35" s="345"/>
      <c r="M35" s="345"/>
      <c r="N35" s="345"/>
      <c r="O35" s="345"/>
      <c r="P35" s="345"/>
      <c r="Q35" s="346"/>
      <c r="R35" s="198" t="str">
        <f ca="1">IF(OR(LEFT(B35,4)="Acro",LEFT(B35,1)="T",LEFT(B35,1)=""),"",IF(OFFSET('Coach Card'!$AN$17,U35,0)="","",OFFSET('Coach Card'!$AN$17,U35,0)))</f>
        <v/>
      </c>
      <c r="S35" s="199" t="str">
        <f ca="1">IF(OFFSET('Coach Card'!$AO$18,U35,0)=0,"",OFFSET('Coach Card'!$AO$18,U35,0))</f>
        <v/>
      </c>
      <c r="T35" s="222"/>
      <c r="U35" s="257">
        <v>40</v>
      </c>
      <c r="V35" s="141" t="str">
        <f ca="1">IF(OFFSET('Coach Card'!$W$17,U35,0)&lt;&gt;"","-"," - ")</f>
        <v xml:space="preserve"> - </v>
      </c>
      <c r="W35" s="141">
        <v>38</v>
      </c>
      <c r="X35" s="141" t="str">
        <f ca="1">IF(OFFSET('Coach Card'!$BA$19,W35,0)="X","X","")</f>
        <v/>
      </c>
    </row>
    <row r="36" spans="1:24" ht="24.95" hidden="1" customHeight="1" x14ac:dyDescent="0.25">
      <c r="A36" s="123" t="str">
        <f>IFERROR(IF('Coach Card'!D59&lt;&gt;"",IF('Coach Card'!C59&lt;&gt;"",CONCATENATE("0",'Coach Card'!A59,":",IF('Coach Card'!B59&lt;10,CONCATENATE("0",'Coach Card'!B59),'Coach Card'!B59)," - 0",'Coach Card'!C59,":",IF('Coach Card'!D59&lt;10,CONCATENATE("0",'Coach Card'!D59),'Coach Card'!D59)),""),""),"")</f>
        <v/>
      </c>
      <c r="B36" s="123" t="str">
        <f ca="1">IF(OFFSET('Coach Card'!$F$17,U36,0)="Transition","Transition",IF(OFFSET('Coach Card'!$F$17,U36,0)="Transition - Surface Connection","SuCon",IF(OFFSET('Coach Card'!$F$17,U36,0)="Hybrid - Thrust + 2 connections","Req.Hybrid",IF(LEFT(OFFSET('Coach Card'!$F$17,U36,0),4)="Hybr","Hybrid",IF(LEFT(OFFSET('Coach Card'!$F$17,U36,0),4)="Acro",IF(RIGHT(OFFSET('Coach Card'!$F$17,U36,0),4)="Pair","Pair Acro","Acrobatic"),IF(LEFT(OFFSET('Coach Card'!$F$17,U36,0),4)="Tech","TRE",""))))))</f>
        <v/>
      </c>
      <c r="C36" s="355" t="str">
        <f ca="1">IF(OFFSET('Coach Card'!$G$17,U36,0)&gt;0,OFFSET('Coach Card'!$G$17,U36,0),"")</f>
        <v/>
      </c>
      <c r="D36" s="356"/>
      <c r="E36" s="123" t="str">
        <f ca="1">IF(OFFSET('Coach Card'!$H$17,U36,0)&gt;0,IF(B36="Transition","",OFFSET('Coach Card'!$H$17,U36,0)),"")</f>
        <v/>
      </c>
      <c r="F36" s="247" t="str">
        <f ca="1">CONCATENATE(IF(B36="Acrobatic",CONCATENATE(RIGHT(OFFSET('Coach Card'!$H$18,U36,0),1),"-"),""),OFFSET('Coach Card'!$J$17,U36,0),IF(OFFSET('Coach Card'!$K$17,U36,0)&lt;&gt;"","-",""),OFFSET('Coach Card'!$K$17,U36,0),IF(OFFSET('Coach Card'!$L$17,U36,0)&lt;&gt;"","-",""),OFFSET('Coach Card'!$L$17,U36,0),IF(OFFSET('Coach Card'!$M$17,U36,0)&lt;&gt;"","-",""),OFFSET('Coach Card'!$M$17,U36,0),IF(AND(OFFSET('Coach Card'!$N$17,U36,0)&lt;&gt;"",RIGHT(OFFSET('Coach Card'!$M$17,U36,0),1)&lt;&gt;"+"),IF(LEFT(OFFSET('Coach Card'!$N$17,U36,0),1)="2","/","-"),""),OFFSET('Coach Card'!$N$17,U36,0),IF(OFFSET('Coach Card'!$O$17,U36,0)&lt;&gt;"",IF(LEFT(OFFSET('Coach Card'!$O$17,U36,0),1)="2","/","-"),""),OFFSET('Coach Card'!$O$17,U36,0),IF(OFFSET('Coach Card'!$P$17,U36,0)&lt;&gt;"","-",""),OFFSET('Coach Card'!$P$17,U36,0),IF(OFFSET('Coach Card'!$Q$17,U36,0)&lt;&gt;"","-",""),OFFSET('Coach Card'!$Q$17,U36,0),IF(OFFSET('Coach Card'!$R$17,U36,0)&lt;&gt;"",IF(LEFT(B36,4)="Acro","/","-"),""),OFFSET('Coach Card'!$R$17,U36,0),IF(OFFSET('Coach Card'!$S$17,U36,0)&lt;&gt;"","-",""),OFFSET('Coach Card'!$S$17,U36,0),IF(OFFSET('Coach Card'!$T$17,U36,0)&lt;&gt;"","-",""),OFFSET('Coach Card'!$T$17,U36,0),IF(OFFSET('Coach Card'!$U$17,U36,0)&lt;&gt;"","-",""),OFFSET('Coach Card'!$U$17,U36,0),IF(OFFSET('Coach Card'!$V$17,U36,0)&lt;&gt;"","-",""),OFFSET('Coach Card'!$V$17,U36,0),IF(OFFSET('Coach Card'!$W$17,U36,0)&lt;&gt;"","-",""),OFFSET('Coach Card'!$W$17,U36,0),IF(OFFSET('Coach Card'!$X$17,U36,0)&lt;&gt;"","-",""),OFFSET('Coach Card'!$X$17,U36,0),IF(OFFSET('Coach Card'!$Y$17,U36,0)&lt;&gt;"","-",""),OFFSET('Coach Card'!$Y$17,U36,0),IF(OFFSET('Coach Card'!$Z$17,U36,0)&lt;&gt;"","-",""),OFFSET('Coach Card'!$Z$17,U36,0),IF(OFFSET('Coach Card'!$AA$17,U36,0)&lt;&gt;"","-",""),OFFSET('Coach Card'!$AA$17,U36,0),IF(OFFSET('Coach Card'!$AB$17,U36,0)&lt;&gt;"","-",""),OFFSET('Coach Card'!$AB$17,U36,0),IF(OFFSET('Coach Card'!$AC$17,U36,0)&lt;&gt;"","-",""),OFFSET('Coach Card'!$AC$17,U36,0),IF(OFFSET('Coach Card'!$AD$17,U36,0)&lt;&gt;"","-",""),OFFSET('Coach Card'!$AD$17,U36,0),IF(OFFSET('Coach Card'!$AE$17,U36,0)&lt;&gt;"","-",""),OFFSET('Coach Card'!$AE$17,U36,0),IF(OFFSET('Coach Card'!$AF$17,U36,0)&lt;&gt;"","-",""),OFFSET('Coach Card'!$AF$17,U36,0),IF(OFFSET('Coach Card'!$AG$17,U36,0)&lt;&gt;"","-",""),OFFSET('Coach Card'!$AG$17,U36,0),IF(OFFSET('Coach Card'!$AH$17,U36,0)&lt;&gt;"","-",""),OFFSET('Coach Card'!$AH$17,U36,0),IF(OFFSET('Coach Card'!$AI$17,U36,0)&lt;&gt;"","-",""),OFFSET('Coach Card'!$AI$17,U36,0),IF(OFFSET('Coach Card'!$AJ$17,U36,0)&lt;&gt;"","-",""),OFFSET('Coach Card'!$AJ$17,U36,0),IF(OFFSET('Coach Card'!$AK$17,U36,0)&lt;&gt;"","-",""),OFFSET('Coach Card'!$AK$17,U36,0),IF(OFFSET('Coach Card'!$AL$17,U36,0)&lt;&gt;"","-",""),OFFSET('Coach Card'!$AL$17,U36,0),IF(OFFSET('Coach Card'!$AM$17,U36,0)&lt;&gt;"","-",""),OFFSET('Coach Card'!$AM$17,U36,0))</f>
        <v/>
      </c>
      <c r="G36" s="248"/>
      <c r="H36" s="248"/>
      <c r="I36" s="248"/>
      <c r="J36" s="248"/>
      <c r="K36" s="248"/>
      <c r="L36" s="248"/>
      <c r="M36" s="248"/>
      <c r="N36" s="248"/>
      <c r="O36" s="248"/>
      <c r="P36" s="248"/>
      <c r="Q36" s="249"/>
      <c r="R36" s="198" t="str">
        <f ca="1">IF(OR(LEFT(B36,4)="Acro",LEFT(B36,1)="T",LEFT(B36,1)=""),"",IF(OFFSET('Coach Card'!$AN$17,U36,0)="","",OFFSET('Coach Card'!$AN$17,U36,0)))</f>
        <v/>
      </c>
      <c r="S36" s="199" t="str">
        <f ca="1">IF(OFFSET('Coach Card'!$AO$18,U36,0)=0,"",OFFSET('Coach Card'!$AO$18,U36,0))</f>
        <v/>
      </c>
      <c r="T36" s="222"/>
      <c r="U36" s="257">
        <v>42</v>
      </c>
    </row>
    <row r="37" spans="1:24" ht="24.95" hidden="1" customHeight="1" x14ac:dyDescent="0.25">
      <c r="A37" s="123" t="str">
        <f>IFERROR(IF('Coach Card'!D61&lt;&gt;"",IF('Coach Card'!C61&lt;&gt;"",CONCATENATE("0",'Coach Card'!A61,":",IF('Coach Card'!B61&lt;10,CONCATENATE("0",'Coach Card'!B61),'Coach Card'!B61)," - 0",'Coach Card'!C61,":",IF('Coach Card'!D61&lt;10,CONCATENATE("0",'Coach Card'!D61),'Coach Card'!D61)),""),""),"")</f>
        <v/>
      </c>
      <c r="B37" s="123" t="str">
        <f ca="1">IF(OFFSET('Coach Card'!$F$17,U37,0)="Transition","Transition",IF(OFFSET('Coach Card'!$F$17,U37,0)="Transition - Surface Connection","SuCon",IF(OFFSET('Coach Card'!$F$17,U37,0)="Hybrid - Thrust + 2 connections","Req.Hybrid",IF(LEFT(OFFSET('Coach Card'!$F$17,U37,0),4)="Hybr","Hybrid",IF(LEFT(OFFSET('Coach Card'!$F$17,U37,0),4)="Acro",IF(RIGHT(OFFSET('Coach Card'!$F$17,U37,0),4)="Pair","Pair Acro","Acrobatic"),IF(LEFT(OFFSET('Coach Card'!$F$17,U37,0),4)="Tech","TRE",""))))))</f>
        <v/>
      </c>
      <c r="C37" s="355" t="str">
        <f ca="1">IF(OFFSET('Coach Card'!$G$17,U37,0)&gt;0,OFFSET('Coach Card'!$G$17,U37,0),"")</f>
        <v/>
      </c>
      <c r="D37" s="356"/>
      <c r="E37" s="123" t="str">
        <f ca="1">IF(OFFSET('Coach Card'!$H$17,U37,0)&gt;0,IF(B37="Transition","",OFFSET('Coach Card'!$H$17,U37,0)),"")</f>
        <v/>
      </c>
      <c r="F37" s="247" t="str">
        <f ca="1">CONCATENATE(IF(B37="Acrobatic",CONCATENATE(RIGHT(OFFSET('Coach Card'!$H$18,U37,0),1),"-"),""),OFFSET('Coach Card'!$J$17,U37,0),IF(OFFSET('Coach Card'!$K$17,U37,0)&lt;&gt;"","-",""),OFFSET('Coach Card'!$K$17,U37,0),IF(OFFSET('Coach Card'!$L$17,U37,0)&lt;&gt;"","-",""),OFFSET('Coach Card'!$L$17,U37,0),IF(OFFSET('Coach Card'!$M$17,U37,0)&lt;&gt;"","-",""),OFFSET('Coach Card'!$M$17,U37,0),IF(AND(OFFSET('Coach Card'!$N$17,U37,0)&lt;&gt;"",RIGHT(OFFSET('Coach Card'!$M$17,U37,0),1)&lt;&gt;"+"),IF(LEFT(OFFSET('Coach Card'!$N$17,U37,0),1)="2","/","-"),""),OFFSET('Coach Card'!$N$17,U37,0),IF(OFFSET('Coach Card'!$O$17,U37,0)&lt;&gt;"",IF(LEFT(OFFSET('Coach Card'!$O$17,U37,0),1)="2","/","-"),""),OFFSET('Coach Card'!$O$17,U37,0),IF(OFFSET('Coach Card'!$P$17,U37,0)&lt;&gt;"","-",""),OFFSET('Coach Card'!$P$17,U37,0),IF(OFFSET('Coach Card'!$Q$17,U37,0)&lt;&gt;"","-",""),OFFSET('Coach Card'!$Q$17,U37,0),IF(OFFSET('Coach Card'!$R$17,U37,0)&lt;&gt;"",IF(LEFT(B37,4)="Acro","/","-"),""),OFFSET('Coach Card'!$R$17,U37,0),IF(OFFSET('Coach Card'!$S$17,U37,0)&lt;&gt;"","-",""),OFFSET('Coach Card'!$S$17,U37,0),IF(OFFSET('Coach Card'!$T$17,U37,0)&lt;&gt;"","-",""),OFFSET('Coach Card'!$T$17,U37,0),IF(OFFSET('Coach Card'!$U$17,U37,0)&lt;&gt;"","-",""),OFFSET('Coach Card'!$U$17,U37,0),IF(OFFSET('Coach Card'!$V$17,U37,0)&lt;&gt;"","-",""),OFFSET('Coach Card'!$V$17,U37,0),IF(OFFSET('Coach Card'!$W$17,U37,0)&lt;&gt;"","-",""),OFFSET('Coach Card'!$W$17,U37,0),IF(OFFSET('Coach Card'!$X$17,U37,0)&lt;&gt;"","-",""),OFFSET('Coach Card'!$X$17,U37,0),IF(OFFSET('Coach Card'!$Y$17,U37,0)&lt;&gt;"","-",""),OFFSET('Coach Card'!$Y$17,U37,0),IF(OFFSET('Coach Card'!$Z$17,U37,0)&lt;&gt;"","-",""),OFFSET('Coach Card'!$Z$17,U37,0),IF(OFFSET('Coach Card'!$AA$17,U37,0)&lt;&gt;"","-",""),OFFSET('Coach Card'!$AA$17,U37,0),IF(OFFSET('Coach Card'!$AB$17,U37,0)&lt;&gt;"","-",""),OFFSET('Coach Card'!$AB$17,U37,0),IF(OFFSET('Coach Card'!$AC$17,U37,0)&lt;&gt;"","-",""),OFFSET('Coach Card'!$AC$17,U37,0),IF(OFFSET('Coach Card'!$AD$17,U37,0)&lt;&gt;"","-",""),OFFSET('Coach Card'!$AD$17,U37,0),IF(OFFSET('Coach Card'!$AE$17,U37,0)&lt;&gt;"","-",""),OFFSET('Coach Card'!$AE$17,U37,0),IF(OFFSET('Coach Card'!$AF$17,U37,0)&lt;&gt;"","-",""),OFFSET('Coach Card'!$AF$17,U37,0),IF(OFFSET('Coach Card'!$AG$17,U37,0)&lt;&gt;"","-",""),OFFSET('Coach Card'!$AG$17,U37,0),IF(OFFSET('Coach Card'!$AH$17,U37,0)&lt;&gt;"","-",""),OFFSET('Coach Card'!$AH$17,U37,0),IF(OFFSET('Coach Card'!$AI$17,U37,0)&lt;&gt;"","-",""),OFFSET('Coach Card'!$AI$17,U37,0),IF(OFFSET('Coach Card'!$AJ$17,U37,0)&lt;&gt;"","-",""),OFFSET('Coach Card'!$AJ$17,U37,0),IF(OFFSET('Coach Card'!$AK$17,U37,0)&lt;&gt;"","-",""),OFFSET('Coach Card'!$AK$17,U37,0),IF(OFFSET('Coach Card'!$AL$17,U37,0)&lt;&gt;"","-",""),OFFSET('Coach Card'!$AL$17,U37,0),IF(OFFSET('Coach Card'!$AM$17,U37,0)&lt;&gt;"","-",""),OFFSET('Coach Card'!$AM$17,U37,0))</f>
        <v/>
      </c>
      <c r="G37" s="248"/>
      <c r="H37" s="248"/>
      <c r="I37" s="248"/>
      <c r="J37" s="248"/>
      <c r="K37" s="248"/>
      <c r="L37" s="248"/>
      <c r="M37" s="248"/>
      <c r="N37" s="248"/>
      <c r="O37" s="248"/>
      <c r="P37" s="248"/>
      <c r="Q37" s="249"/>
      <c r="R37" s="198" t="str">
        <f ca="1">IF(OR(LEFT(B37,4)="Acro",LEFT(B37,1)="T",LEFT(B37,1)=""),"",IF(OFFSET('Coach Card'!$AN$17,U37,0)="","",OFFSET('Coach Card'!$AN$17,U37,0)))</f>
        <v/>
      </c>
      <c r="S37" s="199" t="str">
        <f ca="1">IF(OFFSET('Coach Card'!$AO$18,U37,0)=0,"",OFFSET('Coach Card'!$AO$18,U37,0))</f>
        <v/>
      </c>
      <c r="T37" s="222"/>
      <c r="U37" s="257">
        <v>44</v>
      </c>
    </row>
    <row r="38" spans="1:24" ht="24.95" hidden="1" customHeight="1" x14ac:dyDescent="0.25">
      <c r="A38" s="123" t="str">
        <f>IFERROR(IF('Coach Card'!D63&lt;&gt;"",IF('Coach Card'!C63&lt;&gt;"",CONCATENATE("0",'Coach Card'!A63,":",IF('Coach Card'!B63&lt;10,CONCATENATE("0",'Coach Card'!B63),'Coach Card'!B63)," - 0",'Coach Card'!C63,":",IF('Coach Card'!D63&lt;10,CONCATENATE("0",'Coach Card'!D63),'Coach Card'!D63)),""),""),"")</f>
        <v/>
      </c>
      <c r="B38" s="123" t="str">
        <f ca="1">IF(OFFSET('Coach Card'!$F$17,U38,0)="Transition","Transition",IF(OFFSET('Coach Card'!$F$17,U38,0)="Transition - Surface Connection","SuCon",IF(OFFSET('Coach Card'!$F$17,U38,0)="Hybrid - Thrust + 2 connections","Req.Hybrid",IF(LEFT(OFFSET('Coach Card'!$F$17,U38,0),4)="Hybr","Hybrid",IF(LEFT(OFFSET('Coach Card'!$F$17,U38,0),4)="Acro",IF(RIGHT(OFFSET('Coach Card'!$F$17,U38,0),4)="Pair","Pair Acro","Acrobatic"),IF(LEFT(OFFSET('Coach Card'!$F$17,U38,0),4)="Tech","TRE",""))))))</f>
        <v/>
      </c>
      <c r="C38" s="355" t="str">
        <f ca="1">IF(OFFSET('Coach Card'!$G$17,U38,0)&gt;0,OFFSET('Coach Card'!$G$17,U38,0),"")</f>
        <v/>
      </c>
      <c r="D38" s="356"/>
      <c r="E38" s="123" t="str">
        <f ca="1">IF(OFFSET('Coach Card'!$H$17,U38,0)&gt;0,IF(B38="Transition","",OFFSET('Coach Card'!$H$17,U38,0)),"")</f>
        <v/>
      </c>
      <c r="F38" s="247" t="str">
        <f ca="1">CONCATENATE(IF(B38="Acrobatic",CONCATENATE(RIGHT(OFFSET('Coach Card'!$H$18,U38,0),1),"-"),""),OFFSET('Coach Card'!$J$17,U38,0),IF(OFFSET('Coach Card'!$K$17,U38,0)&lt;&gt;"","-",""),OFFSET('Coach Card'!$K$17,U38,0),IF(OFFSET('Coach Card'!$L$17,U38,0)&lt;&gt;"","-",""),OFFSET('Coach Card'!$L$17,U38,0),IF(OFFSET('Coach Card'!$M$17,U38,0)&lt;&gt;"","-",""),OFFSET('Coach Card'!$M$17,U38,0),IF(AND(OFFSET('Coach Card'!$N$17,U38,0)&lt;&gt;"",RIGHT(OFFSET('Coach Card'!$M$17,U38,0),1)&lt;&gt;"+"),IF(LEFT(OFFSET('Coach Card'!$N$17,U38,0),1)="2","/","-"),""),OFFSET('Coach Card'!$N$17,U38,0),IF(OFFSET('Coach Card'!$O$17,U38,0)&lt;&gt;"",IF(LEFT(OFFSET('Coach Card'!$O$17,U38,0),1)="2","/","-"),""),OFFSET('Coach Card'!$O$17,U38,0),IF(OFFSET('Coach Card'!$P$17,U38,0)&lt;&gt;"","-",""),OFFSET('Coach Card'!$P$17,U38,0),IF(OFFSET('Coach Card'!$Q$17,U38,0)&lt;&gt;"","-",""),OFFSET('Coach Card'!$Q$17,U38,0),IF(OFFSET('Coach Card'!$R$17,U38,0)&lt;&gt;"",IF(LEFT(B38,4)="Acro","/","-"),""),OFFSET('Coach Card'!$R$17,U38,0),IF(OFFSET('Coach Card'!$S$17,U38,0)&lt;&gt;"","-",""),OFFSET('Coach Card'!$S$17,U38,0),IF(OFFSET('Coach Card'!$T$17,U38,0)&lt;&gt;"","-",""),OFFSET('Coach Card'!$T$17,U38,0),IF(OFFSET('Coach Card'!$U$17,U38,0)&lt;&gt;"","-",""),OFFSET('Coach Card'!$U$17,U38,0),IF(OFFSET('Coach Card'!$V$17,U38,0)&lt;&gt;"","-",""),OFFSET('Coach Card'!$V$17,U38,0),IF(OFFSET('Coach Card'!$W$17,U38,0)&lt;&gt;"","-",""),OFFSET('Coach Card'!$W$17,U38,0),IF(OFFSET('Coach Card'!$X$17,U38,0)&lt;&gt;"","-",""),OFFSET('Coach Card'!$X$17,U38,0),IF(OFFSET('Coach Card'!$Y$17,U38,0)&lt;&gt;"","-",""),OFFSET('Coach Card'!$Y$17,U38,0),IF(OFFSET('Coach Card'!$Z$17,U38,0)&lt;&gt;"","-",""),OFFSET('Coach Card'!$Z$17,U38,0),IF(OFFSET('Coach Card'!$AA$17,U38,0)&lt;&gt;"","-",""),OFFSET('Coach Card'!$AA$17,U38,0),IF(OFFSET('Coach Card'!$AB$17,U38,0)&lt;&gt;"","-",""),OFFSET('Coach Card'!$AB$17,U38,0),IF(OFFSET('Coach Card'!$AC$17,U38,0)&lt;&gt;"","-",""),OFFSET('Coach Card'!$AC$17,U38,0),IF(OFFSET('Coach Card'!$AD$17,U38,0)&lt;&gt;"","-",""),OFFSET('Coach Card'!$AD$17,U38,0),IF(OFFSET('Coach Card'!$AE$17,U38,0)&lt;&gt;"","-",""),OFFSET('Coach Card'!$AE$17,U38,0),IF(OFFSET('Coach Card'!$AF$17,U38,0)&lt;&gt;"","-",""),OFFSET('Coach Card'!$AF$17,U38,0),IF(OFFSET('Coach Card'!$AG$17,U38,0)&lt;&gt;"","-",""),OFFSET('Coach Card'!$AG$17,U38,0),IF(OFFSET('Coach Card'!$AH$17,U38,0)&lt;&gt;"","-",""),OFFSET('Coach Card'!$AH$17,U38,0),IF(OFFSET('Coach Card'!$AI$17,U38,0)&lt;&gt;"","-",""),OFFSET('Coach Card'!$AI$17,U38,0),IF(OFFSET('Coach Card'!$AJ$17,U38,0)&lt;&gt;"","-",""),OFFSET('Coach Card'!$AJ$17,U38,0),IF(OFFSET('Coach Card'!$AK$17,U38,0)&lt;&gt;"","-",""),OFFSET('Coach Card'!$AK$17,U38,0),IF(OFFSET('Coach Card'!$AL$17,U38,0)&lt;&gt;"","-",""),OFFSET('Coach Card'!$AL$17,U38,0),IF(OFFSET('Coach Card'!$AM$17,U38,0)&lt;&gt;"","-",""),OFFSET('Coach Card'!$AM$17,U38,0))</f>
        <v/>
      </c>
      <c r="G38" s="248"/>
      <c r="H38" s="248"/>
      <c r="I38" s="248"/>
      <c r="J38" s="248"/>
      <c r="K38" s="248"/>
      <c r="L38" s="248"/>
      <c r="M38" s="248"/>
      <c r="N38" s="248"/>
      <c r="O38" s="248"/>
      <c r="P38" s="248"/>
      <c r="Q38" s="249"/>
      <c r="R38" s="198" t="str">
        <f ca="1">IF(OR(LEFT(B38,4)="Acro",LEFT(B38,1)="T",LEFT(B38,1)=""),"",IF(OFFSET('Coach Card'!$AN$17,U38,0)="","",OFFSET('Coach Card'!$AN$17,U38,0)))</f>
        <v/>
      </c>
      <c r="S38" s="199" t="str">
        <f ca="1">IF(OFFSET('Coach Card'!$AO$18,U38,0)=0,"",OFFSET('Coach Card'!$AO$18,U38,0))</f>
        <v/>
      </c>
      <c r="T38" s="222"/>
      <c r="U38" s="257">
        <v>46</v>
      </c>
    </row>
    <row r="39" spans="1:24" ht="24.95" hidden="1" customHeight="1" x14ac:dyDescent="0.25">
      <c r="A39" s="123" t="str">
        <f>IFERROR(IF('Coach Card'!D65&lt;&gt;"",IF('Coach Card'!C65&lt;&gt;"",CONCATENATE("0",'Coach Card'!A65,":",IF('Coach Card'!B65&lt;10,CONCATENATE("0",'Coach Card'!B65),'Coach Card'!B65)," - 0",'Coach Card'!C65,":",IF('Coach Card'!D65&lt;10,CONCATENATE("0",'Coach Card'!D65),'Coach Card'!D65)),""),""),"")</f>
        <v/>
      </c>
      <c r="B39" s="123" t="str">
        <f ca="1">IF(OFFSET('Coach Card'!$F$17,U39,0)="Transition","Transition",IF(OFFSET('Coach Card'!$F$17,U39,0)="Transition - Surface Connection","SuCon",IF(OFFSET('Coach Card'!$F$17,U39,0)="Hybrid - Thrust + 2 connections","Req.Hybrid",IF(LEFT(OFFSET('Coach Card'!$F$17,U39,0),4)="Hybr","Hybrid",IF(LEFT(OFFSET('Coach Card'!$F$17,U39,0),4)="Acro",IF(RIGHT(OFFSET('Coach Card'!$F$17,U39,0),4)="Pair","Pair Acro","Acrobatic"),IF(LEFT(OFFSET('Coach Card'!$F$17,U39,0),4)="Tech","TRE",""))))))</f>
        <v/>
      </c>
      <c r="C39" s="355" t="str">
        <f ca="1">IF(OFFSET('Coach Card'!$G$17,U39,0)&gt;0,OFFSET('Coach Card'!$G$17,U39,0),"")</f>
        <v/>
      </c>
      <c r="D39" s="356"/>
      <c r="E39" s="123" t="str">
        <f ca="1">IF(OFFSET('Coach Card'!$H$17,U39,0)&gt;0,IF(B39="Transition","",OFFSET('Coach Card'!$H$17,U39,0)),"")</f>
        <v/>
      </c>
      <c r="F39" s="247" t="str">
        <f ca="1">CONCATENATE(IF(B39="Acrobatic",CONCATENATE(RIGHT(OFFSET('Coach Card'!$H$18,U39,0),1),"-"),""),OFFSET('Coach Card'!$J$17,U39,0),IF(OFFSET('Coach Card'!$K$17,U39,0)&lt;&gt;"","-",""),OFFSET('Coach Card'!$K$17,U39,0),IF(OFFSET('Coach Card'!$L$17,U39,0)&lt;&gt;"","-",""),OFFSET('Coach Card'!$L$17,U39,0),IF(OFFSET('Coach Card'!$M$17,U39,0)&lt;&gt;"","-",""),OFFSET('Coach Card'!$M$17,U39,0),IF(AND(OFFSET('Coach Card'!$N$17,U39,0)&lt;&gt;"",RIGHT(OFFSET('Coach Card'!$M$17,U39,0),1)&lt;&gt;"+"),IF(LEFT(OFFSET('Coach Card'!$N$17,U39,0),1)="2","/","-"),""),OFFSET('Coach Card'!$N$17,U39,0),IF(OFFSET('Coach Card'!$O$17,U39,0)&lt;&gt;"",IF(LEFT(OFFSET('Coach Card'!$O$17,U39,0),1)="2","/","-"),""),OFFSET('Coach Card'!$O$17,U39,0),IF(OFFSET('Coach Card'!$P$17,U39,0)&lt;&gt;"","-",""),OFFSET('Coach Card'!$P$17,U39,0),IF(OFFSET('Coach Card'!$Q$17,U39,0)&lt;&gt;"","-",""),OFFSET('Coach Card'!$Q$17,U39,0),IF(OFFSET('Coach Card'!$R$17,U39,0)&lt;&gt;"",IF(LEFT(B39,4)="Acro","/","-"),""),OFFSET('Coach Card'!$R$17,U39,0),IF(OFFSET('Coach Card'!$S$17,U39,0)&lt;&gt;"","-",""),OFFSET('Coach Card'!$S$17,U39,0),IF(OFFSET('Coach Card'!$T$17,U39,0)&lt;&gt;"","-",""),OFFSET('Coach Card'!$T$17,U39,0),IF(OFFSET('Coach Card'!$U$17,U39,0)&lt;&gt;"","-",""),OFFSET('Coach Card'!$U$17,U39,0),IF(OFFSET('Coach Card'!$V$17,U39,0)&lt;&gt;"","-",""),OFFSET('Coach Card'!$V$17,U39,0),IF(OFFSET('Coach Card'!$W$17,U39,0)&lt;&gt;"","-",""),OFFSET('Coach Card'!$W$17,U39,0),IF(OFFSET('Coach Card'!$X$17,U39,0)&lt;&gt;"","-",""),OFFSET('Coach Card'!$X$17,U39,0),IF(OFFSET('Coach Card'!$Y$17,U39,0)&lt;&gt;"","-",""),OFFSET('Coach Card'!$Y$17,U39,0),IF(OFFSET('Coach Card'!$Z$17,U39,0)&lt;&gt;"","-",""),OFFSET('Coach Card'!$Z$17,U39,0),IF(OFFSET('Coach Card'!$AA$17,U39,0)&lt;&gt;"","-",""),OFFSET('Coach Card'!$AA$17,U39,0),IF(OFFSET('Coach Card'!$AB$17,U39,0)&lt;&gt;"","-",""),OFFSET('Coach Card'!$AB$17,U39,0),IF(OFFSET('Coach Card'!$AC$17,U39,0)&lt;&gt;"","-",""),OFFSET('Coach Card'!$AC$17,U39,0),IF(OFFSET('Coach Card'!$AD$17,U39,0)&lt;&gt;"","-",""),OFFSET('Coach Card'!$AD$17,U39,0),IF(OFFSET('Coach Card'!$AE$17,U39,0)&lt;&gt;"","-",""),OFFSET('Coach Card'!$AE$17,U39,0),IF(OFFSET('Coach Card'!$AF$17,U39,0)&lt;&gt;"","-",""),OFFSET('Coach Card'!$AF$17,U39,0),IF(OFFSET('Coach Card'!$AG$17,U39,0)&lt;&gt;"","-",""),OFFSET('Coach Card'!$AG$17,U39,0),IF(OFFSET('Coach Card'!$AH$17,U39,0)&lt;&gt;"","-",""),OFFSET('Coach Card'!$AH$17,U39,0),IF(OFFSET('Coach Card'!$AI$17,U39,0)&lt;&gt;"","-",""),OFFSET('Coach Card'!$AI$17,U39,0),IF(OFFSET('Coach Card'!$AJ$17,U39,0)&lt;&gt;"","-",""),OFFSET('Coach Card'!$AJ$17,U39,0),IF(OFFSET('Coach Card'!$AK$17,U39,0)&lt;&gt;"","-",""),OFFSET('Coach Card'!$AK$17,U39,0),IF(OFFSET('Coach Card'!$AL$17,U39,0)&lt;&gt;"","-",""),OFFSET('Coach Card'!$AL$17,U39,0),IF(OFFSET('Coach Card'!$AM$17,U39,0)&lt;&gt;"","-",""),OFFSET('Coach Card'!$AM$17,U39,0))</f>
        <v/>
      </c>
      <c r="G39" s="248"/>
      <c r="H39" s="248"/>
      <c r="I39" s="248"/>
      <c r="J39" s="248"/>
      <c r="K39" s="248"/>
      <c r="L39" s="248"/>
      <c r="M39" s="248"/>
      <c r="N39" s="248"/>
      <c r="O39" s="248"/>
      <c r="P39" s="248"/>
      <c r="Q39" s="249"/>
      <c r="R39" s="198" t="str">
        <f ca="1">IF(OR(LEFT(B39,4)="Acro",LEFT(B39,1)="T",LEFT(B39,1)=""),"",IF(OFFSET('Coach Card'!$AN$17,U39,0)="","",OFFSET('Coach Card'!$AN$17,U39,0)))</f>
        <v/>
      </c>
      <c r="S39" s="199" t="str">
        <f ca="1">IF(OFFSET('Coach Card'!$AO$18,U39,0)=0,"",OFFSET('Coach Card'!$AO$18,U39,0))</f>
        <v/>
      </c>
      <c r="T39" s="222"/>
      <c r="U39" s="257">
        <v>48</v>
      </c>
    </row>
    <row r="40" spans="1:24" ht="24.95" hidden="1" customHeight="1" x14ac:dyDescent="0.25">
      <c r="A40" s="145" t="str">
        <f>IFERROR(IF('Coach Card'!D67&lt;&gt;"",IF('Coach Card'!C67&lt;&gt;"",CONCATENATE("0",'Coach Card'!A67,":",IF('Coach Card'!B67&lt;10,CONCATENATE("0",'Coach Card'!B67),'Coach Card'!B67)," - 0",'Coach Card'!C67,":",IF('Coach Card'!D67&lt;10,CONCATENATE("0",'Coach Card'!D67),'Coach Card'!D67)),""),""),"")</f>
        <v/>
      </c>
      <c r="B40" s="123" t="str">
        <f ca="1">IF(OFFSET('Coach Card'!$F$17,U40,0)="Transition","Transition",IF(OFFSET('Coach Card'!$F$17,U40,0)="Transition - Surface Connection","SuCon",IF(OFFSET('Coach Card'!$F$17,U40,0)="Hybrid - Thrust + 2 connections","Req.Hybrid",IF(LEFT(OFFSET('Coach Card'!$F$17,U40,0),4)="Hybr","Hybrid",IF(LEFT(OFFSET('Coach Card'!$F$17,U40,0),4)="Acro",IF(RIGHT(OFFSET('Coach Card'!$F$17,U40,0),4)="Pair","Pair Acro","Acrobatic"),IF(LEFT(OFFSET('Coach Card'!$F$17,U40,0),4)="Tech","TRE",""))))))</f>
        <v/>
      </c>
      <c r="C40" s="364" t="str">
        <f ca="1">IF(OFFSET('Coach Card'!$G$17,U40,0)&gt;0,OFFSET('Coach Card'!$G$17,U40,0),"")</f>
        <v/>
      </c>
      <c r="D40" s="365"/>
      <c r="E40" s="123" t="str">
        <f ca="1">IF(OFFSET('Coach Card'!$H$17,U40,0)&gt;0,IF(B40="Transition","",OFFSET('Coach Card'!$H$17,U40,0)),"")</f>
        <v/>
      </c>
      <c r="F40" s="247" t="str">
        <f ca="1">CONCATENATE(IF(B40="Acrobatic",CONCATENATE(RIGHT(OFFSET('Coach Card'!$H$18,U40,0),1),"-"),""),OFFSET('Coach Card'!$J$17,U40,0),IF(OFFSET('Coach Card'!$K$17,U40,0)&lt;&gt;"","-",""),OFFSET('Coach Card'!$K$17,U40,0),IF(OFFSET('Coach Card'!$L$17,U40,0)&lt;&gt;"","-",""),OFFSET('Coach Card'!$L$17,U40,0),IF(OFFSET('Coach Card'!$M$17,U40,0)&lt;&gt;"","-",""),OFFSET('Coach Card'!$M$17,U40,0),IF(AND(OFFSET('Coach Card'!$N$17,U40,0)&lt;&gt;"",RIGHT(OFFSET('Coach Card'!$M$17,U40,0),1)&lt;&gt;"+"),IF(LEFT(OFFSET('Coach Card'!$N$17,U40,0),1)="2","/","-"),""),OFFSET('Coach Card'!$N$17,U40,0),IF(OFFSET('Coach Card'!$O$17,U40,0)&lt;&gt;"",IF(LEFT(OFFSET('Coach Card'!$O$17,U40,0),1)="2","/","-"),""),OFFSET('Coach Card'!$O$17,U40,0),IF(OFFSET('Coach Card'!$P$17,U40,0)&lt;&gt;"","-",""),OFFSET('Coach Card'!$P$17,U40,0),IF(OFFSET('Coach Card'!$Q$17,U40,0)&lt;&gt;"","-",""),OFFSET('Coach Card'!$Q$17,U40,0),IF(OFFSET('Coach Card'!$R$17,U40,0)&lt;&gt;"",IF(LEFT(B40,4)="Acro","/","-"),""),OFFSET('Coach Card'!$R$17,U40,0),IF(OFFSET('Coach Card'!$S$17,U40,0)&lt;&gt;"","-",""),OFFSET('Coach Card'!$S$17,U40,0),IF(OFFSET('Coach Card'!$T$17,U40,0)&lt;&gt;"","-",""),OFFSET('Coach Card'!$T$17,U40,0),IF(OFFSET('Coach Card'!$U$17,U40,0)&lt;&gt;"","-",""),OFFSET('Coach Card'!$U$17,U40,0),IF(OFFSET('Coach Card'!$V$17,U40,0)&lt;&gt;"","-",""),OFFSET('Coach Card'!$V$17,U40,0),IF(OFFSET('Coach Card'!$W$17,U40,0)&lt;&gt;"","-",""),OFFSET('Coach Card'!$W$17,U40,0),IF(OFFSET('Coach Card'!$X$17,U40,0)&lt;&gt;"","-",""),OFFSET('Coach Card'!$X$17,U40,0),IF(OFFSET('Coach Card'!$Y$17,U40,0)&lt;&gt;"","-",""),OFFSET('Coach Card'!$Y$17,U40,0),IF(OFFSET('Coach Card'!$Z$17,U40,0)&lt;&gt;"","-",""),OFFSET('Coach Card'!$Z$17,U40,0),IF(OFFSET('Coach Card'!$AA$17,U40,0)&lt;&gt;"","-",""),OFFSET('Coach Card'!$AA$17,U40,0),IF(OFFSET('Coach Card'!$AB$17,U40,0)&lt;&gt;"","-",""),OFFSET('Coach Card'!$AB$17,U40,0),IF(OFFSET('Coach Card'!$AC$17,U40,0)&lt;&gt;"","-",""),OFFSET('Coach Card'!$AC$17,U40,0),IF(OFFSET('Coach Card'!$AD$17,U40,0)&lt;&gt;"","-",""),OFFSET('Coach Card'!$AD$17,U40,0),IF(OFFSET('Coach Card'!$AE$17,U40,0)&lt;&gt;"","-",""),OFFSET('Coach Card'!$AE$17,U40,0),IF(OFFSET('Coach Card'!$AF$17,U40,0)&lt;&gt;"","-",""),OFFSET('Coach Card'!$AF$17,U40,0),IF(OFFSET('Coach Card'!$AG$17,U40,0)&lt;&gt;"","-",""),OFFSET('Coach Card'!$AG$17,U40,0),IF(OFFSET('Coach Card'!$AH$17,U40,0)&lt;&gt;"","-",""),OFFSET('Coach Card'!$AH$17,U40,0),IF(OFFSET('Coach Card'!$AI$17,U40,0)&lt;&gt;"","-",""),OFFSET('Coach Card'!$AI$17,U40,0),IF(OFFSET('Coach Card'!$AJ$17,U40,0)&lt;&gt;"","-",""),OFFSET('Coach Card'!$AJ$17,U40,0),IF(OFFSET('Coach Card'!$AK$17,U40,0)&lt;&gt;"","-",""),OFFSET('Coach Card'!$AK$17,U40,0),IF(OFFSET('Coach Card'!$AL$17,U40,0)&lt;&gt;"","-",""),OFFSET('Coach Card'!$AL$17,U40,0),IF(OFFSET('Coach Card'!$AM$17,U40,0)&lt;&gt;"","-",""),OFFSET('Coach Card'!$AM$17,U40,0))</f>
        <v/>
      </c>
      <c r="G40" s="248"/>
      <c r="H40" s="248"/>
      <c r="I40" s="248"/>
      <c r="J40" s="248"/>
      <c r="K40" s="248"/>
      <c r="L40" s="248"/>
      <c r="M40" s="248"/>
      <c r="N40" s="248"/>
      <c r="O40" s="248"/>
      <c r="P40" s="248"/>
      <c r="Q40" s="249"/>
      <c r="R40" s="198" t="str">
        <f ca="1">IF(OR(LEFT(B40,4)="Acro",LEFT(B40,1)="T",LEFT(B40,1)=""),"",IF(OFFSET('Coach Card'!$AN$17,U40,0)="","",OFFSET('Coach Card'!$AN$17,U40,0)))</f>
        <v/>
      </c>
      <c r="S40" s="199" t="str">
        <f ca="1">IF(OFFSET('Coach Card'!$AO$18,U40,0)=0,"",OFFSET('Coach Card'!$AO$18,U40,0))</f>
        <v/>
      </c>
      <c r="T40" s="222"/>
      <c r="U40" s="257">
        <v>50</v>
      </c>
    </row>
    <row r="41" spans="1:24" ht="24.95" customHeight="1" x14ac:dyDescent="0.25">
      <c r="A41" s="281" t="s">
        <v>2450</v>
      </c>
      <c r="B41" s="366"/>
      <c r="C41" s="366"/>
      <c r="D41" s="366"/>
      <c r="E41" s="146"/>
      <c r="F41" s="361" t="str" cm="1">
        <f t="array" ref="F41">IFERROR(IF(AND('Coach Card'!F7="",'Coach Card'!F8=""),"",IF(AND('Coach Card'!BV8&lt;&gt;"T",'Coach Card'!BV3="No"),IF('Coach Card'!GY15="Yes",IF('Coach Card'!FQ15&lt;&gt;"","--&gt;&gt; To many of the same Hybrid teqnique in one Element &lt;&lt;--",IF('Coach Card'!EI13&lt;&gt;"","--&gt;&gt; To many Hybrids from the same family in one Element ! &lt;&lt;--",IF(AND(OR('Coach Card'!F8="Open Free Combination",'Coach Card'!F8="Open Team Acrobatic"),'Coach Card'!N6:AC6=""),"--&gt;&gt; No Theme declared on Coach Card ! Penalty = 8 ? &lt;&lt;--",IF('Coach Card'!R14="No","--&gt;&gt; All required elements not present ! &lt;&lt;--","")))),"--&gt;&gt; All Hybrid families are not present ! Penalty = 8 ? &lt;&lt;--"),IF(AND('Coach Card'!BV3="Yes",'Coach Card'!DT10="Yes"),"--&gt;&gt; To many Acrobatics of the same group ! &lt;&lt;--",IF(AND('Coach Card'!BV3="Yes",'Coach Card'!DR10="No"),"--&gt;&gt; All Acrobatic groups not present ! &lt;&lt;--",IF(AND(OR('Coach Card'!F8="Open Free Combination",'Coach Card'!F8="Open Team Acrobatic"),'Coach Card'!N6:AC6=""),"--&gt;&gt; No Theme declared on Coach Card ! Penalty = 8 ? &lt;&lt;--",IF(AND('Coach Card'!BV8="T",'Coach Card'!GY12="No"),"--&gt;&gt; All Technical Required Elements not present ! &lt;&lt;--",IF('Coach Card'!R14="No","--&gt;&gt; All required elements not present ! &lt;&lt;--",""))))))),"")</f>
        <v/>
      </c>
      <c r="G41" s="361"/>
      <c r="H41" s="361"/>
      <c r="I41" s="361"/>
      <c r="J41" s="361"/>
      <c r="P41" s="362" t="s">
        <v>621</v>
      </c>
      <c r="Q41" s="362"/>
      <c r="R41" s="363"/>
      <c r="S41" s="200" t="str">
        <f>IF('Coach Card'!$AO$13=0,"",'Coach Card'!$AO$13)</f>
        <v/>
      </c>
      <c r="T41" s="222"/>
    </row>
    <row r="42" spans="1:24" ht="14.1" customHeight="1" x14ac:dyDescent="0.25">
      <c r="A42" s="89"/>
      <c r="B42" s="89"/>
      <c r="C42" s="89"/>
      <c r="D42" s="89"/>
      <c r="E42" s="89"/>
      <c r="F42" s="89"/>
      <c r="G42" s="89"/>
      <c r="H42" s="89"/>
      <c r="I42" s="89"/>
      <c r="J42" s="89"/>
      <c r="K42" s="89"/>
      <c r="L42" s="89"/>
      <c r="M42" s="89"/>
      <c r="N42" s="89"/>
      <c r="O42" s="89"/>
    </row>
    <row r="43" spans="1:24" ht="19.5" customHeight="1" x14ac:dyDescent="0.2">
      <c r="B43" s="95"/>
      <c r="C43" s="98" t="str">
        <f>A5</f>
        <v>AQUA Member Federation:</v>
      </c>
      <c r="D43" s="367" t="str">
        <f>IF('Coach Card'!F5&lt;&gt;"",'Coach Card'!F5,"")</f>
        <v/>
      </c>
      <c r="E43" s="367"/>
      <c r="F43" s="367"/>
      <c r="G43" s="367"/>
      <c r="H43" s="367"/>
      <c r="I43" s="367"/>
      <c r="J43" s="367"/>
      <c r="K43" s="89"/>
      <c r="L43" s="89"/>
      <c r="M43" s="89"/>
      <c r="N43" s="89"/>
      <c r="O43" s="89"/>
    </row>
    <row r="44" spans="1:24" s="91" customFormat="1" ht="4.5" customHeight="1" x14ac:dyDescent="0.2">
      <c r="D44" s="93" t="s">
        <v>623</v>
      </c>
      <c r="P44" s="142"/>
      <c r="U44" s="258"/>
      <c r="V44" s="142"/>
      <c r="W44" s="142"/>
      <c r="X44" s="142"/>
    </row>
    <row r="45" spans="1:24" s="91" customFormat="1" ht="21" customHeight="1" x14ac:dyDescent="0.25">
      <c r="A45" s="90"/>
      <c r="P45" s="142"/>
      <c r="U45" s="258"/>
      <c r="V45" s="142"/>
      <c r="W45" s="142"/>
      <c r="X45" s="142"/>
    </row>
    <row r="46" spans="1:24" s="92" customFormat="1" ht="22.5" customHeight="1" x14ac:dyDescent="0.25">
      <c r="A46" s="94" t="s">
        <v>626</v>
      </c>
      <c r="B46" s="360"/>
      <c r="C46" s="360"/>
      <c r="D46" s="360"/>
      <c r="E46" s="360"/>
      <c r="F46" s="94" t="s">
        <v>625</v>
      </c>
      <c r="G46" s="360"/>
      <c r="H46" s="360"/>
      <c r="I46" s="360"/>
      <c r="J46" s="360"/>
      <c r="P46" s="143"/>
      <c r="U46" s="259"/>
      <c r="V46" s="143"/>
      <c r="W46" s="143"/>
      <c r="X46" s="143"/>
    </row>
    <row r="47" spans="1:24" s="96" customFormat="1" ht="4.5" customHeight="1" x14ac:dyDescent="0.2">
      <c r="B47" s="93" t="s">
        <v>624</v>
      </c>
      <c r="G47" s="93" t="s">
        <v>622</v>
      </c>
      <c r="P47" s="144"/>
      <c r="U47" s="260"/>
      <c r="V47" s="144"/>
      <c r="W47" s="144"/>
      <c r="X47" s="144"/>
    </row>
  </sheetData>
  <sheetProtection algorithmName="SHA-512" hashValue="uR4Xqa06Loy6O1SU1lUXwDJdb6KZzR25RvmSdrjBQR44wvuX1IsgJ5DUPBWwFnEsEdGQLc5sY4f89Xrde0afsQ==" saltValue="TW0lQ3casxUi80pNuikfgQ==" spinCount="100000" sheet="1" scenarios="1"/>
  <mergeCells count="79">
    <mergeCell ref="A5:C5"/>
    <mergeCell ref="A6:C6"/>
    <mergeCell ref="E8:F8"/>
    <mergeCell ref="A8:C8"/>
    <mergeCell ref="S5:T5"/>
    <mergeCell ref="S6:T7"/>
    <mergeCell ref="P8:T11"/>
    <mergeCell ref="E5:R5"/>
    <mergeCell ref="E6:R6"/>
    <mergeCell ref="E7:R7"/>
    <mergeCell ref="A12:C12"/>
    <mergeCell ref="A13:C13"/>
    <mergeCell ref="C15:D15"/>
    <mergeCell ref="A10:C11"/>
    <mergeCell ref="A7:C7"/>
    <mergeCell ref="C22:D22"/>
    <mergeCell ref="C23:D23"/>
    <mergeCell ref="C20:D20"/>
    <mergeCell ref="C21:D21"/>
    <mergeCell ref="C18:D18"/>
    <mergeCell ref="C19:D19"/>
    <mergeCell ref="C28:D28"/>
    <mergeCell ref="C29:D29"/>
    <mergeCell ref="C26:D26"/>
    <mergeCell ref="C27:D27"/>
    <mergeCell ref="C24:D24"/>
    <mergeCell ref="C25:D25"/>
    <mergeCell ref="C34:D34"/>
    <mergeCell ref="C35:D35"/>
    <mergeCell ref="C32:D32"/>
    <mergeCell ref="C33:D33"/>
    <mergeCell ref="C30:D30"/>
    <mergeCell ref="C31:D31"/>
    <mergeCell ref="B46:E46"/>
    <mergeCell ref="G46:J46"/>
    <mergeCell ref="F41:J41"/>
    <mergeCell ref="P41:R41"/>
    <mergeCell ref="C36:D36"/>
    <mergeCell ref="C37:D37"/>
    <mergeCell ref="C38:D38"/>
    <mergeCell ref="C39:D39"/>
    <mergeCell ref="C40:D40"/>
    <mergeCell ref="B41:D41"/>
    <mergeCell ref="D43:J43"/>
    <mergeCell ref="E12:T12"/>
    <mergeCell ref="M9:O9"/>
    <mergeCell ref="E10:F10"/>
    <mergeCell ref="J10:K10"/>
    <mergeCell ref="M10:O10"/>
    <mergeCell ref="E11:F11"/>
    <mergeCell ref="J11:K11"/>
    <mergeCell ref="M11:O11"/>
    <mergeCell ref="E9:F9"/>
    <mergeCell ref="J9:K9"/>
    <mergeCell ref="E13:T13"/>
    <mergeCell ref="A14:T14"/>
    <mergeCell ref="F15:Q15"/>
    <mergeCell ref="F16:Q16"/>
    <mergeCell ref="F17:Q17"/>
    <mergeCell ref="C16:D16"/>
    <mergeCell ref="C17:D17"/>
    <mergeCell ref="F18:Q18"/>
    <mergeCell ref="F19:Q19"/>
    <mergeCell ref="F20:Q20"/>
    <mergeCell ref="F21:Q21"/>
    <mergeCell ref="F22:Q22"/>
    <mergeCell ref="F23:Q23"/>
    <mergeCell ref="F24:Q24"/>
    <mergeCell ref="F25:Q25"/>
    <mergeCell ref="F26:Q26"/>
    <mergeCell ref="F27:Q27"/>
    <mergeCell ref="F33:Q33"/>
    <mergeCell ref="F34:Q34"/>
    <mergeCell ref="F35:Q35"/>
    <mergeCell ref="F28:Q28"/>
    <mergeCell ref="F29:Q29"/>
    <mergeCell ref="F30:Q30"/>
    <mergeCell ref="F31:Q31"/>
    <mergeCell ref="F32:Q32"/>
  </mergeCells>
  <conditionalFormatting sqref="A16:A35">
    <cfRule type="expression" dxfId="279" priority="1">
      <formula>$X16="X"</formula>
    </cfRule>
  </conditionalFormatting>
  <conditionalFormatting sqref="D8:D11 G8:G11 I9:I11 L9:L11">
    <cfRule type="notContainsBlanks" dxfId="276" priority="12">
      <formula>LEN(TRIM(D8))&gt;0</formula>
    </cfRule>
  </conditionalFormatting>
  <conditionalFormatting sqref="E8:E11">
    <cfRule type="expression" dxfId="275" priority="9">
      <formula>D8&lt;&gt;""</formula>
    </cfRule>
  </conditionalFormatting>
  <conditionalFormatting sqref="F41:J41">
    <cfRule type="notContainsBlanks" dxfId="274" priority="2">
      <formula>LEN(TRIM(F41))&gt;0</formula>
    </cfRule>
  </conditionalFormatting>
  <conditionalFormatting sqref="H8:H11">
    <cfRule type="expression" dxfId="273" priority="6">
      <formula>G8&lt;&gt;""</formula>
    </cfRule>
  </conditionalFormatting>
  <conditionalFormatting sqref="J9:J11">
    <cfRule type="expression" dxfId="272" priority="7">
      <formula>I9&lt;&gt;""</formula>
    </cfRule>
  </conditionalFormatting>
  <conditionalFormatting sqref="M9:M11">
    <cfRule type="expression" dxfId="271" priority="10">
      <formula>L9&lt;&gt;""</formula>
    </cfRule>
  </conditionalFormatting>
  <printOptions horizontalCentered="1" verticalCentered="1"/>
  <pageMargins left="0.23622047244094491" right="0.23622047244094491" top="0" bottom="0" header="0" footer="0"/>
  <pageSetup paperSize="9" scale="65"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4" id="{E4C41794-D568-45D0-A82A-6653F63643C3}">
            <xm:f>'Coach Card'!$BA$17&gt;0</xm:f>
            <x14:dxf>
              <font>
                <color theme="1"/>
              </font>
              <fill>
                <patternFill>
                  <bgColor theme="0" tint="-0.14996795556505021"/>
                </patternFill>
              </fill>
            </x14:dxf>
          </x14:cfRule>
          <xm:sqref>A41</xm:sqref>
        </x14:conditionalFormatting>
        <x14:conditionalFormatting xmlns:xm="http://schemas.microsoft.com/office/excel/2006/main">
          <x14:cfRule type="expression" priority="14990" id="{52934A8C-E42B-4320-B848-36B1E24584AA}">
            <xm:f>'Coach Card'!$CR$18&gt;'Coach Card'!$AA$14</xm:f>
            <x14:dxf>
              <fill>
                <patternFill>
                  <bgColor theme="0" tint="-0.14996795556505021"/>
                </patternFill>
              </fill>
            </x14:dxf>
          </x14:cfRule>
          <xm:sqref>B41:D41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1:CG345"/>
  <sheetViews>
    <sheetView zoomScaleNormal="100" workbookViewId="0">
      <selection activeCell="R8" sqref="R8"/>
    </sheetView>
  </sheetViews>
  <sheetFormatPr defaultRowHeight="15" x14ac:dyDescent="0.25"/>
  <cols>
    <col min="1" max="1" width="26.28515625" bestFit="1" customWidth="1"/>
    <col min="2" max="2" width="4" customWidth="1"/>
    <col min="3" max="3" width="13.42578125" bestFit="1" customWidth="1"/>
    <col min="4" max="4" width="4.5703125" customWidth="1"/>
    <col min="5" max="5" width="30.7109375" bestFit="1" customWidth="1"/>
    <col min="6" max="6" width="9.140625" style="1"/>
    <col min="7" max="7" width="48.5703125" bestFit="1" customWidth="1"/>
    <col min="11" max="11" width="12" bestFit="1" customWidth="1"/>
    <col min="12" max="16" width="12" customWidth="1"/>
    <col min="17" max="17" width="10.5703125" bestFit="1" customWidth="1"/>
    <col min="18" max="18" width="10.5703125" customWidth="1"/>
    <col min="19" max="19" width="12.42578125" bestFit="1" customWidth="1"/>
    <col min="22" max="22" width="9.140625" style="1"/>
    <col min="23" max="23" width="9.140625" style="5"/>
    <col min="57" max="57" width="9.140625" customWidth="1"/>
    <col min="63" max="63" width="9.140625" style="8"/>
    <col min="68" max="68" width="10.85546875" customWidth="1"/>
    <col min="83" max="83" width="37.85546875" bestFit="1" customWidth="1"/>
    <col min="84" max="84" width="33.140625" bestFit="1" customWidth="1"/>
    <col min="85" max="85" width="5.5703125" bestFit="1" customWidth="1"/>
  </cols>
  <sheetData>
    <row r="1" spans="1:85" x14ac:dyDescent="0.25">
      <c r="A1" t="s">
        <v>8</v>
      </c>
      <c r="C1" t="s">
        <v>13</v>
      </c>
      <c r="E1" t="s">
        <v>15</v>
      </c>
      <c r="F1" s="1" t="s">
        <v>49</v>
      </c>
      <c r="G1" t="s">
        <v>23</v>
      </c>
      <c r="H1" s="1" t="s">
        <v>20</v>
      </c>
      <c r="I1" s="1" t="s">
        <v>19</v>
      </c>
      <c r="J1" s="1" t="s">
        <v>12</v>
      </c>
      <c r="K1" s="1" t="s">
        <v>30</v>
      </c>
      <c r="L1" s="1" t="s">
        <v>32</v>
      </c>
      <c r="M1" s="1" t="s">
        <v>34</v>
      </c>
      <c r="N1" s="1" t="s">
        <v>33</v>
      </c>
      <c r="O1" s="1" t="s">
        <v>35</v>
      </c>
      <c r="P1" s="1" t="s">
        <v>1631</v>
      </c>
      <c r="Q1" s="1" t="s">
        <v>31</v>
      </c>
      <c r="R1" s="1" t="s">
        <v>1632</v>
      </c>
      <c r="S1" s="1" t="s">
        <v>1779</v>
      </c>
      <c r="U1" s="1" t="s">
        <v>41</v>
      </c>
      <c r="V1" s="1" t="s">
        <v>1628</v>
      </c>
      <c r="BE1" s="393"/>
      <c r="BF1" s="393"/>
      <c r="BL1" s="394" t="s">
        <v>114</v>
      </c>
      <c r="BM1" s="394"/>
      <c r="BN1" s="395" t="s">
        <v>118</v>
      </c>
      <c r="BO1" s="395"/>
      <c r="BP1" s="61" t="s">
        <v>122</v>
      </c>
      <c r="BQ1" s="61"/>
      <c r="BR1" s="392" t="s">
        <v>129</v>
      </c>
      <c r="BS1" s="392"/>
      <c r="BU1" t="s">
        <v>559</v>
      </c>
      <c r="BV1" t="s">
        <v>560</v>
      </c>
      <c r="BW1" t="s">
        <v>561</v>
      </c>
      <c r="BX1" t="s">
        <v>562</v>
      </c>
      <c r="BY1" t="s">
        <v>563</v>
      </c>
      <c r="BZ1" t="s">
        <v>564</v>
      </c>
      <c r="CA1" t="s">
        <v>565</v>
      </c>
      <c r="CB1" t="s">
        <v>566</v>
      </c>
      <c r="CC1" t="s">
        <v>567</v>
      </c>
      <c r="CE1" t="s">
        <v>635</v>
      </c>
      <c r="CF1" t="s">
        <v>1054</v>
      </c>
      <c r="CG1" t="s">
        <v>846</v>
      </c>
    </row>
    <row r="2" spans="1:85" x14ac:dyDescent="0.25">
      <c r="H2" s="1"/>
      <c r="I2" s="1"/>
      <c r="J2" s="1"/>
      <c r="K2" s="1"/>
      <c r="L2" s="1"/>
      <c r="M2" s="1"/>
      <c r="N2" s="1"/>
      <c r="O2" s="1"/>
      <c r="P2" s="1"/>
      <c r="Q2" s="1"/>
      <c r="R2" s="1"/>
      <c r="S2" s="1"/>
      <c r="BL2" s="58" t="s">
        <v>110</v>
      </c>
      <c r="BM2" s="58" t="s">
        <v>111</v>
      </c>
      <c r="BN2" s="59" t="s">
        <v>119</v>
      </c>
      <c r="BO2" s="59" t="s">
        <v>120</v>
      </c>
      <c r="BP2" s="61" t="s">
        <v>123</v>
      </c>
      <c r="BQ2" s="61" t="s">
        <v>124</v>
      </c>
      <c r="BR2" s="63" t="s">
        <v>130</v>
      </c>
      <c r="BS2" s="63" t="s">
        <v>131</v>
      </c>
      <c r="BU2" t="str">
        <f>IF('Coach Card'!E20="H",HybridDD!M3,IF('Coach Card'!E20=3,TREDD!B3,IF('Coach Card'!E20="A",BL3,IF('Coach Card'!E20="B",BN3,IF('Coach Card'!E20="C",BP3,IF('Coach Card'!E20="P",BR3,IF('Coach Card'!H19="A-Pair",AcroDD!Q5,"")))))))</f>
        <v/>
      </c>
      <c r="CE2" t="s">
        <v>636</v>
      </c>
      <c r="CF2" t="s">
        <v>1055</v>
      </c>
      <c r="CG2" t="s">
        <v>847</v>
      </c>
    </row>
    <row r="3" spans="1:85" x14ac:dyDescent="0.25">
      <c r="A3" t="s">
        <v>1334</v>
      </c>
      <c r="C3" t="s">
        <v>14</v>
      </c>
      <c r="D3" t="e">
        <f>'Coach Card'!$CP$15*10+1</f>
        <v>#VALUE!</v>
      </c>
      <c r="E3" t="e">
        <f t="shared" ref="E3:E11" ca="1" si="0">IF(OFFSET($D$1,D3+1,1)&lt;&gt;"",OFFSET($D$1,D3+1,1),"")</f>
        <v>#VALUE!</v>
      </c>
      <c r="F3" s="2">
        <v>1.0013888888888889</v>
      </c>
      <c r="G3" t="s">
        <v>1323</v>
      </c>
      <c r="H3" s="1"/>
      <c r="I3" s="1">
        <v>4</v>
      </c>
      <c r="J3" s="1"/>
      <c r="K3" s="1"/>
      <c r="L3" s="1"/>
      <c r="M3" s="1"/>
      <c r="N3" s="1"/>
      <c r="O3" s="1"/>
      <c r="P3" s="1"/>
      <c r="Q3" s="1"/>
      <c r="R3" s="1"/>
      <c r="S3" s="1"/>
      <c r="T3">
        <f>SUM(H3:S3)</f>
        <v>4</v>
      </c>
      <c r="U3">
        <v>1</v>
      </c>
      <c r="V3" s="1" t="s">
        <v>74</v>
      </c>
      <c r="BE3" s="1"/>
      <c r="BF3" s="1"/>
      <c r="BK3" s="8">
        <v>1</v>
      </c>
      <c r="BL3" s="58" t="s">
        <v>112</v>
      </c>
      <c r="BM3" s="58">
        <v>0</v>
      </c>
      <c r="BN3" s="59" t="s">
        <v>116</v>
      </c>
      <c r="BO3" s="59">
        <v>0</v>
      </c>
      <c r="BP3" s="61" t="s">
        <v>125</v>
      </c>
      <c r="BQ3" s="61">
        <v>0</v>
      </c>
      <c r="BR3" s="63" t="s">
        <v>132</v>
      </c>
      <c r="BS3" s="63">
        <v>0</v>
      </c>
      <c r="BU3" t="str">
        <f>IF('Coach Card'!E21="H",HybridDD!M4,IF('Coach Card'!E21=3,TREDD!B4,IF('Coach Card'!E21="A",BL4,IF('Coach Card'!E21="B",BN4,IF('Coach Card'!E21="C",BP4,IF('Coach Card'!E21="P",BR4,IF(LEFT('Coach Card'!H20,6)="A-Pair",AcroDD!Q6,"")))))))</f>
        <v/>
      </c>
      <c r="CE3" t="s">
        <v>637</v>
      </c>
      <c r="CF3" t="s">
        <v>1056</v>
      </c>
      <c r="CG3" t="s">
        <v>848</v>
      </c>
    </row>
    <row r="4" spans="1:85" x14ac:dyDescent="0.25">
      <c r="A4" t="s">
        <v>1335</v>
      </c>
      <c r="C4" t="s">
        <v>1342</v>
      </c>
      <c r="D4" t="e">
        <f>'Coach Card'!$CP$15*10+2</f>
        <v>#VALUE!</v>
      </c>
      <c r="E4" t="e">
        <f t="shared" ca="1" si="0"/>
        <v>#VALUE!</v>
      </c>
      <c r="F4" s="2">
        <v>1.0013888888888889</v>
      </c>
      <c r="G4" t="s">
        <v>24</v>
      </c>
      <c r="H4" s="1"/>
      <c r="I4" s="1">
        <v>4</v>
      </c>
      <c r="J4" s="1"/>
      <c r="K4" s="1"/>
      <c r="L4" s="1"/>
      <c r="M4" s="1"/>
      <c r="N4" s="1"/>
      <c r="O4" s="1"/>
      <c r="P4" s="1"/>
      <c r="Q4" s="1"/>
      <c r="R4" s="1"/>
      <c r="S4" s="1"/>
      <c r="T4">
        <f t="shared" ref="T4:T38" si="1">SUM(H4:S4)</f>
        <v>4</v>
      </c>
      <c r="U4">
        <v>1</v>
      </c>
      <c r="V4" s="1" t="s">
        <v>74</v>
      </c>
      <c r="BE4" s="1"/>
      <c r="BF4" s="1"/>
      <c r="BL4" s="58" t="s">
        <v>113</v>
      </c>
      <c r="BM4" s="58">
        <v>0</v>
      </c>
      <c r="BN4" s="59" t="s">
        <v>117</v>
      </c>
      <c r="BO4" s="59">
        <v>0</v>
      </c>
      <c r="BP4" s="61" t="s">
        <v>126</v>
      </c>
      <c r="BQ4" s="61">
        <v>0</v>
      </c>
      <c r="BR4" s="63" t="s">
        <v>133</v>
      </c>
      <c r="BS4" s="63">
        <v>0</v>
      </c>
      <c r="BU4" t="str">
        <f>IF('Coach Card'!E22="H",HybridDD!M5,IF('Coach Card'!E22=3,TREDD!B5,IF('Coach Card'!E22="A",BL5,IF('Coach Card'!E22="B",BN5,IF('Coach Card'!E22="C",BP5,IF('Coach Card'!E22="P",BR5,IF('Coach Card'!H21="A-Pair",AcroDD!Q7,"")))))))</f>
        <v/>
      </c>
      <c r="CE4" t="s">
        <v>638</v>
      </c>
      <c r="CF4" t="s">
        <v>1211</v>
      </c>
      <c r="CG4" t="s">
        <v>849</v>
      </c>
    </row>
    <row r="5" spans="1:85" x14ac:dyDescent="0.25">
      <c r="A5" t="s">
        <v>3</v>
      </c>
      <c r="C5" t="s">
        <v>1343</v>
      </c>
      <c r="D5" t="e">
        <f>'Coach Card'!$CP$15*10+3</f>
        <v>#VALUE!</v>
      </c>
      <c r="E5" t="e">
        <f t="shared" ca="1" si="0"/>
        <v>#VALUE!</v>
      </c>
      <c r="F5" s="2">
        <v>1.0017361111111112</v>
      </c>
      <c r="G5" t="s">
        <v>1324</v>
      </c>
      <c r="H5" s="1"/>
      <c r="I5" s="1">
        <v>4</v>
      </c>
      <c r="J5" s="1">
        <v>1</v>
      </c>
      <c r="K5" s="1"/>
      <c r="L5" s="1"/>
      <c r="M5" s="1"/>
      <c r="N5" s="1"/>
      <c r="O5" s="1"/>
      <c r="P5" s="1"/>
      <c r="Q5" s="1"/>
      <c r="R5" s="1"/>
      <c r="S5" s="1"/>
      <c r="T5">
        <f t="shared" si="1"/>
        <v>5</v>
      </c>
      <c r="U5">
        <v>2</v>
      </c>
      <c r="V5" s="1" t="s">
        <v>75</v>
      </c>
      <c r="BE5" s="1"/>
      <c r="BF5" s="1"/>
      <c r="BL5" s="58"/>
      <c r="BM5" s="58"/>
      <c r="BN5" s="59"/>
      <c r="BO5" s="59"/>
      <c r="BP5" s="61" t="s">
        <v>127</v>
      </c>
      <c r="BQ5" s="61">
        <v>0</v>
      </c>
      <c r="BR5" s="63"/>
      <c r="BS5" s="63"/>
      <c r="BU5" t="str">
        <f>IF('Coach Card'!E23="H",HybridDD!M6,IF('Coach Card'!E23=3,TREDD!B6,IF('Coach Card'!E23="A",BL6,IF('Coach Card'!E23="B",BN6,IF('Coach Card'!E23="C",BP6,IF('Coach Card'!E23="P",BR6,IF('Coach Card'!H22="A-Pair",AcroDD!Q8,"")))))))</f>
        <v/>
      </c>
      <c r="CE5" t="s">
        <v>639</v>
      </c>
      <c r="CF5" t="s">
        <v>1057</v>
      </c>
      <c r="CG5" t="s">
        <v>850</v>
      </c>
    </row>
    <row r="6" spans="1:85" x14ac:dyDescent="0.25">
      <c r="A6" t="s">
        <v>9</v>
      </c>
      <c r="C6" t="s">
        <v>5</v>
      </c>
      <c r="D6" t="e">
        <f>'Coach Card'!$CP$15*10+4</f>
        <v>#VALUE!</v>
      </c>
      <c r="E6" t="e">
        <f t="shared" ca="1" si="0"/>
        <v>#VALUE!</v>
      </c>
      <c r="F6" s="2">
        <v>1.0017361111111112</v>
      </c>
      <c r="G6" t="s">
        <v>25</v>
      </c>
      <c r="H6" s="1"/>
      <c r="I6" s="1">
        <v>3</v>
      </c>
      <c r="J6" s="1">
        <v>2</v>
      </c>
      <c r="K6" s="1"/>
      <c r="L6" s="1"/>
      <c r="M6" s="1"/>
      <c r="N6" s="1"/>
      <c r="O6" s="1"/>
      <c r="P6" s="1"/>
      <c r="Q6" s="1">
        <v>3</v>
      </c>
      <c r="R6" s="1"/>
      <c r="S6" s="1"/>
      <c r="T6">
        <f t="shared" si="1"/>
        <v>8</v>
      </c>
      <c r="U6">
        <v>3</v>
      </c>
      <c r="V6" s="1" t="s">
        <v>76</v>
      </c>
      <c r="BE6" s="1"/>
      <c r="BF6" s="1"/>
      <c r="BL6" s="58"/>
      <c r="BM6" s="58"/>
      <c r="BN6" s="59"/>
      <c r="BO6" s="59"/>
      <c r="BP6" s="61"/>
      <c r="BQ6" s="61"/>
      <c r="BR6" s="63"/>
      <c r="BS6" s="63"/>
      <c r="BU6" t="str">
        <f>IF('Coach Card'!E24="H",HybridDD!M7,IF('Coach Card'!E24=3,TREDD!B7,IF('Coach Card'!E24="A",BL7,IF('Coach Card'!E24="B",BN7,IF('Coach Card'!E24="C",BP7,IF('Coach Card'!E24="P",BR7,IF('Coach Card'!H23="A-Pair",AcroDD!Q9,"")))))))</f>
        <v/>
      </c>
      <c r="CE6" t="s">
        <v>640</v>
      </c>
      <c r="CF6" t="s">
        <v>1058</v>
      </c>
      <c r="CG6" t="s">
        <v>851</v>
      </c>
    </row>
    <row r="7" spans="1:85" x14ac:dyDescent="0.25">
      <c r="A7" t="s">
        <v>1336</v>
      </c>
      <c r="C7" t="s">
        <v>1344</v>
      </c>
      <c r="D7" t="e">
        <f>'Coach Card'!$CP$15*10+5</f>
        <v>#VALUE!</v>
      </c>
      <c r="E7" t="e">
        <f t="shared" ca="1" si="0"/>
        <v>#VALUE!</v>
      </c>
      <c r="F7" s="2">
        <v>1.0020833333333334</v>
      </c>
      <c r="G7" t="s">
        <v>1325</v>
      </c>
      <c r="H7" s="1"/>
      <c r="I7" s="1">
        <v>4</v>
      </c>
      <c r="J7" s="1">
        <v>3</v>
      </c>
      <c r="K7" s="1"/>
      <c r="L7" s="1"/>
      <c r="M7" s="1"/>
      <c r="N7" s="1"/>
      <c r="O7" s="1"/>
      <c r="P7" s="1"/>
      <c r="Q7" s="1"/>
      <c r="R7" s="1"/>
      <c r="S7" s="1"/>
      <c r="T7">
        <f t="shared" si="1"/>
        <v>7</v>
      </c>
      <c r="U7">
        <v>12</v>
      </c>
      <c r="V7" s="1" t="s">
        <v>77</v>
      </c>
      <c r="BE7" s="1"/>
      <c r="BF7" s="1"/>
      <c r="BL7" s="58"/>
      <c r="BM7" s="58"/>
      <c r="BN7" s="59"/>
      <c r="BO7" s="59"/>
      <c r="BP7" s="61"/>
      <c r="BQ7" s="61"/>
      <c r="BR7" s="63"/>
      <c r="BS7" s="63"/>
      <c r="BU7" t="str">
        <f>IF('Coach Card'!E25="H",HybridDD!M8,IF('Coach Card'!E25=3,TREDD!B8,IF('Coach Card'!E25="A",BL8,IF('Coach Card'!E25="B",BN8,IF('Coach Card'!E25="C",BP8,IF('Coach Card'!E25="P",BR8,IF('Coach Card'!H24="A-Pair",AcroDD!Q10,"")))))))</f>
        <v/>
      </c>
      <c r="CE7" t="s">
        <v>641</v>
      </c>
      <c r="CF7" t="s">
        <v>1059</v>
      </c>
      <c r="CG7" t="s">
        <v>852</v>
      </c>
    </row>
    <row r="8" spans="1:85" x14ac:dyDescent="0.25">
      <c r="A8" t="s">
        <v>1337</v>
      </c>
      <c r="D8" t="e">
        <f>'Coach Card'!$CP$15*10+6</f>
        <v>#VALUE!</v>
      </c>
      <c r="E8" t="e">
        <f t="shared" ca="1" si="0"/>
        <v>#VALUE!</v>
      </c>
      <c r="F8" s="2">
        <v>1.0020833333333334</v>
      </c>
      <c r="G8" t="s">
        <v>1326</v>
      </c>
      <c r="H8" s="1"/>
      <c r="I8" s="1"/>
      <c r="J8" s="1">
        <v>3</v>
      </c>
      <c r="K8" s="1"/>
      <c r="L8" s="1"/>
      <c r="M8" s="1"/>
      <c r="N8" s="1">
        <v>1</v>
      </c>
      <c r="O8" s="1">
        <v>1</v>
      </c>
      <c r="P8" s="1">
        <v>2</v>
      </c>
      <c r="Q8" s="1"/>
      <c r="R8" s="1">
        <v>1</v>
      </c>
      <c r="S8" s="1"/>
      <c r="T8">
        <f t="shared" si="1"/>
        <v>8</v>
      </c>
      <c r="U8">
        <v>4</v>
      </c>
      <c r="V8" s="1" t="s">
        <v>77</v>
      </c>
      <c r="BE8" s="1"/>
      <c r="BF8" s="1"/>
      <c r="BL8" s="58"/>
      <c r="BM8" s="58"/>
      <c r="BN8" s="59"/>
      <c r="BO8" s="59"/>
      <c r="BP8" s="61"/>
      <c r="BQ8" s="61"/>
      <c r="BR8" s="63"/>
      <c r="BS8" s="63"/>
      <c r="BU8" t="str">
        <f>IF('Coach Card'!E26="H",HybridDD!M9,IF('Coach Card'!E26=3,TREDD!B9,IF('Coach Card'!E26="A",BL9,IF('Coach Card'!E26="B",BN9,IF('Coach Card'!E26="C",BP9,IF('Coach Card'!E26="P",BR9,IF('Coach Card'!H25="A-Pair",AcroDD!Q11,"")))))))</f>
        <v/>
      </c>
      <c r="CE8" t="s">
        <v>642</v>
      </c>
      <c r="CF8" t="s">
        <v>1212</v>
      </c>
      <c r="CG8" t="s">
        <v>853</v>
      </c>
    </row>
    <row r="9" spans="1:85" x14ac:dyDescent="0.25">
      <c r="A9" t="s">
        <v>10</v>
      </c>
      <c r="D9" t="e">
        <f>'Coach Card'!$CP$15*10+7</f>
        <v>#VALUE!</v>
      </c>
      <c r="E9" t="e">
        <f t="shared" ca="1" si="0"/>
        <v>#VALUE!</v>
      </c>
      <c r="F9" s="2">
        <v>1.0013888888888889</v>
      </c>
      <c r="G9" t="s">
        <v>1345</v>
      </c>
      <c r="H9" s="1"/>
      <c r="I9" s="1">
        <v>5</v>
      </c>
      <c r="J9" s="1"/>
      <c r="K9" s="1"/>
      <c r="L9" s="1"/>
      <c r="M9" s="1"/>
      <c r="N9" s="1"/>
      <c r="O9" s="1"/>
      <c r="P9" s="1"/>
      <c r="Q9" s="1"/>
      <c r="R9" s="1"/>
      <c r="S9" s="1"/>
      <c r="T9">
        <f t="shared" si="1"/>
        <v>5</v>
      </c>
      <c r="U9">
        <v>1</v>
      </c>
      <c r="V9" s="1" t="s">
        <v>74</v>
      </c>
      <c r="BE9" s="1"/>
      <c r="BF9" s="1"/>
      <c r="BL9" s="58"/>
      <c r="BM9" s="58"/>
      <c r="BN9" s="59"/>
      <c r="BO9" s="59"/>
      <c r="BP9" s="61"/>
      <c r="BQ9" s="61"/>
      <c r="BR9" s="63"/>
      <c r="BS9" s="63"/>
      <c r="BU9" t="str">
        <f>IF('Coach Card'!E27="H",HybridDD!M10,IF('Coach Card'!E27=3,TREDD!B10,IF('Coach Card'!E27="A",BL10,IF('Coach Card'!E27="B",BN10,IF('Coach Card'!E27="C",BP10,IF('Coach Card'!E27="P",BR10,IF('Coach Card'!H26="A-Pair",AcroDD!Q12,"")))))))</f>
        <v/>
      </c>
      <c r="CE9" t="s">
        <v>643</v>
      </c>
      <c r="CF9" t="s">
        <v>1060</v>
      </c>
      <c r="CG9" t="s">
        <v>854</v>
      </c>
    </row>
    <row r="10" spans="1:85" x14ac:dyDescent="0.25">
      <c r="A10" t="s">
        <v>11</v>
      </c>
      <c r="C10" t="s">
        <v>14</v>
      </c>
      <c r="D10" t="e">
        <f>'Coach Card'!$CP$15*10+8</f>
        <v>#VALUE!</v>
      </c>
      <c r="E10" t="e">
        <f t="shared" ca="1" si="0"/>
        <v>#VALUE!</v>
      </c>
      <c r="F10" s="2">
        <v>1.0013888888888889</v>
      </c>
      <c r="G10" t="s">
        <v>1346</v>
      </c>
      <c r="H10" s="1"/>
      <c r="I10" s="1">
        <v>5</v>
      </c>
      <c r="J10" s="1"/>
      <c r="K10" s="1"/>
      <c r="L10" s="1"/>
      <c r="M10" s="1"/>
      <c r="N10" s="1"/>
      <c r="O10" s="1"/>
      <c r="P10" s="1"/>
      <c r="Q10" s="1"/>
      <c r="R10" s="1"/>
      <c r="S10" s="1"/>
      <c r="T10">
        <f t="shared" si="1"/>
        <v>5</v>
      </c>
      <c r="U10">
        <v>1</v>
      </c>
      <c r="V10" s="1" t="s">
        <v>74</v>
      </c>
      <c r="BE10" s="1"/>
      <c r="BF10" s="1"/>
      <c r="BK10" s="8">
        <v>2</v>
      </c>
      <c r="BL10" s="58" t="s">
        <v>115</v>
      </c>
      <c r="BM10" s="58">
        <v>0.5</v>
      </c>
      <c r="BN10" s="59" t="s">
        <v>121</v>
      </c>
      <c r="BO10" s="59">
        <v>1.05</v>
      </c>
      <c r="BP10" s="61" t="s">
        <v>128</v>
      </c>
      <c r="BQ10" s="61">
        <v>1.7</v>
      </c>
      <c r="BR10" s="63" t="s">
        <v>134</v>
      </c>
      <c r="BS10" s="63">
        <v>1.1000000000000001</v>
      </c>
      <c r="BU10" t="str">
        <f>IF('Coach Card'!E28="H",HybridDD!M11,IF('Coach Card'!E28=3,TREDD!B11,IF('Coach Card'!E28="A",BL11,IF('Coach Card'!E28="B",BN11,IF('Coach Card'!E28="C",BP11,IF('Coach Card'!E28="P",BR11,IF('Coach Card'!H27="A-Pair",AcroDD!Q13,"")))))))</f>
        <v/>
      </c>
      <c r="BX10" s="76"/>
      <c r="CE10" t="s">
        <v>644</v>
      </c>
      <c r="CF10" t="s">
        <v>1061</v>
      </c>
      <c r="CG10" t="s">
        <v>855</v>
      </c>
    </row>
    <row r="11" spans="1:85" x14ac:dyDescent="0.25">
      <c r="A11" t="s">
        <v>1338</v>
      </c>
      <c r="C11" t="s">
        <v>1342</v>
      </c>
      <c r="D11" t="e">
        <f>'Coach Card'!$CP$15*10+9</f>
        <v>#VALUE!</v>
      </c>
      <c r="E11" t="e">
        <f t="shared" ca="1" si="0"/>
        <v>#VALUE!</v>
      </c>
      <c r="F11" s="2">
        <v>1.0017361111111112</v>
      </c>
      <c r="G11" t="s">
        <v>1347</v>
      </c>
      <c r="H11" s="1"/>
      <c r="I11" s="1">
        <v>5</v>
      </c>
      <c r="J11" s="1">
        <v>1</v>
      </c>
      <c r="K11" s="1"/>
      <c r="L11" s="1"/>
      <c r="M11" s="1"/>
      <c r="N11" s="1"/>
      <c r="O11" s="1"/>
      <c r="P11" s="1"/>
      <c r="Q11" s="1"/>
      <c r="R11" s="1"/>
      <c r="S11" s="1"/>
      <c r="T11">
        <f t="shared" si="1"/>
        <v>6</v>
      </c>
      <c r="U11">
        <v>2</v>
      </c>
      <c r="V11" s="1" t="s">
        <v>75</v>
      </c>
      <c r="BE11" s="1"/>
      <c r="BF11" s="1"/>
      <c r="BL11" s="58" t="s">
        <v>397</v>
      </c>
      <c r="BM11" s="58">
        <v>0.9</v>
      </c>
      <c r="BN11" s="59" t="s">
        <v>192</v>
      </c>
      <c r="BO11" s="59">
        <v>0.7</v>
      </c>
      <c r="BP11" s="62" t="s">
        <v>160</v>
      </c>
      <c r="BQ11" s="61">
        <v>1.65</v>
      </c>
      <c r="BR11" s="63" t="s">
        <v>135</v>
      </c>
      <c r="BS11" s="63">
        <v>0.85</v>
      </c>
      <c r="CE11" t="s">
        <v>645</v>
      </c>
      <c r="CF11" t="s">
        <v>1062</v>
      </c>
      <c r="CG11" t="s">
        <v>856</v>
      </c>
    </row>
    <row r="12" spans="1:85" x14ac:dyDescent="0.25">
      <c r="A12" t="s">
        <v>1339</v>
      </c>
      <c r="F12" s="2">
        <v>1.0017361111111112</v>
      </c>
      <c r="G12" t="s">
        <v>1348</v>
      </c>
      <c r="H12" s="1"/>
      <c r="I12" s="1">
        <v>3</v>
      </c>
      <c r="J12" s="1">
        <v>2</v>
      </c>
      <c r="K12" s="1"/>
      <c r="L12" s="1"/>
      <c r="M12" s="1"/>
      <c r="N12" s="1"/>
      <c r="O12" s="1"/>
      <c r="P12" s="1"/>
      <c r="Q12" s="1">
        <v>3</v>
      </c>
      <c r="R12" s="1"/>
      <c r="S12" s="1"/>
      <c r="T12">
        <f t="shared" si="1"/>
        <v>8</v>
      </c>
      <c r="U12">
        <v>3</v>
      </c>
      <c r="V12" s="1" t="s">
        <v>76</v>
      </c>
      <c r="BE12" s="1"/>
      <c r="BF12" s="1"/>
      <c r="BL12" s="58" t="s">
        <v>398</v>
      </c>
      <c r="BM12" s="58">
        <v>1.25</v>
      </c>
      <c r="BN12" s="59" t="s">
        <v>193</v>
      </c>
      <c r="BO12" s="59">
        <v>1.35</v>
      </c>
      <c r="BP12" s="62" t="s">
        <v>158</v>
      </c>
      <c r="BQ12" s="61">
        <v>1.55</v>
      </c>
      <c r="BR12" s="63" t="s">
        <v>136</v>
      </c>
      <c r="BS12" s="63">
        <v>1.1499999999999999</v>
      </c>
      <c r="CE12" t="s">
        <v>646</v>
      </c>
      <c r="CF12" t="s">
        <v>1063</v>
      </c>
      <c r="CG12" t="s">
        <v>857</v>
      </c>
    </row>
    <row r="13" spans="1:85" x14ac:dyDescent="0.25">
      <c r="A13" t="s">
        <v>1340</v>
      </c>
      <c r="D13">
        <v>1</v>
      </c>
      <c r="E13" t="s">
        <v>18</v>
      </c>
      <c r="F13" s="2">
        <v>1.0020833333333334</v>
      </c>
      <c r="G13" t="s">
        <v>1349</v>
      </c>
      <c r="H13" s="1"/>
      <c r="I13" s="1">
        <v>5</v>
      </c>
      <c r="J13" s="1">
        <v>3</v>
      </c>
      <c r="K13" s="1"/>
      <c r="L13" s="1"/>
      <c r="M13" s="1"/>
      <c r="N13" s="1"/>
      <c r="O13" s="1"/>
      <c r="P13" s="1"/>
      <c r="Q13" s="1"/>
      <c r="R13" s="1"/>
      <c r="S13" s="1"/>
      <c r="T13">
        <f t="shared" si="1"/>
        <v>8</v>
      </c>
      <c r="U13">
        <v>12</v>
      </c>
      <c r="V13" s="1" t="s">
        <v>77</v>
      </c>
      <c r="BF13" s="7"/>
      <c r="BL13" s="58" t="s">
        <v>399</v>
      </c>
      <c r="BM13" s="58">
        <v>1</v>
      </c>
      <c r="BN13" s="59" t="s">
        <v>194</v>
      </c>
      <c r="BO13" s="59">
        <v>0.9</v>
      </c>
      <c r="BP13" s="62" t="s">
        <v>161</v>
      </c>
      <c r="BQ13" s="61">
        <v>1.55</v>
      </c>
      <c r="BR13" s="63" t="s">
        <v>137</v>
      </c>
      <c r="BS13" s="63">
        <v>1.3</v>
      </c>
      <c r="CE13" t="s">
        <v>647</v>
      </c>
      <c r="CF13" t="s">
        <v>1064</v>
      </c>
      <c r="CG13" t="s">
        <v>858</v>
      </c>
    </row>
    <row r="14" spans="1:85" x14ac:dyDescent="0.25">
      <c r="A14" t="s">
        <v>1341</v>
      </c>
      <c r="C14" t="s">
        <v>1343</v>
      </c>
      <c r="D14">
        <v>1</v>
      </c>
      <c r="E14" t="s">
        <v>1623</v>
      </c>
      <c r="F14" s="2">
        <v>1.0020833333333334</v>
      </c>
      <c r="G14" t="s">
        <v>1350</v>
      </c>
      <c r="H14" s="1"/>
      <c r="I14" s="1"/>
      <c r="J14" s="1">
        <v>4</v>
      </c>
      <c r="K14" s="1"/>
      <c r="L14" s="1"/>
      <c r="M14" s="1"/>
      <c r="N14" s="1">
        <v>1</v>
      </c>
      <c r="O14" s="1">
        <v>1</v>
      </c>
      <c r="P14" s="1">
        <v>2</v>
      </c>
      <c r="Q14" s="1"/>
      <c r="R14" s="1">
        <v>1</v>
      </c>
      <c r="S14" s="1"/>
      <c r="T14">
        <f t="shared" si="1"/>
        <v>9</v>
      </c>
      <c r="U14">
        <v>4</v>
      </c>
      <c r="V14" s="1" t="s">
        <v>77</v>
      </c>
      <c r="BF14" s="7"/>
      <c r="BL14" s="58" t="s">
        <v>150</v>
      </c>
      <c r="BM14" s="58">
        <v>1.35</v>
      </c>
      <c r="BN14" s="59" t="s">
        <v>195</v>
      </c>
      <c r="BO14" s="59">
        <v>1.1499999999999999</v>
      </c>
      <c r="BP14" s="62" t="s">
        <v>162</v>
      </c>
      <c r="BQ14" s="61">
        <v>1.75</v>
      </c>
      <c r="BR14" s="63" t="s">
        <v>138</v>
      </c>
      <c r="BS14" s="63">
        <v>1.4</v>
      </c>
      <c r="CE14" t="s">
        <v>648</v>
      </c>
      <c r="CF14" t="s">
        <v>1065</v>
      </c>
      <c r="CG14" t="s">
        <v>859</v>
      </c>
    </row>
    <row r="15" spans="1:85" x14ac:dyDescent="0.25">
      <c r="C15" t="s">
        <v>5</v>
      </c>
      <c r="F15" s="2">
        <v>1.0013888888888889</v>
      </c>
      <c r="G15" t="s">
        <v>1351</v>
      </c>
      <c r="H15" s="1">
        <v>5</v>
      </c>
      <c r="I15" s="1">
        <v>1</v>
      </c>
      <c r="J15" s="1"/>
      <c r="K15" s="1"/>
      <c r="L15" s="1"/>
      <c r="M15" s="1"/>
      <c r="N15" s="1"/>
      <c r="O15" s="1"/>
      <c r="P15" s="1"/>
      <c r="Q15" s="1"/>
      <c r="R15" s="1"/>
      <c r="S15" s="1"/>
      <c r="T15">
        <f t="shared" si="1"/>
        <v>6</v>
      </c>
      <c r="U15">
        <v>6</v>
      </c>
      <c r="V15" s="1" t="s">
        <v>74</v>
      </c>
      <c r="BF15" s="7"/>
      <c r="BL15" s="58" t="s">
        <v>400</v>
      </c>
      <c r="BM15" s="58">
        <v>1.35</v>
      </c>
      <c r="BN15" s="59" t="s">
        <v>196</v>
      </c>
      <c r="BO15" s="59">
        <v>0.95</v>
      </c>
      <c r="BP15" s="62" t="s">
        <v>163</v>
      </c>
      <c r="BQ15" s="61">
        <v>1.55</v>
      </c>
      <c r="BR15" s="63" t="s">
        <v>139</v>
      </c>
      <c r="BS15" s="63">
        <v>1.1499999999999999</v>
      </c>
      <c r="CE15" t="s">
        <v>649</v>
      </c>
      <c r="CF15" t="s">
        <v>1066</v>
      </c>
      <c r="CG15" t="s">
        <v>860</v>
      </c>
    </row>
    <row r="16" spans="1:85" x14ac:dyDescent="0.25">
      <c r="C16" t="s">
        <v>1344</v>
      </c>
      <c r="F16" s="2">
        <v>1.0015624999999999</v>
      </c>
      <c r="G16" t="s">
        <v>1352</v>
      </c>
      <c r="H16" s="1"/>
      <c r="I16" s="1">
        <v>6</v>
      </c>
      <c r="J16" s="1"/>
      <c r="K16" s="1"/>
      <c r="L16" s="1"/>
      <c r="M16" s="1"/>
      <c r="N16" s="1"/>
      <c r="O16" s="1"/>
      <c r="P16" s="1"/>
      <c r="Q16" s="1"/>
      <c r="R16" s="1"/>
      <c r="S16" s="1"/>
      <c r="T16">
        <f t="shared" si="1"/>
        <v>6</v>
      </c>
      <c r="U16">
        <v>1</v>
      </c>
      <c r="V16" s="1" t="s">
        <v>74</v>
      </c>
      <c r="BF16" s="7"/>
      <c r="BL16" s="58" t="s">
        <v>401</v>
      </c>
      <c r="BM16" s="58">
        <v>1.35</v>
      </c>
      <c r="BN16" s="59" t="s">
        <v>197</v>
      </c>
      <c r="BO16" s="59">
        <v>1.1499999999999999</v>
      </c>
      <c r="BP16" s="62" t="s">
        <v>164</v>
      </c>
      <c r="BQ16" s="61">
        <v>1.75</v>
      </c>
      <c r="BR16" s="63" t="s">
        <v>140</v>
      </c>
      <c r="BS16" s="63">
        <v>1.1499999999999999</v>
      </c>
      <c r="CE16" t="s">
        <v>650</v>
      </c>
      <c r="CF16" t="s">
        <v>1067</v>
      </c>
      <c r="CG16" t="s">
        <v>861</v>
      </c>
    </row>
    <row r="17" spans="1:85" x14ac:dyDescent="0.25">
      <c r="A17" t="s">
        <v>1335</v>
      </c>
      <c r="F17" s="2">
        <v>1.0013888888888889</v>
      </c>
      <c r="G17" t="s">
        <v>1353</v>
      </c>
      <c r="H17" s="1">
        <v>5</v>
      </c>
      <c r="I17" s="1">
        <v>1</v>
      </c>
      <c r="J17" s="1"/>
      <c r="K17" s="1"/>
      <c r="L17" s="1"/>
      <c r="M17" s="1"/>
      <c r="N17" s="1"/>
      <c r="O17" s="1"/>
      <c r="P17" s="1"/>
      <c r="Q17" s="1"/>
      <c r="R17" s="1"/>
      <c r="S17" s="1"/>
      <c r="T17">
        <f t="shared" si="1"/>
        <v>6</v>
      </c>
      <c r="U17">
        <v>6</v>
      </c>
      <c r="V17" s="1" t="s">
        <v>74</v>
      </c>
      <c r="BF17" s="7"/>
      <c r="BL17" s="58" t="s">
        <v>402</v>
      </c>
      <c r="BM17" s="58">
        <v>1.3</v>
      </c>
      <c r="BN17" s="59" t="s">
        <v>198</v>
      </c>
      <c r="BO17" s="59">
        <v>0.95</v>
      </c>
      <c r="BP17" s="61" t="s">
        <v>159</v>
      </c>
      <c r="BQ17" s="61">
        <v>1.4</v>
      </c>
      <c r="BR17" s="63" t="s">
        <v>141</v>
      </c>
      <c r="BS17" s="63">
        <v>1.2</v>
      </c>
      <c r="CE17" t="s">
        <v>651</v>
      </c>
      <c r="CF17" t="s">
        <v>1068</v>
      </c>
      <c r="CG17" t="s">
        <v>862</v>
      </c>
    </row>
    <row r="18" spans="1:85" x14ac:dyDescent="0.25">
      <c r="A18" t="s">
        <v>9</v>
      </c>
      <c r="F18" s="2">
        <v>1.0015624999999999</v>
      </c>
      <c r="G18" t="s">
        <v>1354</v>
      </c>
      <c r="H18" s="1"/>
      <c r="I18" s="1">
        <v>6</v>
      </c>
      <c r="J18" s="1"/>
      <c r="K18" s="1"/>
      <c r="L18" s="1"/>
      <c r="M18" s="1"/>
      <c r="N18" s="1"/>
      <c r="O18" s="1"/>
      <c r="P18" s="1"/>
      <c r="Q18" s="1"/>
      <c r="R18" s="1"/>
      <c r="S18" s="1"/>
      <c r="T18">
        <f t="shared" si="1"/>
        <v>6</v>
      </c>
      <c r="U18">
        <v>1</v>
      </c>
      <c r="V18" s="1" t="s">
        <v>74</v>
      </c>
      <c r="BF18" s="7"/>
      <c r="BL18" s="58" t="s">
        <v>403</v>
      </c>
      <c r="BM18" s="58">
        <v>1.3</v>
      </c>
      <c r="BN18" s="59" t="s">
        <v>199</v>
      </c>
      <c r="BO18" s="59">
        <v>1.2</v>
      </c>
      <c r="BP18" s="61" t="s">
        <v>165</v>
      </c>
      <c r="BQ18" s="61">
        <v>1.1000000000000001</v>
      </c>
      <c r="BR18" s="63" t="s">
        <v>142</v>
      </c>
      <c r="BS18" s="63">
        <v>1.45</v>
      </c>
      <c r="CE18" t="s">
        <v>652</v>
      </c>
      <c r="CF18" t="s">
        <v>1069</v>
      </c>
      <c r="CG18" t="s">
        <v>863</v>
      </c>
    </row>
    <row r="19" spans="1:85" x14ac:dyDescent="0.25">
      <c r="A19" t="s">
        <v>1337</v>
      </c>
      <c r="F19" s="2">
        <v>1.0016203703703703</v>
      </c>
      <c r="G19" t="s">
        <v>1355</v>
      </c>
      <c r="H19" s="1">
        <v>5</v>
      </c>
      <c r="I19" s="1">
        <v>1</v>
      </c>
      <c r="J19" s="1">
        <v>1</v>
      </c>
      <c r="K19" s="1"/>
      <c r="L19" s="1"/>
      <c r="M19" s="1"/>
      <c r="N19" s="1"/>
      <c r="O19" s="1"/>
      <c r="P19" s="1"/>
      <c r="Q19" s="1"/>
      <c r="R19" s="1"/>
      <c r="S19" s="1"/>
      <c r="T19">
        <f t="shared" si="1"/>
        <v>7</v>
      </c>
      <c r="U19">
        <v>7</v>
      </c>
      <c r="V19" s="1" t="s">
        <v>75</v>
      </c>
      <c r="BF19" s="7"/>
      <c r="BL19" s="58" t="s">
        <v>404</v>
      </c>
      <c r="BM19" s="58">
        <v>1.35</v>
      </c>
      <c r="BN19" s="59" t="s">
        <v>200</v>
      </c>
      <c r="BO19" s="59">
        <v>1.2</v>
      </c>
      <c r="BP19" s="61" t="s">
        <v>166</v>
      </c>
      <c r="BQ19" s="61">
        <v>1.35</v>
      </c>
      <c r="BR19" s="63" t="s">
        <v>143</v>
      </c>
      <c r="BS19" s="63">
        <v>1.7</v>
      </c>
      <c r="CE19" t="s">
        <v>653</v>
      </c>
      <c r="CF19" t="s">
        <v>1070</v>
      </c>
      <c r="CG19" t="s">
        <v>864</v>
      </c>
    </row>
    <row r="20" spans="1:85" x14ac:dyDescent="0.25">
      <c r="A20" t="s">
        <v>11</v>
      </c>
      <c r="F20" s="2">
        <v>1.0019097222222222</v>
      </c>
      <c r="G20" t="s">
        <v>1356</v>
      </c>
      <c r="H20" s="1"/>
      <c r="I20" s="1">
        <v>6</v>
      </c>
      <c r="J20" s="1">
        <v>2</v>
      </c>
      <c r="K20" s="1"/>
      <c r="L20" s="1"/>
      <c r="M20" s="1"/>
      <c r="N20" s="1"/>
      <c r="O20" s="1"/>
      <c r="P20" s="1"/>
      <c r="Q20" s="1"/>
      <c r="R20" s="1"/>
      <c r="S20" s="1"/>
      <c r="T20">
        <f t="shared" si="1"/>
        <v>8</v>
      </c>
      <c r="U20">
        <v>2</v>
      </c>
      <c r="V20" s="1" t="s">
        <v>75</v>
      </c>
      <c r="BF20" s="7"/>
      <c r="BL20" s="58" t="s">
        <v>405</v>
      </c>
      <c r="BM20" s="58">
        <v>1</v>
      </c>
      <c r="BN20" s="59" t="s">
        <v>181</v>
      </c>
      <c r="BO20" s="59">
        <v>0.85</v>
      </c>
      <c r="BP20" s="61" t="s">
        <v>167</v>
      </c>
      <c r="BQ20" s="61">
        <v>1.25</v>
      </c>
      <c r="BR20" s="63" t="s">
        <v>144</v>
      </c>
      <c r="BS20" s="63">
        <v>1</v>
      </c>
      <c r="CE20" t="s">
        <v>654</v>
      </c>
      <c r="CF20" t="s">
        <v>1071</v>
      </c>
      <c r="CG20" t="s">
        <v>865</v>
      </c>
    </row>
    <row r="21" spans="1:85" x14ac:dyDescent="0.25">
      <c r="A21" t="s">
        <v>1339</v>
      </c>
      <c r="F21" s="2">
        <v>1.0016203703703703</v>
      </c>
      <c r="G21" t="s">
        <v>1357</v>
      </c>
      <c r="H21" s="1">
        <v>3</v>
      </c>
      <c r="I21" s="1">
        <v>1</v>
      </c>
      <c r="J21" s="1">
        <v>2</v>
      </c>
      <c r="K21" s="1"/>
      <c r="L21" s="1">
        <v>1</v>
      </c>
      <c r="M21" s="1"/>
      <c r="N21" s="1"/>
      <c r="O21" s="1"/>
      <c r="P21" s="1"/>
      <c r="Q21" s="1">
        <v>3</v>
      </c>
      <c r="R21" s="1"/>
      <c r="S21" s="1"/>
      <c r="T21">
        <f t="shared" si="1"/>
        <v>10</v>
      </c>
      <c r="U21">
        <v>8</v>
      </c>
      <c r="V21" s="1" t="s">
        <v>76</v>
      </c>
      <c r="BF21" s="7"/>
      <c r="BL21" s="58" t="s">
        <v>198</v>
      </c>
      <c r="BM21" s="58">
        <v>1.3</v>
      </c>
      <c r="BN21" s="59" t="s">
        <v>144</v>
      </c>
      <c r="BO21" s="59">
        <v>1.2</v>
      </c>
      <c r="BP21" s="61" t="s">
        <v>168</v>
      </c>
      <c r="BQ21" s="61">
        <v>1.6</v>
      </c>
      <c r="BR21" s="63" t="s">
        <v>145</v>
      </c>
      <c r="BS21" s="63">
        <v>1.1000000000000001</v>
      </c>
      <c r="CE21" t="s">
        <v>655</v>
      </c>
      <c r="CF21" t="s">
        <v>1072</v>
      </c>
      <c r="CG21" t="s">
        <v>866</v>
      </c>
    </row>
    <row r="22" spans="1:85" x14ac:dyDescent="0.25">
      <c r="A22" t="s">
        <v>1340</v>
      </c>
      <c r="F22" s="2">
        <v>1.0019097222222222</v>
      </c>
      <c r="G22" t="s">
        <v>1358</v>
      </c>
      <c r="H22" s="1"/>
      <c r="I22" s="1">
        <v>4</v>
      </c>
      <c r="J22" s="1">
        <v>3</v>
      </c>
      <c r="K22" s="1"/>
      <c r="L22" s="1"/>
      <c r="M22" s="1"/>
      <c r="N22" s="1"/>
      <c r="O22" s="1"/>
      <c r="P22" s="1"/>
      <c r="Q22" s="1">
        <v>4</v>
      </c>
      <c r="R22" s="1"/>
      <c r="S22" s="1"/>
      <c r="T22">
        <f t="shared" si="1"/>
        <v>11</v>
      </c>
      <c r="U22">
        <v>3</v>
      </c>
      <c r="V22" s="1" t="s">
        <v>76</v>
      </c>
      <c r="BF22" s="7"/>
      <c r="BL22" s="58" t="s">
        <v>406</v>
      </c>
      <c r="BM22" s="58">
        <v>0.5</v>
      </c>
      <c r="BN22" s="59" t="s">
        <v>201</v>
      </c>
      <c r="BO22" s="59">
        <v>1.6</v>
      </c>
      <c r="BP22" s="61" t="s">
        <v>169</v>
      </c>
      <c r="BQ22" s="61">
        <v>0.7</v>
      </c>
      <c r="BR22" s="63" t="s">
        <v>146</v>
      </c>
      <c r="BS22" s="63">
        <v>0.9</v>
      </c>
      <c r="CE22" t="s">
        <v>656</v>
      </c>
      <c r="CF22" t="s">
        <v>1073</v>
      </c>
      <c r="CG22" t="s">
        <v>867</v>
      </c>
    </row>
    <row r="23" spans="1:85" x14ac:dyDescent="0.25">
      <c r="D23">
        <v>2</v>
      </c>
      <c r="E23" t="s">
        <v>18</v>
      </c>
      <c r="F23" s="2">
        <v>1.0019675925925926</v>
      </c>
      <c r="G23" t="s">
        <v>1359</v>
      </c>
      <c r="H23" s="1">
        <v>5</v>
      </c>
      <c r="I23" s="1">
        <v>1</v>
      </c>
      <c r="J23" s="1">
        <v>1</v>
      </c>
      <c r="K23" s="1"/>
      <c r="L23" s="1"/>
      <c r="M23" s="1"/>
      <c r="N23" s="1"/>
      <c r="O23" s="1"/>
      <c r="P23" s="1"/>
      <c r="Q23" s="1"/>
      <c r="R23" s="1"/>
      <c r="S23" s="1">
        <v>1</v>
      </c>
      <c r="T23">
        <f t="shared" si="1"/>
        <v>8</v>
      </c>
      <c r="U23">
        <v>11</v>
      </c>
      <c r="V23" s="1" t="s">
        <v>77</v>
      </c>
      <c r="BF23" s="7"/>
      <c r="BL23" s="58" t="s">
        <v>407</v>
      </c>
      <c r="BM23" s="58">
        <v>1.1000000000000001</v>
      </c>
      <c r="BN23" s="59" t="s">
        <v>202</v>
      </c>
      <c r="BO23" s="59">
        <v>1.4</v>
      </c>
      <c r="BP23" s="61" t="s">
        <v>170</v>
      </c>
      <c r="BQ23" s="61">
        <v>1.85</v>
      </c>
      <c r="BR23" s="63" t="s">
        <v>147</v>
      </c>
      <c r="BS23" s="63">
        <v>0.9</v>
      </c>
      <c r="CE23" t="s">
        <v>657</v>
      </c>
      <c r="CF23" t="s">
        <v>1074</v>
      </c>
      <c r="CG23" t="s">
        <v>868</v>
      </c>
    </row>
    <row r="24" spans="1:85" x14ac:dyDescent="0.25">
      <c r="D24">
        <v>2</v>
      </c>
      <c r="E24" t="s">
        <v>1623</v>
      </c>
      <c r="F24" s="2">
        <v>1.0024305555555555</v>
      </c>
      <c r="G24" t="s">
        <v>1360</v>
      </c>
      <c r="H24" s="1"/>
      <c r="I24" s="1">
        <v>6</v>
      </c>
      <c r="J24" s="1">
        <v>3</v>
      </c>
      <c r="K24" s="1"/>
      <c r="L24" s="1"/>
      <c r="M24" s="1"/>
      <c r="N24" s="1"/>
      <c r="O24" s="1"/>
      <c r="P24" s="1"/>
      <c r="Q24" s="1"/>
      <c r="R24" s="1"/>
      <c r="S24" s="1"/>
      <c r="T24">
        <f t="shared" si="1"/>
        <v>9</v>
      </c>
      <c r="U24">
        <v>12</v>
      </c>
      <c r="V24" s="1" t="s">
        <v>77</v>
      </c>
      <c r="BF24" s="7"/>
      <c r="BL24" s="58" t="s">
        <v>144</v>
      </c>
      <c r="BM24" s="58">
        <v>1.4</v>
      </c>
      <c r="BN24" s="59" t="s">
        <v>1312</v>
      </c>
      <c r="BO24" s="59">
        <v>1.7</v>
      </c>
      <c r="BP24" s="61" t="s">
        <v>1283</v>
      </c>
      <c r="BQ24" s="61">
        <v>1.65</v>
      </c>
      <c r="BR24" s="63" t="s">
        <v>148</v>
      </c>
      <c r="BS24" s="63">
        <v>1</v>
      </c>
      <c r="CE24" t="s">
        <v>658</v>
      </c>
      <c r="CF24" t="s">
        <v>1075</v>
      </c>
      <c r="CG24" t="s">
        <v>869</v>
      </c>
    </row>
    <row r="25" spans="1:85" x14ac:dyDescent="0.25">
      <c r="A25" t="s">
        <v>1334</v>
      </c>
      <c r="D25">
        <v>2</v>
      </c>
      <c r="E25" t="s">
        <v>1624</v>
      </c>
      <c r="F25" s="2">
        <v>1.0020833333333334</v>
      </c>
      <c r="G25" t="s">
        <v>1365</v>
      </c>
      <c r="H25" s="1"/>
      <c r="I25" s="1"/>
      <c r="J25" s="1">
        <v>4</v>
      </c>
      <c r="K25" s="1"/>
      <c r="L25" s="1"/>
      <c r="M25" s="1"/>
      <c r="N25" s="1">
        <v>1</v>
      </c>
      <c r="O25" s="1">
        <v>1</v>
      </c>
      <c r="P25" s="1">
        <v>2</v>
      </c>
      <c r="Q25" s="1"/>
      <c r="R25" s="1">
        <v>1</v>
      </c>
      <c r="S25" s="1"/>
      <c r="T25">
        <f t="shared" si="1"/>
        <v>9</v>
      </c>
      <c r="U25">
        <v>4</v>
      </c>
      <c r="V25" s="1" t="s">
        <v>77</v>
      </c>
      <c r="BF25" s="7"/>
      <c r="BL25" s="58"/>
      <c r="BM25" s="58"/>
      <c r="BN25" s="59" t="s">
        <v>95</v>
      </c>
      <c r="BO25" s="59">
        <v>0.7</v>
      </c>
      <c r="BP25" s="61" t="s">
        <v>171</v>
      </c>
      <c r="BQ25" s="61">
        <v>2</v>
      </c>
      <c r="BR25" s="63" t="s">
        <v>149</v>
      </c>
      <c r="BS25" s="63">
        <v>1.1000000000000001</v>
      </c>
      <c r="CE25" t="s">
        <v>659</v>
      </c>
      <c r="CF25" t="s">
        <v>1076</v>
      </c>
      <c r="CG25" t="s">
        <v>870</v>
      </c>
    </row>
    <row r="26" spans="1:85" x14ac:dyDescent="0.25">
      <c r="A26" t="s">
        <v>1335</v>
      </c>
      <c r="F26" s="2">
        <v>1.0020833333333334</v>
      </c>
      <c r="G26" t="s">
        <v>1361</v>
      </c>
      <c r="H26" s="1"/>
      <c r="I26" s="1"/>
      <c r="J26" s="1">
        <v>7</v>
      </c>
      <c r="K26" s="1"/>
      <c r="L26" s="1"/>
      <c r="M26" s="1"/>
      <c r="N26" s="1"/>
      <c r="O26" s="1"/>
      <c r="P26" s="1"/>
      <c r="Q26" s="1"/>
      <c r="R26" s="1"/>
      <c r="S26" s="1"/>
      <c r="T26">
        <f t="shared" si="1"/>
        <v>7</v>
      </c>
      <c r="U26">
        <v>10</v>
      </c>
      <c r="V26" s="1" t="s">
        <v>77</v>
      </c>
      <c r="BF26" s="7"/>
      <c r="BL26" s="58"/>
      <c r="BM26" s="58"/>
      <c r="BN26" s="59" t="s">
        <v>203</v>
      </c>
      <c r="BO26" s="59">
        <v>0.6</v>
      </c>
      <c r="BP26" s="61" t="s">
        <v>172</v>
      </c>
      <c r="BQ26" s="61">
        <v>1.45</v>
      </c>
      <c r="BR26" s="63" t="s">
        <v>150</v>
      </c>
      <c r="BS26" s="63">
        <v>0.6</v>
      </c>
      <c r="CE26" t="s">
        <v>660</v>
      </c>
      <c r="CF26" t="s">
        <v>1213</v>
      </c>
      <c r="CG26" t="s">
        <v>871</v>
      </c>
    </row>
    <row r="27" spans="1:85" x14ac:dyDescent="0.25">
      <c r="A27" t="s">
        <v>3</v>
      </c>
      <c r="F27" s="2">
        <v>1.0013888888888889</v>
      </c>
      <c r="G27" t="s">
        <v>1327</v>
      </c>
      <c r="H27" s="1">
        <v>5</v>
      </c>
      <c r="I27" s="1">
        <v>1</v>
      </c>
      <c r="J27" s="1"/>
      <c r="K27" s="1"/>
      <c r="L27" s="1"/>
      <c r="M27" s="1"/>
      <c r="N27" s="1"/>
      <c r="O27" s="1"/>
      <c r="P27" s="1"/>
      <c r="Q27" s="1"/>
      <c r="R27" s="1"/>
      <c r="S27" s="1"/>
      <c r="T27">
        <f t="shared" si="1"/>
        <v>6</v>
      </c>
      <c r="U27">
        <v>6</v>
      </c>
      <c r="V27" s="1" t="s">
        <v>74</v>
      </c>
      <c r="BF27" s="7"/>
      <c r="BL27" s="58"/>
      <c r="BM27" s="58"/>
      <c r="BN27" s="59" t="s">
        <v>204</v>
      </c>
      <c r="BO27" s="59">
        <v>1.05</v>
      </c>
      <c r="BP27" s="61" t="s">
        <v>601</v>
      </c>
      <c r="BQ27" s="61">
        <v>1.3</v>
      </c>
      <c r="BR27" s="64" t="s">
        <v>151</v>
      </c>
      <c r="BS27" s="63">
        <v>1.2</v>
      </c>
      <c r="CE27" t="s">
        <v>661</v>
      </c>
      <c r="CF27" t="s">
        <v>1077</v>
      </c>
      <c r="CG27" t="s">
        <v>872</v>
      </c>
    </row>
    <row r="28" spans="1:85" x14ac:dyDescent="0.25">
      <c r="A28" t="s">
        <v>9</v>
      </c>
      <c r="F28" s="2">
        <v>1.0015624999999999</v>
      </c>
      <c r="G28" t="s">
        <v>1328</v>
      </c>
      <c r="H28" s="1"/>
      <c r="I28" s="1">
        <v>6</v>
      </c>
      <c r="J28" s="1"/>
      <c r="K28" s="1"/>
      <c r="L28" s="1"/>
      <c r="M28" s="1"/>
      <c r="N28" s="1"/>
      <c r="O28" s="1"/>
      <c r="P28" s="1"/>
      <c r="Q28" s="1"/>
      <c r="R28" s="1"/>
      <c r="S28" s="1"/>
      <c r="T28">
        <f t="shared" si="1"/>
        <v>6</v>
      </c>
      <c r="U28">
        <v>1</v>
      </c>
      <c r="V28" s="1" t="s">
        <v>74</v>
      </c>
      <c r="BF28" s="7"/>
      <c r="BL28" s="58"/>
      <c r="BM28" s="58"/>
      <c r="BN28" s="59" t="s">
        <v>1313</v>
      </c>
      <c r="BO28" s="59">
        <v>1.05</v>
      </c>
      <c r="BP28" s="61" t="s">
        <v>173</v>
      </c>
      <c r="BQ28" s="61">
        <v>1.75</v>
      </c>
      <c r="BR28" s="63" t="s">
        <v>152</v>
      </c>
      <c r="BS28" s="63">
        <v>0.8</v>
      </c>
      <c r="CE28" t="s">
        <v>662</v>
      </c>
      <c r="CF28" t="s">
        <v>1078</v>
      </c>
      <c r="CG28" t="s">
        <v>873</v>
      </c>
    </row>
    <row r="29" spans="1:85" x14ac:dyDescent="0.25">
      <c r="A29" t="s">
        <v>1336</v>
      </c>
      <c r="F29" s="2">
        <v>1.0013888888888889</v>
      </c>
      <c r="G29" t="s">
        <v>26</v>
      </c>
      <c r="H29" s="1">
        <v>5</v>
      </c>
      <c r="I29" s="1">
        <v>1</v>
      </c>
      <c r="J29" s="1"/>
      <c r="K29" s="1"/>
      <c r="L29" s="1"/>
      <c r="M29" s="1"/>
      <c r="N29" s="1"/>
      <c r="O29" s="1"/>
      <c r="P29" s="1"/>
      <c r="Q29" s="1"/>
      <c r="R29" s="1"/>
      <c r="S29" s="1"/>
      <c r="T29">
        <f t="shared" si="1"/>
        <v>6</v>
      </c>
      <c r="U29">
        <v>6</v>
      </c>
      <c r="V29" s="1" t="s">
        <v>74</v>
      </c>
      <c r="BF29" s="7"/>
      <c r="BL29" s="58"/>
      <c r="BM29" s="58"/>
      <c r="BN29" s="59" t="s">
        <v>205</v>
      </c>
      <c r="BO29" s="59">
        <v>0.7</v>
      </c>
      <c r="BP29" s="61" t="s">
        <v>174</v>
      </c>
      <c r="BQ29" s="61">
        <v>1.8</v>
      </c>
      <c r="BR29" s="63" t="s">
        <v>153</v>
      </c>
      <c r="BS29" s="63">
        <v>0.5</v>
      </c>
      <c r="CE29" t="s">
        <v>663</v>
      </c>
      <c r="CF29" t="s">
        <v>1214</v>
      </c>
      <c r="CG29" t="s">
        <v>874</v>
      </c>
    </row>
    <row r="30" spans="1:85" x14ac:dyDescent="0.25">
      <c r="A30" t="s">
        <v>1337</v>
      </c>
      <c r="F30" s="2">
        <v>1.0015624999999999</v>
      </c>
      <c r="G30" t="s">
        <v>27</v>
      </c>
      <c r="H30" s="1"/>
      <c r="I30" s="1">
        <v>6</v>
      </c>
      <c r="J30" s="1"/>
      <c r="K30" s="1"/>
      <c r="L30" s="1"/>
      <c r="M30" s="1"/>
      <c r="N30" s="1"/>
      <c r="O30" s="1"/>
      <c r="P30" s="1"/>
      <c r="Q30" s="1"/>
      <c r="R30" s="1"/>
      <c r="S30" s="1"/>
      <c r="T30">
        <f t="shared" si="1"/>
        <v>6</v>
      </c>
      <c r="U30">
        <v>1</v>
      </c>
      <c r="V30" s="1" t="s">
        <v>74</v>
      </c>
      <c r="BF30" s="7"/>
      <c r="BL30" s="58"/>
      <c r="BM30" s="58"/>
      <c r="BN30" s="59" t="s">
        <v>206</v>
      </c>
      <c r="BO30" s="59">
        <v>1.1000000000000001</v>
      </c>
      <c r="BP30" s="61" t="s">
        <v>175</v>
      </c>
      <c r="BQ30" s="61">
        <v>1.45</v>
      </c>
      <c r="BR30" s="63" t="s">
        <v>154</v>
      </c>
      <c r="BS30" s="63">
        <v>0.3</v>
      </c>
      <c r="CE30" t="s">
        <v>664</v>
      </c>
      <c r="CF30" t="s">
        <v>1254</v>
      </c>
      <c r="CG30" t="s">
        <v>875</v>
      </c>
    </row>
    <row r="31" spans="1:85" x14ac:dyDescent="0.25">
      <c r="A31" t="s">
        <v>10</v>
      </c>
      <c r="F31" s="2">
        <v>1.0016203703703703</v>
      </c>
      <c r="G31" t="s">
        <v>1329</v>
      </c>
      <c r="H31" s="1">
        <v>5</v>
      </c>
      <c r="I31" s="1">
        <v>1</v>
      </c>
      <c r="J31" s="1">
        <v>1</v>
      </c>
      <c r="K31" s="1"/>
      <c r="L31" s="1"/>
      <c r="M31" s="1"/>
      <c r="N31" s="1"/>
      <c r="O31" s="1"/>
      <c r="P31" s="1"/>
      <c r="Q31" s="1"/>
      <c r="R31" s="1"/>
      <c r="S31" s="1"/>
      <c r="T31">
        <f t="shared" si="1"/>
        <v>7</v>
      </c>
      <c r="U31">
        <v>7</v>
      </c>
      <c r="V31" s="1" t="s">
        <v>75</v>
      </c>
      <c r="BF31" s="7"/>
      <c r="BL31" s="58"/>
      <c r="BM31" s="58"/>
      <c r="BN31" s="59" t="s">
        <v>207</v>
      </c>
      <c r="BO31" s="59">
        <v>1.4</v>
      </c>
      <c r="BP31" s="61" t="s">
        <v>176</v>
      </c>
      <c r="BQ31" s="61">
        <v>1.1499999999999999</v>
      </c>
      <c r="BR31" s="63" t="s">
        <v>155</v>
      </c>
      <c r="BS31" s="63">
        <v>1</v>
      </c>
      <c r="CE31" t="s">
        <v>665</v>
      </c>
      <c r="CF31" t="s">
        <v>1079</v>
      </c>
      <c r="CG31" t="s">
        <v>876</v>
      </c>
    </row>
    <row r="32" spans="1:85" x14ac:dyDescent="0.25">
      <c r="A32" t="s">
        <v>11</v>
      </c>
      <c r="F32" s="2">
        <v>1.0019097222222222</v>
      </c>
      <c r="G32" t="s">
        <v>1330</v>
      </c>
      <c r="H32" s="1"/>
      <c r="I32" s="1">
        <v>6</v>
      </c>
      <c r="J32" s="1">
        <v>2</v>
      </c>
      <c r="K32" s="1"/>
      <c r="L32" s="1"/>
      <c r="M32" s="1"/>
      <c r="N32" s="1"/>
      <c r="O32" s="1"/>
      <c r="P32" s="1"/>
      <c r="Q32" s="1"/>
      <c r="R32" s="1"/>
      <c r="S32" s="1"/>
      <c r="T32">
        <f t="shared" si="1"/>
        <v>8</v>
      </c>
      <c r="U32">
        <v>2</v>
      </c>
      <c r="V32" s="1" t="s">
        <v>75</v>
      </c>
      <c r="BF32" s="7"/>
      <c r="BL32" s="58"/>
      <c r="BM32" s="58"/>
      <c r="BN32" s="59" t="s">
        <v>208</v>
      </c>
      <c r="BO32" s="59">
        <v>0.7</v>
      </c>
      <c r="BP32" s="61" t="s">
        <v>602</v>
      </c>
      <c r="BQ32" s="61">
        <v>0.7</v>
      </c>
      <c r="BR32" s="63" t="s">
        <v>156</v>
      </c>
      <c r="BS32" s="63">
        <v>0.8</v>
      </c>
      <c r="CE32" t="s">
        <v>666</v>
      </c>
      <c r="CF32" t="s">
        <v>1215</v>
      </c>
      <c r="CG32" t="s">
        <v>877</v>
      </c>
    </row>
    <row r="33" spans="1:85" x14ac:dyDescent="0.25">
      <c r="A33" t="s">
        <v>1338</v>
      </c>
      <c r="D33">
        <v>3</v>
      </c>
      <c r="E33" t="s">
        <v>18</v>
      </c>
      <c r="F33" s="2">
        <v>1.0016203703703703</v>
      </c>
      <c r="G33" t="s">
        <v>28</v>
      </c>
      <c r="H33" s="1">
        <v>3</v>
      </c>
      <c r="I33" s="1">
        <v>1</v>
      </c>
      <c r="J33" s="1">
        <v>2</v>
      </c>
      <c r="K33" s="1"/>
      <c r="L33" s="1">
        <v>1</v>
      </c>
      <c r="M33" s="1"/>
      <c r="N33" s="1"/>
      <c r="O33" s="1"/>
      <c r="P33" s="1"/>
      <c r="Q33" s="1">
        <v>3</v>
      </c>
      <c r="R33" s="1"/>
      <c r="S33" s="1"/>
      <c r="T33">
        <f t="shared" si="1"/>
        <v>10</v>
      </c>
      <c r="U33">
        <v>8</v>
      </c>
      <c r="V33" s="1" t="s">
        <v>76</v>
      </c>
      <c r="BF33" s="7"/>
      <c r="BL33" s="58"/>
      <c r="BM33" s="58"/>
      <c r="BN33" s="59" t="s">
        <v>209</v>
      </c>
      <c r="BO33" s="59">
        <v>0.9</v>
      </c>
      <c r="BP33" s="61" t="s">
        <v>603</v>
      </c>
      <c r="BQ33" s="61">
        <v>1.05</v>
      </c>
      <c r="BR33" s="63" t="s">
        <v>157</v>
      </c>
      <c r="BS33" s="63">
        <v>1.2</v>
      </c>
      <c r="CE33" t="s">
        <v>667</v>
      </c>
      <c r="CF33" t="s">
        <v>1080</v>
      </c>
      <c r="CG33" t="s">
        <v>878</v>
      </c>
    </row>
    <row r="34" spans="1:85" x14ac:dyDescent="0.25">
      <c r="A34" t="s">
        <v>1339</v>
      </c>
      <c r="D34">
        <v>3</v>
      </c>
      <c r="E34" t="s">
        <v>1625</v>
      </c>
      <c r="F34" s="2">
        <v>1.0019097222222222</v>
      </c>
      <c r="G34" t="s">
        <v>29</v>
      </c>
      <c r="H34" s="1"/>
      <c r="I34" s="1">
        <v>4</v>
      </c>
      <c r="J34" s="1">
        <v>3</v>
      </c>
      <c r="K34" s="1"/>
      <c r="L34" s="1"/>
      <c r="M34" s="1"/>
      <c r="N34" s="1"/>
      <c r="O34" s="1"/>
      <c r="P34" s="1"/>
      <c r="Q34" s="1">
        <v>4</v>
      </c>
      <c r="R34" s="1"/>
      <c r="S34" s="1"/>
      <c r="T34">
        <f t="shared" si="1"/>
        <v>11</v>
      </c>
      <c r="U34">
        <v>3</v>
      </c>
      <c r="V34" s="1" t="s">
        <v>76</v>
      </c>
      <c r="BF34" s="7"/>
      <c r="BL34" s="58"/>
      <c r="BM34" s="58"/>
      <c r="BN34" s="59" t="s">
        <v>210</v>
      </c>
      <c r="BO34" s="59">
        <v>0.8</v>
      </c>
      <c r="BP34" s="61" t="s">
        <v>177</v>
      </c>
      <c r="BQ34" s="61">
        <v>1.85</v>
      </c>
      <c r="BR34" s="63" t="s">
        <v>1301</v>
      </c>
      <c r="BS34" s="63">
        <v>1.8</v>
      </c>
      <c r="CE34" t="s">
        <v>668</v>
      </c>
      <c r="CF34" t="s">
        <v>1081</v>
      </c>
      <c r="CG34" t="s">
        <v>879</v>
      </c>
    </row>
    <row r="35" spans="1:85" x14ac:dyDescent="0.25">
      <c r="A35" t="s">
        <v>1341</v>
      </c>
      <c r="D35">
        <v>3</v>
      </c>
      <c r="E35" t="s">
        <v>1623</v>
      </c>
      <c r="F35" s="2">
        <v>1.0019675925925926</v>
      </c>
      <c r="G35" t="s">
        <v>1331</v>
      </c>
      <c r="H35" s="1">
        <v>5</v>
      </c>
      <c r="I35" s="1">
        <v>1</v>
      </c>
      <c r="J35" s="1">
        <v>1</v>
      </c>
      <c r="K35" s="1"/>
      <c r="L35" s="1"/>
      <c r="M35" s="1"/>
      <c r="N35" s="1"/>
      <c r="O35" s="1"/>
      <c r="P35" s="1"/>
      <c r="Q35" s="1"/>
      <c r="R35" s="1"/>
      <c r="S35" s="1">
        <v>1</v>
      </c>
      <c r="T35">
        <f t="shared" si="1"/>
        <v>8</v>
      </c>
      <c r="U35">
        <v>11</v>
      </c>
      <c r="V35" s="1" t="s">
        <v>77</v>
      </c>
      <c r="BF35" s="7"/>
      <c r="BL35" s="58"/>
      <c r="BM35" s="58"/>
      <c r="BN35" s="59" t="s">
        <v>211</v>
      </c>
      <c r="BO35" s="59">
        <v>0.8</v>
      </c>
      <c r="BP35" s="61" t="s">
        <v>178</v>
      </c>
      <c r="BQ35" s="61">
        <v>0.95</v>
      </c>
      <c r="BR35" s="63"/>
      <c r="BS35" s="63"/>
      <c r="CE35" t="s">
        <v>669</v>
      </c>
      <c r="CF35" t="s">
        <v>1082</v>
      </c>
      <c r="CG35" t="s">
        <v>880</v>
      </c>
    </row>
    <row r="36" spans="1:85" x14ac:dyDescent="0.25">
      <c r="D36">
        <v>3</v>
      </c>
      <c r="E36" t="s">
        <v>1624</v>
      </c>
      <c r="F36" s="2">
        <v>1.0024305555555555</v>
      </c>
      <c r="G36" t="s">
        <v>1332</v>
      </c>
      <c r="H36" s="1"/>
      <c r="I36" s="1">
        <v>6</v>
      </c>
      <c r="J36" s="1">
        <v>3</v>
      </c>
      <c r="K36" s="1"/>
      <c r="L36" s="1"/>
      <c r="M36" s="1"/>
      <c r="N36" s="1"/>
      <c r="O36" s="1"/>
      <c r="P36" s="1"/>
      <c r="Q36" s="1"/>
      <c r="R36" s="1"/>
      <c r="S36" s="1"/>
      <c r="T36">
        <f t="shared" si="1"/>
        <v>9</v>
      </c>
      <c r="U36">
        <v>12</v>
      </c>
      <c r="V36" s="1" t="s">
        <v>77</v>
      </c>
      <c r="BF36" s="7"/>
      <c r="BL36" s="58"/>
      <c r="BM36" s="58"/>
      <c r="BN36" s="59" t="s">
        <v>212</v>
      </c>
      <c r="BO36" s="59">
        <v>0.4</v>
      </c>
      <c r="BP36" s="61" t="s">
        <v>179</v>
      </c>
      <c r="BQ36" s="61">
        <v>1.35</v>
      </c>
      <c r="BR36" s="63"/>
      <c r="BS36" s="63"/>
      <c r="CE36" t="s">
        <v>670</v>
      </c>
      <c r="CF36" t="s">
        <v>1083</v>
      </c>
      <c r="CG36" t="s">
        <v>881</v>
      </c>
    </row>
    <row r="37" spans="1:85" x14ac:dyDescent="0.25">
      <c r="F37" s="2">
        <v>1.0020833333333334</v>
      </c>
      <c r="G37" t="s">
        <v>1366</v>
      </c>
      <c r="H37" s="1"/>
      <c r="I37" s="1"/>
      <c r="J37" s="1">
        <v>4</v>
      </c>
      <c r="K37" s="1"/>
      <c r="L37" s="1"/>
      <c r="M37" s="1"/>
      <c r="N37" s="1">
        <v>1</v>
      </c>
      <c r="O37" s="1">
        <v>1</v>
      </c>
      <c r="P37" s="1">
        <v>2</v>
      </c>
      <c r="Q37" s="1"/>
      <c r="R37" s="1">
        <v>1</v>
      </c>
      <c r="S37" s="1"/>
      <c r="T37">
        <f t="shared" si="1"/>
        <v>9</v>
      </c>
      <c r="U37">
        <v>4</v>
      </c>
      <c r="V37" s="1" t="s">
        <v>77</v>
      </c>
      <c r="BF37" s="7"/>
      <c r="BL37" s="58"/>
      <c r="BM37" s="58"/>
      <c r="BN37" s="59" t="s">
        <v>213</v>
      </c>
      <c r="BO37" s="59">
        <v>0.3</v>
      </c>
      <c r="BP37" s="61" t="s">
        <v>180</v>
      </c>
      <c r="BQ37" s="61">
        <v>1.6</v>
      </c>
      <c r="BR37" s="63"/>
      <c r="BS37" s="63"/>
      <c r="CE37" t="s">
        <v>671</v>
      </c>
      <c r="CF37" t="s">
        <v>1216</v>
      </c>
      <c r="CG37" t="s">
        <v>882</v>
      </c>
    </row>
    <row r="38" spans="1:85" x14ac:dyDescent="0.25">
      <c r="F38" s="2">
        <v>1.0020833333333334</v>
      </c>
      <c r="G38" t="s">
        <v>1333</v>
      </c>
      <c r="H38" s="1"/>
      <c r="I38" s="1"/>
      <c r="J38" s="1">
        <v>7</v>
      </c>
      <c r="K38" s="1"/>
      <c r="L38" s="1"/>
      <c r="M38" s="1"/>
      <c r="N38" s="1"/>
      <c r="O38" s="1"/>
      <c r="P38" s="1"/>
      <c r="Q38" s="1"/>
      <c r="R38" s="1"/>
      <c r="S38" s="1"/>
      <c r="T38">
        <f t="shared" si="1"/>
        <v>7</v>
      </c>
      <c r="U38">
        <v>10</v>
      </c>
      <c r="V38" s="1" t="s">
        <v>77</v>
      </c>
      <c r="BF38" s="7"/>
      <c r="BL38" s="58"/>
      <c r="BM38" s="58"/>
      <c r="BN38" s="59" t="s">
        <v>214</v>
      </c>
      <c r="BO38" s="59">
        <v>1.1000000000000001</v>
      </c>
      <c r="BP38" s="61" t="s">
        <v>181</v>
      </c>
      <c r="BQ38" s="61">
        <v>1.45</v>
      </c>
      <c r="BR38" s="63"/>
      <c r="BS38" s="63"/>
      <c r="CE38" t="s">
        <v>672</v>
      </c>
      <c r="CF38" t="s">
        <v>1217</v>
      </c>
      <c r="CG38" t="s">
        <v>883</v>
      </c>
    </row>
    <row r="39" spans="1:85" x14ac:dyDescent="0.25">
      <c r="BF39" s="7"/>
      <c r="BL39" s="58"/>
      <c r="BM39" s="58"/>
      <c r="BN39" s="59" t="s">
        <v>215</v>
      </c>
      <c r="BO39" s="59">
        <v>0.7</v>
      </c>
      <c r="BP39" s="61" t="s">
        <v>182</v>
      </c>
      <c r="BQ39" s="61">
        <v>1.55</v>
      </c>
      <c r="BR39" s="63"/>
      <c r="BS39" s="63"/>
      <c r="CE39" t="s">
        <v>673</v>
      </c>
      <c r="CF39" t="s">
        <v>1218</v>
      </c>
      <c r="CG39" t="s">
        <v>884</v>
      </c>
    </row>
    <row r="40" spans="1:85" x14ac:dyDescent="0.25">
      <c r="U40">
        <v>1</v>
      </c>
      <c r="BF40" s="7"/>
      <c r="BL40" s="58"/>
      <c r="BM40" s="58"/>
      <c r="BN40" s="59" t="s">
        <v>216</v>
      </c>
      <c r="BO40" s="59">
        <v>0.95</v>
      </c>
      <c r="BP40" s="61" t="s">
        <v>183</v>
      </c>
      <c r="BQ40" s="61">
        <v>1.5</v>
      </c>
      <c r="BR40" s="63"/>
      <c r="BS40" s="63"/>
      <c r="CE40" t="s">
        <v>674</v>
      </c>
      <c r="CF40" t="s">
        <v>1084</v>
      </c>
      <c r="CG40" t="s">
        <v>885</v>
      </c>
    </row>
    <row r="41" spans="1:85" x14ac:dyDescent="0.25">
      <c r="U41">
        <v>2</v>
      </c>
      <c r="BF41" s="7"/>
      <c r="BL41" s="58"/>
      <c r="BM41" s="58"/>
      <c r="BN41" s="59" t="s">
        <v>217</v>
      </c>
      <c r="BO41" s="59">
        <v>1.25</v>
      </c>
      <c r="BP41" s="61" t="s">
        <v>184</v>
      </c>
      <c r="BQ41" s="61">
        <v>0.5</v>
      </c>
      <c r="BR41" s="63"/>
      <c r="BS41" s="63"/>
      <c r="CE41" t="s">
        <v>675</v>
      </c>
      <c r="CF41" t="s">
        <v>1085</v>
      </c>
      <c r="CG41" t="s">
        <v>886</v>
      </c>
    </row>
    <row r="42" spans="1:85" x14ac:dyDescent="0.25">
      <c r="U42">
        <v>3</v>
      </c>
      <c r="BL42" s="58"/>
      <c r="BM42" s="58"/>
      <c r="BN42" s="59" t="s">
        <v>218</v>
      </c>
      <c r="BO42" s="59">
        <v>1.2</v>
      </c>
      <c r="BP42" s="61" t="s">
        <v>185</v>
      </c>
      <c r="BQ42" s="61">
        <v>1.45</v>
      </c>
      <c r="BR42" s="63"/>
      <c r="BS42" s="63"/>
      <c r="CE42" t="s">
        <v>676</v>
      </c>
      <c r="CF42" t="s">
        <v>1086</v>
      </c>
      <c r="CG42" t="s">
        <v>887</v>
      </c>
    </row>
    <row r="43" spans="1:85" x14ac:dyDescent="0.25">
      <c r="D43">
        <v>4</v>
      </c>
      <c r="E43" t="s">
        <v>18</v>
      </c>
      <c r="L43" t="s">
        <v>43</v>
      </c>
      <c r="M43" t="s">
        <v>42</v>
      </c>
      <c r="N43">
        <f ca="1">SUM(INDIRECT(L43))</f>
        <v>6</v>
      </c>
      <c r="U43">
        <v>4</v>
      </c>
      <c r="BL43" s="58"/>
      <c r="BM43" s="58"/>
      <c r="BN43" s="59" t="s">
        <v>1288</v>
      </c>
      <c r="BO43" s="59">
        <v>1.05</v>
      </c>
      <c r="BP43" s="61" t="s">
        <v>186</v>
      </c>
      <c r="BQ43" s="61">
        <v>0.5</v>
      </c>
      <c r="BR43" s="63"/>
      <c r="BS43" s="63"/>
      <c r="CE43" t="s">
        <v>677</v>
      </c>
      <c r="CF43" t="s">
        <v>1219</v>
      </c>
      <c r="CG43" t="s">
        <v>888</v>
      </c>
    </row>
    <row r="44" spans="1:85" x14ac:dyDescent="0.25">
      <c r="D44">
        <v>4</v>
      </c>
      <c r="E44" t="s">
        <v>558</v>
      </c>
      <c r="M44" t="s">
        <v>44</v>
      </c>
      <c r="BL44" s="58"/>
      <c r="BM44" s="58"/>
      <c r="BN44" s="59"/>
      <c r="BO44" s="59"/>
      <c r="BP44" s="61" t="s">
        <v>187</v>
      </c>
      <c r="BQ44" s="61">
        <v>1.2</v>
      </c>
      <c r="BR44" s="63"/>
      <c r="BS44" s="63"/>
      <c r="CE44" t="s">
        <v>678</v>
      </c>
      <c r="CF44" t="s">
        <v>1087</v>
      </c>
      <c r="CG44" t="s">
        <v>889</v>
      </c>
    </row>
    <row r="45" spans="1:85" x14ac:dyDescent="0.25">
      <c r="D45">
        <v>4</v>
      </c>
      <c r="E45" t="s">
        <v>557</v>
      </c>
      <c r="BL45" s="58"/>
      <c r="BM45" s="58"/>
      <c r="BN45" s="59"/>
      <c r="BO45" s="59"/>
      <c r="BP45" s="61" t="s">
        <v>188</v>
      </c>
      <c r="BQ45" s="61">
        <v>0.8</v>
      </c>
      <c r="BR45" s="63"/>
      <c r="BS45" s="63"/>
      <c r="CE45" t="s">
        <v>679</v>
      </c>
      <c r="CF45" t="s">
        <v>1088</v>
      </c>
      <c r="CG45" t="s">
        <v>890</v>
      </c>
    </row>
    <row r="46" spans="1:85" x14ac:dyDescent="0.25">
      <c r="D46">
        <v>4</v>
      </c>
      <c r="E46" t="s">
        <v>1627</v>
      </c>
      <c r="BL46" s="58"/>
      <c r="BM46" s="58"/>
      <c r="BN46" s="59"/>
      <c r="BO46" s="59"/>
      <c r="BP46" s="61" t="s">
        <v>189</v>
      </c>
      <c r="BQ46" s="61">
        <v>1.6</v>
      </c>
      <c r="BR46" s="63"/>
      <c r="BS46" s="63"/>
      <c r="CE46" t="s">
        <v>680</v>
      </c>
      <c r="CF46" t="s">
        <v>1089</v>
      </c>
      <c r="CG46" t="s">
        <v>891</v>
      </c>
    </row>
    <row r="47" spans="1:85" x14ac:dyDescent="0.25">
      <c r="D47">
        <v>4</v>
      </c>
      <c r="E47" t="s">
        <v>1626</v>
      </c>
      <c r="BL47" s="58"/>
      <c r="BM47" s="58"/>
      <c r="BN47" s="59"/>
      <c r="BO47" s="59"/>
      <c r="BP47" s="61" t="s">
        <v>190</v>
      </c>
      <c r="BQ47" s="61">
        <v>1.75</v>
      </c>
      <c r="BR47" s="63"/>
      <c r="BS47" s="63"/>
      <c r="CE47" t="s">
        <v>681</v>
      </c>
      <c r="CF47" t="s">
        <v>1220</v>
      </c>
      <c r="CG47" t="s">
        <v>892</v>
      </c>
    </row>
    <row r="48" spans="1:85" x14ac:dyDescent="0.25">
      <c r="D48">
        <v>4</v>
      </c>
      <c r="E48" t="s">
        <v>554</v>
      </c>
      <c r="BL48" s="58"/>
      <c r="BM48" s="58"/>
      <c r="BN48" s="59"/>
      <c r="BO48" s="59"/>
      <c r="BP48" s="61" t="s">
        <v>191</v>
      </c>
      <c r="BQ48" s="61">
        <v>1</v>
      </c>
      <c r="BR48" s="63"/>
      <c r="BS48" s="63"/>
      <c r="CE48" t="s">
        <v>682</v>
      </c>
      <c r="CF48" t="s">
        <v>1221</v>
      </c>
      <c r="CG48" t="s">
        <v>893</v>
      </c>
    </row>
    <row r="49" spans="4:85" x14ac:dyDescent="0.25">
      <c r="D49">
        <v>4</v>
      </c>
      <c r="E49" t="s">
        <v>576</v>
      </c>
      <c r="BL49" s="58"/>
      <c r="BM49" s="58"/>
      <c r="BN49" s="59"/>
      <c r="BO49" s="59"/>
      <c r="BP49" s="61" t="s">
        <v>598</v>
      </c>
      <c r="BQ49" s="61">
        <v>1.7</v>
      </c>
      <c r="BR49" s="63"/>
      <c r="BS49" s="63"/>
      <c r="CE49" t="s">
        <v>683</v>
      </c>
      <c r="CF49" t="s">
        <v>1222</v>
      </c>
      <c r="CG49" t="s">
        <v>894</v>
      </c>
    </row>
    <row r="50" spans="4:85" x14ac:dyDescent="0.25">
      <c r="D50">
        <v>4</v>
      </c>
      <c r="E50" t="s">
        <v>555</v>
      </c>
      <c r="BL50" s="58"/>
      <c r="BM50" s="58"/>
      <c r="BN50" s="59"/>
      <c r="BO50" s="59"/>
      <c r="BP50" s="61" t="s">
        <v>599</v>
      </c>
      <c r="BQ50" s="61">
        <v>1.7</v>
      </c>
      <c r="BR50" s="63"/>
      <c r="BS50" s="63"/>
      <c r="CE50" t="s">
        <v>684</v>
      </c>
      <c r="CF50" t="s">
        <v>1090</v>
      </c>
      <c r="CG50" t="s">
        <v>895</v>
      </c>
    </row>
    <row r="51" spans="4:85" x14ac:dyDescent="0.25">
      <c r="D51">
        <v>4</v>
      </c>
      <c r="E51" t="s">
        <v>556</v>
      </c>
      <c r="BL51" s="58"/>
      <c r="BM51" s="58"/>
      <c r="BN51" s="59"/>
      <c r="BO51" s="59"/>
      <c r="BP51" s="61" t="s">
        <v>600</v>
      </c>
      <c r="BQ51" s="61">
        <v>1.8</v>
      </c>
      <c r="BR51" s="63"/>
      <c r="BS51" s="63"/>
      <c r="CE51" t="s">
        <v>685</v>
      </c>
      <c r="CF51" t="s">
        <v>1091</v>
      </c>
      <c r="CG51" t="s">
        <v>896</v>
      </c>
    </row>
    <row r="52" spans="4:85" x14ac:dyDescent="0.25">
      <c r="BL52" s="58"/>
      <c r="BM52" s="58"/>
      <c r="BN52" s="59"/>
      <c r="BO52" s="59"/>
      <c r="BP52" s="61" t="s">
        <v>604</v>
      </c>
      <c r="BQ52" s="61">
        <v>1.5</v>
      </c>
      <c r="BR52" s="63"/>
      <c r="BS52" s="63"/>
      <c r="CE52" t="s">
        <v>686</v>
      </c>
      <c r="CF52" t="s">
        <v>1092</v>
      </c>
      <c r="CG52" t="s">
        <v>897</v>
      </c>
    </row>
    <row r="53" spans="4:85" x14ac:dyDescent="0.25">
      <c r="D53">
        <v>5</v>
      </c>
      <c r="BL53" s="58"/>
      <c r="BM53" s="58"/>
      <c r="BN53" s="59"/>
      <c r="BO53" s="59"/>
      <c r="BP53" s="61" t="s">
        <v>1295</v>
      </c>
      <c r="BQ53" s="61">
        <v>2.15</v>
      </c>
      <c r="BR53" s="63"/>
      <c r="BS53" s="63"/>
      <c r="CE53" t="s">
        <v>687</v>
      </c>
      <c r="CF53" t="s">
        <v>1093</v>
      </c>
      <c r="CG53" t="s">
        <v>898</v>
      </c>
    </row>
    <row r="54" spans="4:85" x14ac:dyDescent="0.25">
      <c r="D54">
        <v>5</v>
      </c>
      <c r="BL54" s="58"/>
      <c r="BM54" s="58"/>
      <c r="BN54" s="59"/>
      <c r="BO54" s="59"/>
      <c r="BP54" s="61" t="s">
        <v>1296</v>
      </c>
      <c r="BQ54" s="61">
        <v>1.75</v>
      </c>
      <c r="BR54" s="63"/>
      <c r="BS54" s="63"/>
      <c r="CE54" t="s">
        <v>688</v>
      </c>
      <c r="CF54" t="s">
        <v>1223</v>
      </c>
      <c r="CG54" t="s">
        <v>899</v>
      </c>
    </row>
    <row r="55" spans="4:85" x14ac:dyDescent="0.25">
      <c r="D55">
        <v>5</v>
      </c>
      <c r="BL55" s="58"/>
      <c r="BM55" s="58"/>
      <c r="BN55" s="59"/>
      <c r="BO55" s="59"/>
      <c r="BP55" s="61" t="s">
        <v>1297</v>
      </c>
      <c r="BQ55" s="61">
        <v>1.7</v>
      </c>
      <c r="BR55" s="63"/>
      <c r="BS55" s="63"/>
      <c r="CE55" t="s">
        <v>689</v>
      </c>
      <c r="CF55" t="s">
        <v>1224</v>
      </c>
      <c r="CG55" t="s">
        <v>900</v>
      </c>
    </row>
    <row r="56" spans="4:85" x14ac:dyDescent="0.25">
      <c r="D56">
        <v>5</v>
      </c>
      <c r="BL56" s="58"/>
      <c r="BM56" s="58"/>
      <c r="BN56" s="59"/>
      <c r="BO56" s="59"/>
      <c r="BP56" s="61" t="s">
        <v>1298</v>
      </c>
      <c r="BQ56" s="61">
        <v>1.45</v>
      </c>
      <c r="BR56" s="63"/>
      <c r="BS56" s="63"/>
      <c r="CE56" t="s">
        <v>690</v>
      </c>
      <c r="CF56" t="s">
        <v>1225</v>
      </c>
      <c r="CG56" t="s">
        <v>901</v>
      </c>
    </row>
    <row r="57" spans="4:85" x14ac:dyDescent="0.25">
      <c r="D57">
        <v>5</v>
      </c>
      <c r="BL57" s="58"/>
      <c r="BM57" s="58"/>
      <c r="BN57" s="59"/>
      <c r="BO57" s="59"/>
      <c r="BP57" s="61" t="s">
        <v>1304</v>
      </c>
      <c r="BQ57" s="61">
        <v>1.95</v>
      </c>
      <c r="BR57" s="63"/>
      <c r="BS57" s="63"/>
      <c r="CE57" t="s">
        <v>691</v>
      </c>
      <c r="CF57" t="s">
        <v>843</v>
      </c>
      <c r="CG57" t="s">
        <v>902</v>
      </c>
    </row>
    <row r="58" spans="4:85" x14ac:dyDescent="0.25">
      <c r="D58">
        <v>5</v>
      </c>
      <c r="BL58" s="58"/>
      <c r="BM58" s="58"/>
      <c r="BN58" s="59"/>
      <c r="BO58" s="59"/>
      <c r="BP58" s="61" t="s">
        <v>1387</v>
      </c>
      <c r="BQ58" s="61">
        <v>1.35</v>
      </c>
      <c r="BR58" s="63"/>
      <c r="BS58" s="63"/>
      <c r="CE58" t="s">
        <v>692</v>
      </c>
      <c r="CF58" t="s">
        <v>1094</v>
      </c>
      <c r="CG58" t="s">
        <v>903</v>
      </c>
    </row>
    <row r="59" spans="4:85" x14ac:dyDescent="0.25">
      <c r="D59">
        <v>5</v>
      </c>
      <c r="BL59" s="58"/>
      <c r="BM59" s="58"/>
      <c r="BN59" s="59"/>
      <c r="BO59" s="59"/>
      <c r="BP59" s="61" t="s">
        <v>1388</v>
      </c>
      <c r="BQ59" s="61">
        <v>1.8</v>
      </c>
      <c r="BR59" s="63"/>
      <c r="BS59" s="63"/>
      <c r="CE59" t="s">
        <v>693</v>
      </c>
      <c r="CF59" t="s">
        <v>1095</v>
      </c>
      <c r="CG59" t="s">
        <v>904</v>
      </c>
    </row>
    <row r="60" spans="4:85" x14ac:dyDescent="0.25">
      <c r="D60">
        <v>5</v>
      </c>
      <c r="BL60" s="58"/>
      <c r="BM60" s="58"/>
      <c r="BN60" s="59"/>
      <c r="BO60" s="59"/>
      <c r="BP60" s="61" t="s">
        <v>1394</v>
      </c>
      <c r="BQ60" s="61">
        <v>1.7</v>
      </c>
      <c r="BR60" s="63"/>
      <c r="BS60" s="63"/>
      <c r="CE60" t="s">
        <v>694</v>
      </c>
      <c r="CF60" t="s">
        <v>1096</v>
      </c>
      <c r="CG60" t="s">
        <v>905</v>
      </c>
    </row>
    <row r="61" spans="4:85" x14ac:dyDescent="0.25">
      <c r="BL61" s="58"/>
      <c r="BM61" s="58"/>
      <c r="BN61" s="59"/>
      <c r="BO61" s="59"/>
      <c r="BP61" s="61" t="s">
        <v>1397</v>
      </c>
      <c r="BQ61" s="61">
        <v>2</v>
      </c>
      <c r="BR61" s="63"/>
      <c r="BS61" s="63"/>
      <c r="CE61" t="s">
        <v>695</v>
      </c>
      <c r="CF61" t="s">
        <v>1226</v>
      </c>
      <c r="CG61" t="s">
        <v>906</v>
      </c>
    </row>
    <row r="62" spans="4:85" x14ac:dyDescent="0.25">
      <c r="BL62" s="58"/>
      <c r="BM62" s="58"/>
      <c r="BN62" s="59"/>
      <c r="BO62" s="59"/>
      <c r="BP62" s="61" t="s">
        <v>1400</v>
      </c>
      <c r="BQ62" s="61">
        <v>2.0499999999999998</v>
      </c>
      <c r="BR62" s="63"/>
      <c r="BS62" s="63"/>
      <c r="CE62" t="s">
        <v>696</v>
      </c>
      <c r="CF62" t="s">
        <v>1097</v>
      </c>
      <c r="CG62" t="s">
        <v>907</v>
      </c>
    </row>
    <row r="63" spans="4:85" x14ac:dyDescent="0.25">
      <c r="D63">
        <v>6</v>
      </c>
      <c r="E63" t="s">
        <v>18</v>
      </c>
      <c r="BL63" s="58"/>
      <c r="BM63" s="58"/>
      <c r="BN63" s="59"/>
      <c r="BO63" s="59"/>
      <c r="BP63" s="61" t="s">
        <v>1404</v>
      </c>
      <c r="BQ63" s="61">
        <v>2.2999999999999998</v>
      </c>
      <c r="BR63" s="63"/>
      <c r="BS63" s="63"/>
      <c r="CE63" t="s">
        <v>697</v>
      </c>
      <c r="CF63" t="s">
        <v>1098</v>
      </c>
      <c r="CG63" t="s">
        <v>908</v>
      </c>
    </row>
    <row r="64" spans="4:85" x14ac:dyDescent="0.25">
      <c r="D64">
        <v>6</v>
      </c>
      <c r="E64" t="s">
        <v>17</v>
      </c>
      <c r="BL64" s="58"/>
      <c r="BM64" s="58"/>
      <c r="BN64" s="59"/>
      <c r="BO64" s="59"/>
      <c r="BP64" s="61" t="s">
        <v>1405</v>
      </c>
      <c r="BQ64" s="61">
        <v>2.5499999999999998</v>
      </c>
      <c r="BR64" s="63"/>
      <c r="BS64" s="63"/>
      <c r="CE64" t="s">
        <v>698</v>
      </c>
      <c r="CF64" t="s">
        <v>1227</v>
      </c>
      <c r="CG64" t="s">
        <v>909</v>
      </c>
    </row>
    <row r="65" spans="4:85" x14ac:dyDescent="0.25">
      <c r="D65">
        <v>6</v>
      </c>
      <c r="E65" t="s">
        <v>1623</v>
      </c>
      <c r="BL65" s="58"/>
      <c r="BM65" s="58"/>
      <c r="BN65" s="59"/>
      <c r="BO65" s="59"/>
      <c r="BP65" s="61"/>
      <c r="BQ65" s="61"/>
      <c r="BR65" s="63"/>
      <c r="BS65" s="63"/>
      <c r="CE65" t="s">
        <v>699</v>
      </c>
      <c r="CF65" t="s">
        <v>1228</v>
      </c>
      <c r="CG65" t="s">
        <v>910</v>
      </c>
    </row>
    <row r="66" spans="4:85" x14ac:dyDescent="0.25">
      <c r="BL66" s="58"/>
      <c r="BM66" s="58"/>
      <c r="BN66" s="59"/>
      <c r="BO66" s="59"/>
      <c r="BP66" s="61"/>
      <c r="BQ66" s="61"/>
      <c r="BR66" s="63"/>
      <c r="BS66" s="63"/>
      <c r="CE66" t="s">
        <v>700</v>
      </c>
      <c r="CF66" t="s">
        <v>1099</v>
      </c>
      <c r="CG66" t="s">
        <v>911</v>
      </c>
    </row>
    <row r="67" spans="4:85" x14ac:dyDescent="0.25">
      <c r="BK67" s="8">
        <v>3</v>
      </c>
      <c r="BL67" s="58" t="s">
        <v>223</v>
      </c>
      <c r="BM67" s="58">
        <v>0.05</v>
      </c>
      <c r="BN67" s="59"/>
      <c r="BO67" s="59"/>
      <c r="BP67" s="61" t="s">
        <v>219</v>
      </c>
      <c r="BQ67" s="61">
        <v>0.05</v>
      </c>
      <c r="BR67" s="63"/>
      <c r="BS67" s="63"/>
      <c r="CE67" t="s">
        <v>701</v>
      </c>
      <c r="CF67" t="s">
        <v>1100</v>
      </c>
      <c r="CG67" t="s">
        <v>912</v>
      </c>
    </row>
    <row r="68" spans="4:85" x14ac:dyDescent="0.25">
      <c r="BL68" s="58" t="s">
        <v>219</v>
      </c>
      <c r="BM68" s="58">
        <v>0.05</v>
      </c>
      <c r="BN68" s="59"/>
      <c r="BO68" s="59"/>
      <c r="BP68" s="61" t="s">
        <v>220</v>
      </c>
      <c r="BQ68" s="61">
        <v>0.1</v>
      </c>
      <c r="BR68" s="63"/>
      <c r="BS68" s="63"/>
      <c r="CE68" t="s">
        <v>702</v>
      </c>
      <c r="CF68" t="s">
        <v>1101</v>
      </c>
      <c r="CG68" t="s">
        <v>913</v>
      </c>
    </row>
    <row r="69" spans="4:85" x14ac:dyDescent="0.25">
      <c r="BL69" s="58" t="s">
        <v>220</v>
      </c>
      <c r="BM69" s="58">
        <v>0.1</v>
      </c>
      <c r="BN69" s="59"/>
      <c r="BO69" s="59"/>
      <c r="BP69" s="61" t="s">
        <v>221</v>
      </c>
      <c r="BQ69" s="61">
        <v>0.15</v>
      </c>
      <c r="BR69" s="63"/>
      <c r="BS69" s="63"/>
      <c r="CE69" t="s">
        <v>703</v>
      </c>
      <c r="CF69" t="s">
        <v>1102</v>
      </c>
      <c r="CG69" t="s">
        <v>914</v>
      </c>
    </row>
    <row r="70" spans="4:85" x14ac:dyDescent="0.25">
      <c r="BL70" s="58" t="s">
        <v>221</v>
      </c>
      <c r="BM70" s="58">
        <v>0.15</v>
      </c>
      <c r="BN70" s="59"/>
      <c r="BO70" s="59"/>
      <c r="BP70" s="61" t="s">
        <v>222</v>
      </c>
      <c r="BQ70" s="61">
        <v>0.2</v>
      </c>
      <c r="BR70" s="63"/>
      <c r="BS70" s="63"/>
      <c r="CE70" t="s">
        <v>704</v>
      </c>
      <c r="CF70" t="s">
        <v>1230</v>
      </c>
      <c r="CG70" t="s">
        <v>915</v>
      </c>
    </row>
    <row r="71" spans="4:85" x14ac:dyDescent="0.25">
      <c r="BL71" s="58" t="s">
        <v>222</v>
      </c>
      <c r="BM71" s="58">
        <v>0.2</v>
      </c>
      <c r="BN71" s="59"/>
      <c r="BO71" s="59"/>
      <c r="BP71" s="61" t="s">
        <v>223</v>
      </c>
      <c r="BQ71" s="61">
        <v>0.05</v>
      </c>
      <c r="BR71" s="63"/>
      <c r="BS71" s="63"/>
      <c r="CE71" t="s">
        <v>705</v>
      </c>
      <c r="CF71" t="s">
        <v>1229</v>
      </c>
      <c r="CG71" t="s">
        <v>916</v>
      </c>
    </row>
    <row r="72" spans="4:85" x14ac:dyDescent="0.25">
      <c r="BL72" s="58" t="s">
        <v>224</v>
      </c>
      <c r="BM72" s="58">
        <v>0.2</v>
      </c>
      <c r="BN72" s="59"/>
      <c r="BO72" s="59"/>
      <c r="BP72" s="61" t="s">
        <v>224</v>
      </c>
      <c r="BQ72" s="61">
        <v>0.2</v>
      </c>
      <c r="BR72" s="63"/>
      <c r="BS72" s="63"/>
      <c r="CE72" t="s">
        <v>706</v>
      </c>
      <c r="CF72" t="s">
        <v>1103</v>
      </c>
      <c r="CG72" t="s">
        <v>917</v>
      </c>
    </row>
    <row r="73" spans="4:85" x14ac:dyDescent="0.25">
      <c r="D73">
        <v>7</v>
      </c>
      <c r="E73" t="s">
        <v>18</v>
      </c>
      <c r="BL73" s="58"/>
      <c r="BM73" s="58"/>
      <c r="BN73" s="59"/>
      <c r="BO73" s="59"/>
      <c r="BP73" s="61"/>
      <c r="BQ73" s="61"/>
      <c r="BR73" s="63"/>
      <c r="BS73" s="63"/>
      <c r="CE73" t="s">
        <v>707</v>
      </c>
      <c r="CF73" t="s">
        <v>1104</v>
      </c>
      <c r="CG73" t="s">
        <v>918</v>
      </c>
    </row>
    <row r="74" spans="4:85" x14ac:dyDescent="0.25">
      <c r="D74">
        <v>7</v>
      </c>
      <c r="E74" t="s">
        <v>17</v>
      </c>
      <c r="BL74" s="58"/>
      <c r="BM74" s="58"/>
      <c r="BN74" s="59"/>
      <c r="BO74" s="59"/>
      <c r="BP74" s="61"/>
      <c r="BQ74" s="61"/>
      <c r="BR74" s="63"/>
      <c r="BS74" s="63"/>
      <c r="CE74" t="s">
        <v>708</v>
      </c>
      <c r="CF74" t="s">
        <v>1105</v>
      </c>
      <c r="CG74" t="s">
        <v>919</v>
      </c>
    </row>
    <row r="75" spans="4:85" x14ac:dyDescent="0.25">
      <c r="D75">
        <v>7</v>
      </c>
      <c r="E75" t="s">
        <v>1623</v>
      </c>
      <c r="BL75" s="58"/>
      <c r="BM75" s="58"/>
      <c r="BN75" s="59"/>
      <c r="BO75" s="59"/>
      <c r="BP75" s="61"/>
      <c r="BQ75" s="61"/>
      <c r="BR75" s="63"/>
      <c r="BS75" s="63"/>
      <c r="CE75" t="s">
        <v>709</v>
      </c>
      <c r="CF75" t="s">
        <v>1106</v>
      </c>
      <c r="CG75" t="s">
        <v>920</v>
      </c>
    </row>
    <row r="76" spans="4:85" x14ac:dyDescent="0.25">
      <c r="D76">
        <v>7</v>
      </c>
      <c r="E76" t="s">
        <v>1624</v>
      </c>
      <c r="BL76" s="58"/>
      <c r="BM76" s="58"/>
      <c r="BN76" s="59"/>
      <c r="BO76" s="59"/>
      <c r="BP76" s="61"/>
      <c r="BQ76" s="61"/>
      <c r="BR76" s="63"/>
      <c r="BS76" s="63"/>
      <c r="CE76" t="s">
        <v>710</v>
      </c>
      <c r="CF76" t="s">
        <v>1107</v>
      </c>
      <c r="CG76" t="s">
        <v>921</v>
      </c>
    </row>
    <row r="77" spans="4:85" x14ac:dyDescent="0.25">
      <c r="BK77" s="8">
        <v>4</v>
      </c>
      <c r="BL77" s="58" t="s">
        <v>408</v>
      </c>
      <c r="BM77" s="58">
        <v>0.05</v>
      </c>
      <c r="BN77" s="59" t="s">
        <v>276</v>
      </c>
      <c r="BO77" s="59">
        <v>1.1000000000000001</v>
      </c>
      <c r="BP77" s="61" t="s">
        <v>274</v>
      </c>
      <c r="BQ77" s="61">
        <v>0.05</v>
      </c>
      <c r="BR77" s="63" t="s">
        <v>225</v>
      </c>
      <c r="BS77" s="63">
        <v>0.05</v>
      </c>
      <c r="BU77" s="61" t="s">
        <v>409</v>
      </c>
      <c r="BV77" s="61">
        <v>0.05</v>
      </c>
      <c r="BX77" s="122">
        <f t="shared" ref="BX77:BX123" si="2">LEN(BN77)</f>
        <v>3</v>
      </c>
      <c r="BY77" s="59" t="str">
        <f t="shared" ref="BY77:BY123" si="3">CONCATENATE(BX77,BN77)</f>
        <v>3PPx</v>
      </c>
      <c r="BZ77" s="59">
        <v>1.1000000000000001</v>
      </c>
      <c r="CE77" t="s">
        <v>711</v>
      </c>
      <c r="CF77" t="s">
        <v>1108</v>
      </c>
      <c r="CG77" t="s">
        <v>922</v>
      </c>
    </row>
    <row r="78" spans="4:85" x14ac:dyDescent="0.25">
      <c r="BL78" s="58" t="s">
        <v>410</v>
      </c>
      <c r="BM78" s="58">
        <v>0.1</v>
      </c>
      <c r="BN78" s="59" t="s">
        <v>132</v>
      </c>
      <c r="BO78" s="59">
        <v>1</v>
      </c>
      <c r="BP78" s="61" t="s">
        <v>275</v>
      </c>
      <c r="BQ78" s="61">
        <v>0.1</v>
      </c>
      <c r="BR78" s="63" t="s">
        <v>226</v>
      </c>
      <c r="BS78" s="63">
        <v>0.1</v>
      </c>
      <c r="BU78" s="61" t="s">
        <v>411</v>
      </c>
      <c r="BV78" s="61">
        <v>0.1</v>
      </c>
      <c r="BX78" s="122">
        <f t="shared" si="2"/>
        <v>2</v>
      </c>
      <c r="BY78" s="59" t="str">
        <f t="shared" si="3"/>
        <v>2PP</v>
      </c>
      <c r="BZ78" s="59">
        <v>1</v>
      </c>
      <c r="CE78" t="s">
        <v>712</v>
      </c>
      <c r="CF78" t="s">
        <v>1109</v>
      </c>
      <c r="CG78" t="s">
        <v>923</v>
      </c>
    </row>
    <row r="79" spans="4:85" x14ac:dyDescent="0.25">
      <c r="BL79" s="58" t="s">
        <v>412</v>
      </c>
      <c r="BM79" s="58">
        <v>0.15</v>
      </c>
      <c r="BN79" s="59" t="s">
        <v>277</v>
      </c>
      <c r="BO79" s="59">
        <v>1.05</v>
      </c>
      <c r="BP79" s="61" t="s">
        <v>408</v>
      </c>
      <c r="BQ79" s="61">
        <v>0.05</v>
      </c>
      <c r="BR79" s="63" t="s">
        <v>227</v>
      </c>
      <c r="BS79" s="63">
        <v>0.1</v>
      </c>
      <c r="BU79" s="61" t="s">
        <v>413</v>
      </c>
      <c r="BV79" s="61">
        <v>0.15</v>
      </c>
      <c r="BX79" s="122">
        <f t="shared" si="2"/>
        <v>3</v>
      </c>
      <c r="BY79" s="59" t="str">
        <f t="shared" si="3"/>
        <v>3FPx</v>
      </c>
      <c r="BZ79" s="59">
        <v>1.05</v>
      </c>
      <c r="CE79" t="s">
        <v>713</v>
      </c>
      <c r="CF79" t="s">
        <v>1110</v>
      </c>
      <c r="CG79" t="s">
        <v>924</v>
      </c>
    </row>
    <row r="80" spans="4:85" x14ac:dyDescent="0.25">
      <c r="BL80" s="58" t="s">
        <v>414</v>
      </c>
      <c r="BM80" s="58">
        <v>0.15</v>
      </c>
      <c r="BN80" s="59" t="s">
        <v>278</v>
      </c>
      <c r="BO80" s="59">
        <v>0.95</v>
      </c>
      <c r="BP80" s="61" t="s">
        <v>410</v>
      </c>
      <c r="BQ80" s="61">
        <v>0.1</v>
      </c>
      <c r="BR80" s="63" t="s">
        <v>228</v>
      </c>
      <c r="BS80" s="63">
        <v>0.1</v>
      </c>
      <c r="BU80" s="61" t="s">
        <v>415</v>
      </c>
      <c r="BV80" s="61">
        <v>0.1</v>
      </c>
      <c r="BX80" s="122">
        <f t="shared" si="2"/>
        <v>2</v>
      </c>
      <c r="BY80" s="59" t="str">
        <f t="shared" si="3"/>
        <v>2FP</v>
      </c>
      <c r="BZ80" s="59">
        <v>0.95</v>
      </c>
      <c r="CE80" t="s">
        <v>714</v>
      </c>
      <c r="CF80" t="s">
        <v>1111</v>
      </c>
      <c r="CG80" t="s">
        <v>925</v>
      </c>
    </row>
    <row r="81" spans="4:85" x14ac:dyDescent="0.25">
      <c r="BL81" s="58" t="s">
        <v>416</v>
      </c>
      <c r="BM81" s="58">
        <v>0.2</v>
      </c>
      <c r="BN81" s="59" t="s">
        <v>279</v>
      </c>
      <c r="BO81" s="59">
        <v>0.7</v>
      </c>
      <c r="BP81" s="61" t="s">
        <v>412</v>
      </c>
      <c r="BQ81" s="61">
        <v>0.15</v>
      </c>
      <c r="BR81" s="63" t="s">
        <v>229</v>
      </c>
      <c r="BS81" s="63">
        <v>0.3</v>
      </c>
      <c r="BU81" s="61" t="s">
        <v>417</v>
      </c>
      <c r="BV81" s="61">
        <v>0.2</v>
      </c>
      <c r="BX81" s="122">
        <f t="shared" si="2"/>
        <v>2</v>
      </c>
      <c r="BY81" s="59" t="str">
        <f t="shared" si="3"/>
        <v>2FF</v>
      </c>
      <c r="BZ81" s="59">
        <v>0.7</v>
      </c>
      <c r="CE81" t="s">
        <v>715</v>
      </c>
      <c r="CF81" t="s">
        <v>1231</v>
      </c>
      <c r="CG81" t="s">
        <v>926</v>
      </c>
    </row>
    <row r="82" spans="4:85" x14ac:dyDescent="0.25">
      <c r="BL82" s="58" t="s">
        <v>418</v>
      </c>
      <c r="BM82" s="58">
        <v>0.05</v>
      </c>
      <c r="BN82" s="59" t="s">
        <v>133</v>
      </c>
      <c r="BO82" s="59">
        <v>0.45</v>
      </c>
      <c r="BP82" s="61" t="s">
        <v>414</v>
      </c>
      <c r="BQ82" s="61">
        <v>0.15</v>
      </c>
      <c r="BR82" s="63" t="s">
        <v>230</v>
      </c>
      <c r="BS82" s="63">
        <v>0.1</v>
      </c>
      <c r="BU82" s="61" t="s">
        <v>419</v>
      </c>
      <c r="BV82" s="61">
        <v>0.05</v>
      </c>
      <c r="BX82" s="122">
        <f t="shared" si="2"/>
        <v>2</v>
      </c>
      <c r="BY82" s="59" t="str">
        <f t="shared" si="3"/>
        <v>2PF</v>
      </c>
      <c r="BZ82" s="59">
        <v>0.45</v>
      </c>
      <c r="CE82" t="s">
        <v>716</v>
      </c>
      <c r="CF82" t="s">
        <v>1112</v>
      </c>
      <c r="CG82" t="s">
        <v>927</v>
      </c>
    </row>
    <row r="83" spans="4:85" x14ac:dyDescent="0.25">
      <c r="D83">
        <v>8</v>
      </c>
      <c r="E83" t="s">
        <v>18</v>
      </c>
      <c r="BL83" s="58" t="s">
        <v>1305</v>
      </c>
      <c r="BM83" s="58">
        <v>0.1</v>
      </c>
      <c r="BN83" s="59" t="s">
        <v>280</v>
      </c>
      <c r="BO83" s="59">
        <v>0.5</v>
      </c>
      <c r="BP83" s="61" t="s">
        <v>416</v>
      </c>
      <c r="BQ83" s="61">
        <v>0.2</v>
      </c>
      <c r="BR83" s="63" t="s">
        <v>231</v>
      </c>
      <c r="BS83" s="63">
        <v>0.2</v>
      </c>
      <c r="BU83" s="61" t="s">
        <v>1306</v>
      </c>
      <c r="BV83" s="61">
        <v>0.1</v>
      </c>
      <c r="BX83" s="122">
        <f t="shared" si="2"/>
        <v>4</v>
      </c>
      <c r="BY83" s="59" t="str">
        <f t="shared" si="3"/>
        <v>4SiSb</v>
      </c>
      <c r="BZ83" s="59">
        <v>0.5</v>
      </c>
      <c r="CE83" t="s">
        <v>717</v>
      </c>
      <c r="CF83" t="s">
        <v>1113</v>
      </c>
      <c r="CG83" t="s">
        <v>928</v>
      </c>
    </row>
    <row r="84" spans="4:85" x14ac:dyDescent="0.25">
      <c r="D84">
        <v>8</v>
      </c>
      <c r="E84" t="s">
        <v>1625</v>
      </c>
      <c r="BL84" s="58" t="s">
        <v>1307</v>
      </c>
      <c r="BM84" s="58">
        <v>0.1</v>
      </c>
      <c r="BN84" s="59" t="s">
        <v>281</v>
      </c>
      <c r="BO84" s="59">
        <v>0.3</v>
      </c>
      <c r="BP84" s="61" t="s">
        <v>418</v>
      </c>
      <c r="BQ84" s="61">
        <v>0.05</v>
      </c>
      <c r="BR84" s="63" t="s">
        <v>232</v>
      </c>
      <c r="BS84" s="63">
        <v>0.1</v>
      </c>
      <c r="BU84" s="61" t="s">
        <v>1308</v>
      </c>
      <c r="BV84" s="61">
        <v>0.1</v>
      </c>
      <c r="BX84" s="122">
        <f t="shared" si="2"/>
        <v>2</v>
      </c>
      <c r="BY84" s="59" t="str">
        <f t="shared" si="3"/>
        <v>2Bp</v>
      </c>
      <c r="BZ84" s="59">
        <v>0.3</v>
      </c>
      <c r="CE84" t="s">
        <v>718</v>
      </c>
      <c r="CF84" t="s">
        <v>1114</v>
      </c>
      <c r="CG84" t="s">
        <v>929</v>
      </c>
    </row>
    <row r="85" spans="4:85" x14ac:dyDescent="0.25">
      <c r="D85">
        <v>8</v>
      </c>
      <c r="E85" t="s">
        <v>17</v>
      </c>
      <c r="BL85" s="58" t="s">
        <v>420</v>
      </c>
      <c r="BM85" s="58">
        <v>0.3</v>
      </c>
      <c r="BN85" s="59" t="s">
        <v>282</v>
      </c>
      <c r="BO85" s="59">
        <v>0.3</v>
      </c>
      <c r="BP85" s="61" t="s">
        <v>1305</v>
      </c>
      <c r="BQ85" s="61">
        <v>0.1</v>
      </c>
      <c r="BR85" s="63" t="s">
        <v>233</v>
      </c>
      <c r="BS85" s="63">
        <v>0.05</v>
      </c>
      <c r="BU85" s="61" t="s">
        <v>421</v>
      </c>
      <c r="BV85" s="61">
        <v>0.15</v>
      </c>
      <c r="BX85" s="122">
        <f t="shared" si="2"/>
        <v>3</v>
      </c>
      <c r="BY85" s="59" t="str">
        <f t="shared" si="3"/>
        <v>3ShF</v>
      </c>
      <c r="BZ85" s="59">
        <v>0.3</v>
      </c>
      <c r="CE85" t="s">
        <v>719</v>
      </c>
      <c r="CF85" t="s">
        <v>1115</v>
      </c>
      <c r="CG85" t="s">
        <v>930</v>
      </c>
    </row>
    <row r="86" spans="4:85" x14ac:dyDescent="0.25">
      <c r="D86">
        <v>8</v>
      </c>
      <c r="E86" t="s">
        <v>1623</v>
      </c>
      <c r="BL86" s="58" t="s">
        <v>422</v>
      </c>
      <c r="BM86" s="58">
        <v>0.1</v>
      </c>
      <c r="BN86" s="59" t="s">
        <v>283</v>
      </c>
      <c r="BO86" s="59">
        <v>0.45</v>
      </c>
      <c r="BP86" s="61" t="s">
        <v>1307</v>
      </c>
      <c r="BQ86" s="61">
        <v>0.1</v>
      </c>
      <c r="BR86" s="63" t="s">
        <v>234</v>
      </c>
      <c r="BS86" s="63">
        <v>0.2</v>
      </c>
      <c r="BU86" s="61" t="s">
        <v>423</v>
      </c>
      <c r="BV86" s="61">
        <v>0.1</v>
      </c>
      <c r="BX86" s="122">
        <f t="shared" si="2"/>
        <v>1</v>
      </c>
      <c r="BY86" s="59" t="str">
        <f t="shared" si="3"/>
        <v>1E</v>
      </c>
      <c r="BZ86" s="59">
        <v>0.45</v>
      </c>
      <c r="CE86" t="s">
        <v>720</v>
      </c>
      <c r="CF86" t="s">
        <v>844</v>
      </c>
      <c r="CG86" t="s">
        <v>931</v>
      </c>
    </row>
    <row r="87" spans="4:85" x14ac:dyDescent="0.25">
      <c r="D87">
        <v>8</v>
      </c>
      <c r="E87" t="s">
        <v>1629</v>
      </c>
      <c r="BL87" s="58" t="s">
        <v>424</v>
      </c>
      <c r="BM87" s="58">
        <v>0.1</v>
      </c>
      <c r="BN87" s="59" t="s">
        <v>284</v>
      </c>
      <c r="BO87" s="59">
        <v>0.5</v>
      </c>
      <c r="BP87" s="61" t="s">
        <v>420</v>
      </c>
      <c r="BQ87" s="61">
        <v>0.3</v>
      </c>
      <c r="BR87" s="63" t="s">
        <v>235</v>
      </c>
      <c r="BS87" s="63">
        <v>0.2</v>
      </c>
      <c r="BU87" s="61" t="s">
        <v>425</v>
      </c>
      <c r="BV87" s="61">
        <v>0.1</v>
      </c>
      <c r="BX87" s="122">
        <f t="shared" si="2"/>
        <v>1</v>
      </c>
      <c r="BY87" s="59" t="str">
        <f t="shared" si="3"/>
        <v>1I</v>
      </c>
      <c r="BZ87" s="59">
        <v>0.5</v>
      </c>
      <c r="CE87" t="s">
        <v>721</v>
      </c>
      <c r="CF87" t="s">
        <v>1232</v>
      </c>
      <c r="CG87" t="s">
        <v>845</v>
      </c>
    </row>
    <row r="88" spans="4:85" x14ac:dyDescent="0.25">
      <c r="D88">
        <v>8</v>
      </c>
      <c r="E88" t="s">
        <v>1624</v>
      </c>
      <c r="BL88" s="58" t="s">
        <v>426</v>
      </c>
      <c r="BM88" s="58">
        <v>0.15</v>
      </c>
      <c r="BN88" s="59" t="s">
        <v>285</v>
      </c>
      <c r="BO88" s="59">
        <v>0.8</v>
      </c>
      <c r="BP88" s="61" t="s">
        <v>422</v>
      </c>
      <c r="BQ88" s="61">
        <v>0.1</v>
      </c>
      <c r="BR88" s="63" t="s">
        <v>236</v>
      </c>
      <c r="BS88" s="63">
        <v>0.2</v>
      </c>
      <c r="BU88" s="61" t="s">
        <v>427</v>
      </c>
      <c r="BV88" s="61">
        <v>0.1</v>
      </c>
      <c r="BX88" s="122">
        <f t="shared" si="2"/>
        <v>3</v>
      </c>
      <c r="BY88" s="59" t="str">
        <f t="shared" si="3"/>
        <v>3PH/</v>
      </c>
      <c r="BZ88" s="59">
        <v>0.8</v>
      </c>
      <c r="CE88" t="s">
        <v>722</v>
      </c>
      <c r="CF88" t="s">
        <v>1116</v>
      </c>
      <c r="CG88" t="s">
        <v>932</v>
      </c>
    </row>
    <row r="89" spans="4:85" x14ac:dyDescent="0.25">
      <c r="BL89" s="58" t="s">
        <v>428</v>
      </c>
      <c r="BM89" s="58">
        <v>0.2</v>
      </c>
      <c r="BN89" s="59" t="s">
        <v>286</v>
      </c>
      <c r="BO89" s="59">
        <v>0.3</v>
      </c>
      <c r="BP89" s="61" t="s">
        <v>424</v>
      </c>
      <c r="BQ89" s="61">
        <v>0.1</v>
      </c>
      <c r="BR89" s="63" t="s">
        <v>237</v>
      </c>
      <c r="BS89" s="63">
        <v>0.3</v>
      </c>
      <c r="BU89" s="61" t="s">
        <v>429</v>
      </c>
      <c r="BV89" s="61">
        <v>0.15</v>
      </c>
      <c r="BX89" s="122">
        <f t="shared" si="2"/>
        <v>4</v>
      </c>
      <c r="BY89" s="59" t="str">
        <f t="shared" si="3"/>
        <v>4Li4H</v>
      </c>
      <c r="BZ89" s="59">
        <v>0.3</v>
      </c>
      <c r="CE89" t="s">
        <v>723</v>
      </c>
      <c r="CF89" t="s">
        <v>1117</v>
      </c>
      <c r="CG89" t="s">
        <v>933</v>
      </c>
    </row>
    <row r="90" spans="4:85" x14ac:dyDescent="0.25">
      <c r="BL90" s="58" t="s">
        <v>430</v>
      </c>
      <c r="BM90" s="58">
        <v>0.25</v>
      </c>
      <c r="BN90" s="59" t="s">
        <v>287</v>
      </c>
      <c r="BO90" s="59">
        <v>0.4</v>
      </c>
      <c r="BP90" s="61" t="s">
        <v>426</v>
      </c>
      <c r="BQ90" s="61">
        <v>0.15</v>
      </c>
      <c r="BR90" s="63" t="s">
        <v>238</v>
      </c>
      <c r="BS90" s="63">
        <v>0.2</v>
      </c>
      <c r="BU90" s="61" t="s">
        <v>431</v>
      </c>
      <c r="BV90" s="61">
        <v>0.2</v>
      </c>
      <c r="BX90" s="122">
        <f t="shared" si="2"/>
        <v>1</v>
      </c>
      <c r="BY90" s="59" t="str">
        <f t="shared" si="3"/>
        <v>1W</v>
      </c>
      <c r="BZ90" s="59">
        <v>0.4</v>
      </c>
      <c r="CE90" t="s">
        <v>724</v>
      </c>
      <c r="CF90" t="s">
        <v>1118</v>
      </c>
      <c r="CG90" t="s">
        <v>934</v>
      </c>
    </row>
    <row r="91" spans="4:85" x14ac:dyDescent="0.25">
      <c r="BL91" s="58"/>
      <c r="BM91" s="58"/>
      <c r="BN91" s="59" t="s">
        <v>288</v>
      </c>
      <c r="BO91" s="59">
        <v>0.4</v>
      </c>
      <c r="BP91" s="61" t="s">
        <v>428</v>
      </c>
      <c r="BQ91" s="61">
        <v>0.2</v>
      </c>
      <c r="BR91" s="63" t="s">
        <v>239</v>
      </c>
      <c r="BS91" s="63">
        <v>0.2</v>
      </c>
      <c r="BU91" s="61" t="s">
        <v>573</v>
      </c>
      <c r="BV91" s="61">
        <v>0.05</v>
      </c>
      <c r="BX91" s="122">
        <f t="shared" si="2"/>
        <v>2</v>
      </c>
      <c r="BY91" s="59" t="str">
        <f t="shared" si="3"/>
        <v>2Py</v>
      </c>
      <c r="BZ91" s="59">
        <v>0.4</v>
      </c>
      <c r="CE91" t="s">
        <v>725</v>
      </c>
      <c r="CF91" t="s">
        <v>1233</v>
      </c>
      <c r="CG91" t="s">
        <v>935</v>
      </c>
    </row>
    <row r="92" spans="4:85" x14ac:dyDescent="0.25">
      <c r="BL92" s="58"/>
      <c r="BM92" s="58"/>
      <c r="BN92" s="59" t="s">
        <v>289</v>
      </c>
      <c r="BO92" s="59">
        <v>0.45</v>
      </c>
      <c r="BP92" s="61" t="s">
        <v>430</v>
      </c>
      <c r="BQ92" s="61">
        <v>0.25</v>
      </c>
      <c r="BR92" s="63" t="s">
        <v>240</v>
      </c>
      <c r="BS92" s="63">
        <v>0.1</v>
      </c>
      <c r="BU92" s="61" t="s">
        <v>319</v>
      </c>
      <c r="BV92" s="61">
        <v>0.05</v>
      </c>
      <c r="BX92" s="122">
        <f t="shared" si="2"/>
        <v>2</v>
      </c>
      <c r="BY92" s="59" t="str">
        <f t="shared" si="3"/>
        <v>2AP</v>
      </c>
      <c r="BZ92" s="59">
        <v>0.45</v>
      </c>
      <c r="CE92" t="s">
        <v>726</v>
      </c>
      <c r="CF92" t="s">
        <v>1119</v>
      </c>
      <c r="CG92" t="s">
        <v>936</v>
      </c>
    </row>
    <row r="93" spans="4:85" x14ac:dyDescent="0.25">
      <c r="D93">
        <v>9</v>
      </c>
      <c r="E93" t="s">
        <v>18</v>
      </c>
      <c r="BL93" s="58" t="s">
        <v>409</v>
      </c>
      <c r="BM93" s="58">
        <v>0.05</v>
      </c>
      <c r="BN93" s="59" t="s">
        <v>290</v>
      </c>
      <c r="BO93" s="59">
        <v>0.1</v>
      </c>
      <c r="BP93" s="61" t="s">
        <v>317</v>
      </c>
      <c r="BQ93" s="61">
        <v>0.1</v>
      </c>
      <c r="BR93" s="63" t="s">
        <v>241</v>
      </c>
      <c r="BS93" s="63">
        <v>0.3</v>
      </c>
      <c r="BU93" s="61" t="s">
        <v>321</v>
      </c>
      <c r="BV93" s="61">
        <v>0.1</v>
      </c>
      <c r="BX93" s="122">
        <f t="shared" si="2"/>
        <v>4</v>
      </c>
      <c r="BY93" s="59" t="str">
        <f t="shared" si="3"/>
        <v>4ShF*</v>
      </c>
      <c r="BZ93" s="59">
        <v>0.1</v>
      </c>
      <c r="CE93" t="s">
        <v>727</v>
      </c>
      <c r="CF93" t="s">
        <v>1120</v>
      </c>
      <c r="CG93" t="s">
        <v>937</v>
      </c>
    </row>
    <row r="94" spans="4:85" x14ac:dyDescent="0.25">
      <c r="D94">
        <v>9</v>
      </c>
      <c r="E94" t="s">
        <v>17</v>
      </c>
      <c r="BL94" s="58" t="s">
        <v>411</v>
      </c>
      <c r="BM94" s="58">
        <v>0.1</v>
      </c>
      <c r="BN94" s="59" t="s">
        <v>291</v>
      </c>
      <c r="BO94" s="59">
        <v>0.1</v>
      </c>
      <c r="BP94" s="61" t="s">
        <v>318</v>
      </c>
      <c r="BQ94" s="61">
        <v>0.15</v>
      </c>
      <c r="BR94" s="63" t="s">
        <v>242</v>
      </c>
      <c r="BS94" s="63">
        <v>0.1</v>
      </c>
      <c r="BU94" s="61" t="s">
        <v>324</v>
      </c>
      <c r="BV94" s="61">
        <v>0.2</v>
      </c>
      <c r="BX94" s="122">
        <f t="shared" si="2"/>
        <v>2</v>
      </c>
      <c r="BY94" s="59" t="str">
        <f t="shared" si="3"/>
        <v>2Su</v>
      </c>
      <c r="BZ94" s="59">
        <v>0.1</v>
      </c>
      <c r="CE94" t="s">
        <v>728</v>
      </c>
      <c r="CF94" t="s">
        <v>1121</v>
      </c>
      <c r="CG94" t="s">
        <v>938</v>
      </c>
    </row>
    <row r="95" spans="4:85" x14ac:dyDescent="0.25">
      <c r="D95">
        <v>9</v>
      </c>
      <c r="E95" t="s">
        <v>1623</v>
      </c>
      <c r="BL95" s="58" t="s">
        <v>413</v>
      </c>
      <c r="BM95" s="58">
        <v>0.15</v>
      </c>
      <c r="BN95" s="59" t="s">
        <v>292</v>
      </c>
      <c r="BO95" s="59">
        <v>0.15</v>
      </c>
      <c r="BP95" s="61" t="s">
        <v>320</v>
      </c>
      <c r="BQ95" s="61">
        <v>0.2</v>
      </c>
      <c r="BR95" s="63" t="s">
        <v>243</v>
      </c>
      <c r="BS95" s="63">
        <v>0.3</v>
      </c>
      <c r="BU95" s="61" t="s">
        <v>325</v>
      </c>
      <c r="BV95" s="61">
        <v>0.3</v>
      </c>
      <c r="BX95" s="122">
        <f t="shared" si="2"/>
        <v>2</v>
      </c>
      <c r="BY95" s="59" t="str">
        <f t="shared" si="3"/>
        <v>2Ta</v>
      </c>
      <c r="BZ95" s="59">
        <v>0.15</v>
      </c>
      <c r="CE95" t="s">
        <v>729</v>
      </c>
      <c r="CF95" t="s">
        <v>1122</v>
      </c>
      <c r="CG95" t="s">
        <v>939</v>
      </c>
    </row>
    <row r="96" spans="4:85" x14ac:dyDescent="0.25">
      <c r="D96">
        <v>9</v>
      </c>
      <c r="E96" t="s">
        <v>554</v>
      </c>
      <c r="BL96" s="58" t="s">
        <v>415</v>
      </c>
      <c r="BM96" s="58">
        <v>0.1</v>
      </c>
      <c r="BN96" s="59" t="s">
        <v>293</v>
      </c>
      <c r="BO96" s="59">
        <v>0.1</v>
      </c>
      <c r="BP96" s="61" t="s">
        <v>322</v>
      </c>
      <c r="BQ96" s="61">
        <v>0.25</v>
      </c>
      <c r="BR96" s="63" t="s">
        <v>244</v>
      </c>
      <c r="BS96" s="63">
        <v>0.2</v>
      </c>
      <c r="BU96" s="61" t="s">
        <v>327</v>
      </c>
      <c r="BV96" s="61">
        <v>0.3</v>
      </c>
      <c r="BX96" s="122">
        <f t="shared" si="2"/>
        <v>3</v>
      </c>
      <c r="BY96" s="59" t="str">
        <f t="shared" si="3"/>
        <v>3SiS</v>
      </c>
      <c r="BZ96" s="59">
        <v>0.1</v>
      </c>
      <c r="CE96" t="s">
        <v>730</v>
      </c>
      <c r="CF96" t="s">
        <v>1123</v>
      </c>
      <c r="CG96" t="s">
        <v>940</v>
      </c>
    </row>
    <row r="97" spans="4:85" x14ac:dyDescent="0.25">
      <c r="D97">
        <v>9</v>
      </c>
      <c r="E97" t="s">
        <v>576</v>
      </c>
      <c r="BL97" s="58" t="s">
        <v>417</v>
      </c>
      <c r="BM97" s="58">
        <v>0.2</v>
      </c>
      <c r="BN97" s="59" t="s">
        <v>294</v>
      </c>
      <c r="BO97" s="59">
        <v>0.1</v>
      </c>
      <c r="BP97" s="61" t="s">
        <v>323</v>
      </c>
      <c r="BQ97" s="61">
        <v>0.45</v>
      </c>
      <c r="BR97" s="63" t="s">
        <v>245</v>
      </c>
      <c r="BS97" s="63">
        <v>0.3</v>
      </c>
      <c r="BU97" s="61" t="s">
        <v>329</v>
      </c>
      <c r="BV97" s="61">
        <v>0.4</v>
      </c>
      <c r="BX97" s="122">
        <f t="shared" si="2"/>
        <v>3</v>
      </c>
      <c r="BY97" s="59" t="str">
        <f t="shared" si="3"/>
        <v>3F1S</v>
      </c>
      <c r="BZ97" s="59">
        <v>0.1</v>
      </c>
      <c r="CE97" t="s">
        <v>731</v>
      </c>
      <c r="CF97" t="s">
        <v>1124</v>
      </c>
      <c r="CG97" t="s">
        <v>941</v>
      </c>
    </row>
    <row r="98" spans="4:85" x14ac:dyDescent="0.25">
      <c r="D98">
        <v>9</v>
      </c>
      <c r="E98" t="s">
        <v>555</v>
      </c>
      <c r="BL98" s="58" t="s">
        <v>419</v>
      </c>
      <c r="BM98" s="58">
        <v>0.05</v>
      </c>
      <c r="BN98" s="59" t="s">
        <v>295</v>
      </c>
      <c r="BO98" s="59">
        <v>0.05</v>
      </c>
      <c r="BP98" s="61" t="s">
        <v>326</v>
      </c>
      <c r="BQ98" s="61">
        <v>0.4</v>
      </c>
      <c r="BR98" s="63" t="s">
        <v>246</v>
      </c>
      <c r="BS98" s="63">
        <v>0.2</v>
      </c>
      <c r="BU98" s="61" t="s">
        <v>331</v>
      </c>
      <c r="BV98" s="61">
        <v>0.1</v>
      </c>
      <c r="BX98" s="122">
        <f t="shared" si="2"/>
        <v>2</v>
      </c>
      <c r="BY98" s="59" t="str">
        <f t="shared" si="3"/>
        <v>2FS</v>
      </c>
      <c r="BZ98" s="59">
        <v>0.05</v>
      </c>
      <c r="CE98" t="s">
        <v>732</v>
      </c>
      <c r="CF98" t="s">
        <v>1234</v>
      </c>
      <c r="CG98" t="s">
        <v>942</v>
      </c>
    </row>
    <row r="99" spans="4:85" x14ac:dyDescent="0.25">
      <c r="D99">
        <v>9</v>
      </c>
      <c r="E99" t="s">
        <v>556</v>
      </c>
      <c r="BL99" s="58" t="s">
        <v>1306</v>
      </c>
      <c r="BM99" s="58">
        <v>0.1</v>
      </c>
      <c r="BN99" s="59" t="s">
        <v>296</v>
      </c>
      <c r="BO99" s="59">
        <v>0.2</v>
      </c>
      <c r="BP99" s="61" t="s">
        <v>328</v>
      </c>
      <c r="BQ99" s="61">
        <v>0.5</v>
      </c>
      <c r="BR99" s="63" t="s">
        <v>247</v>
      </c>
      <c r="BS99" s="63">
        <v>0.4</v>
      </c>
      <c r="BU99" s="61" t="s">
        <v>333</v>
      </c>
      <c r="BV99" s="61">
        <v>0.25</v>
      </c>
      <c r="BX99" s="122">
        <f t="shared" si="2"/>
        <v>4</v>
      </c>
      <c r="BY99" s="59" t="str">
        <f t="shared" si="3"/>
        <v>4F1S/</v>
      </c>
      <c r="BZ99" s="59">
        <v>0.2</v>
      </c>
      <c r="CE99" t="s">
        <v>733</v>
      </c>
      <c r="CF99" t="s">
        <v>1125</v>
      </c>
      <c r="CG99" t="s">
        <v>943</v>
      </c>
    </row>
    <row r="100" spans="4:85" x14ac:dyDescent="0.25">
      <c r="BL100" s="58" t="s">
        <v>1308</v>
      </c>
      <c r="BM100" s="58">
        <v>0.1</v>
      </c>
      <c r="BN100" s="59" t="s">
        <v>297</v>
      </c>
      <c r="BO100" s="59">
        <v>0.1</v>
      </c>
      <c r="BP100" s="61" t="s">
        <v>330</v>
      </c>
      <c r="BQ100" s="61">
        <v>0.25</v>
      </c>
      <c r="BR100" s="63" t="s">
        <v>248</v>
      </c>
      <c r="BS100" s="63">
        <v>0.3</v>
      </c>
      <c r="BU100" s="61" t="s">
        <v>335</v>
      </c>
      <c r="BV100" s="61">
        <v>0.3</v>
      </c>
      <c r="BX100" s="122">
        <f t="shared" si="2"/>
        <v>2</v>
      </c>
      <c r="BY100" s="59" t="str">
        <f t="shared" si="3"/>
        <v>2Le</v>
      </c>
      <c r="BZ100" s="59">
        <v>0.1</v>
      </c>
      <c r="CE100" t="s">
        <v>734</v>
      </c>
      <c r="CF100" t="s">
        <v>1126</v>
      </c>
      <c r="CG100" t="s">
        <v>944</v>
      </c>
    </row>
    <row r="101" spans="4:85" x14ac:dyDescent="0.25">
      <c r="BL101" s="58" t="s">
        <v>421</v>
      </c>
      <c r="BM101" s="58">
        <v>0.15</v>
      </c>
      <c r="BN101" s="59" t="s">
        <v>298</v>
      </c>
      <c r="BO101" s="59">
        <v>0.1</v>
      </c>
      <c r="BP101" s="61" t="s">
        <v>332</v>
      </c>
      <c r="BQ101" s="61">
        <v>0.35</v>
      </c>
      <c r="BR101" s="63" t="s">
        <v>249</v>
      </c>
      <c r="BS101" s="63">
        <v>0.1</v>
      </c>
      <c r="BU101" s="61" t="s">
        <v>337</v>
      </c>
      <c r="BV101" s="61">
        <v>0.45</v>
      </c>
      <c r="BX101" s="122">
        <f t="shared" si="2"/>
        <v>2</v>
      </c>
      <c r="BY101" s="59" t="str">
        <f t="shared" si="3"/>
        <v>2Li</v>
      </c>
      <c r="BZ101" s="59">
        <v>0.1</v>
      </c>
      <c r="CE101" t="s">
        <v>735</v>
      </c>
      <c r="CF101" t="s">
        <v>1127</v>
      </c>
      <c r="CG101" t="s">
        <v>945</v>
      </c>
    </row>
    <row r="102" spans="4:85" x14ac:dyDescent="0.25">
      <c r="BL102" s="58" t="s">
        <v>423</v>
      </c>
      <c r="BM102" s="58">
        <v>0.1</v>
      </c>
      <c r="BN102" s="59" t="s">
        <v>299</v>
      </c>
      <c r="BO102" s="59">
        <v>0.2</v>
      </c>
      <c r="BP102" s="61" t="s">
        <v>334</v>
      </c>
      <c r="BQ102" s="61">
        <v>0.45</v>
      </c>
      <c r="BR102" s="63" t="s">
        <v>250</v>
      </c>
      <c r="BS102" s="63">
        <v>0.3</v>
      </c>
      <c r="BU102" s="61" t="s">
        <v>339</v>
      </c>
      <c r="BV102" s="61">
        <v>0.4</v>
      </c>
      <c r="BX102" s="122">
        <f t="shared" si="2"/>
        <v>2</v>
      </c>
      <c r="BY102" s="59" t="str">
        <f t="shared" si="3"/>
        <v>2Ch</v>
      </c>
      <c r="BZ102" s="59">
        <v>0.2</v>
      </c>
      <c r="CE102" t="s">
        <v>736</v>
      </c>
      <c r="CF102" t="s">
        <v>1128</v>
      </c>
      <c r="CG102" t="s">
        <v>946</v>
      </c>
    </row>
    <row r="103" spans="4:85" x14ac:dyDescent="0.25">
      <c r="D103">
        <v>10</v>
      </c>
      <c r="E103" t="s">
        <v>18</v>
      </c>
      <c r="BL103" s="58" t="s">
        <v>425</v>
      </c>
      <c r="BM103" s="58">
        <v>0.1</v>
      </c>
      <c r="BN103" s="59" t="s">
        <v>300</v>
      </c>
      <c r="BO103" s="59">
        <v>0.1</v>
      </c>
      <c r="BP103" s="61" t="s">
        <v>336</v>
      </c>
      <c r="BQ103" s="61">
        <v>0.55000000000000004</v>
      </c>
      <c r="BR103" s="63" t="s">
        <v>251</v>
      </c>
      <c r="BS103" s="63">
        <v>0.4</v>
      </c>
      <c r="BU103" s="61" t="s">
        <v>341</v>
      </c>
      <c r="BV103" s="61">
        <v>0.1</v>
      </c>
      <c r="BX103" s="122">
        <f t="shared" si="2"/>
        <v>2</v>
      </c>
      <c r="BY103" s="59" t="str">
        <f t="shared" si="3"/>
        <v>2Tw</v>
      </c>
      <c r="BZ103" s="59">
        <v>0.1</v>
      </c>
      <c r="CE103" t="s">
        <v>737</v>
      </c>
      <c r="CF103" t="s">
        <v>1129</v>
      </c>
      <c r="CG103" t="s">
        <v>947</v>
      </c>
    </row>
    <row r="104" spans="4:85" x14ac:dyDescent="0.25">
      <c r="D104">
        <v>10</v>
      </c>
      <c r="E104" t="s">
        <v>554</v>
      </c>
      <c r="BL104" s="58" t="s">
        <v>427</v>
      </c>
      <c r="BM104" s="58">
        <v>0.1</v>
      </c>
      <c r="BN104" s="59" t="s">
        <v>301</v>
      </c>
      <c r="BO104" s="59">
        <v>0.1</v>
      </c>
      <c r="BP104" s="61" t="s">
        <v>338</v>
      </c>
      <c r="BQ104" s="61">
        <v>0.65</v>
      </c>
      <c r="BR104" s="63" t="s">
        <v>252</v>
      </c>
      <c r="BS104" s="63">
        <v>0.4</v>
      </c>
      <c r="BU104" s="61" t="s">
        <v>343</v>
      </c>
      <c r="BV104" s="61">
        <v>0.1</v>
      </c>
      <c r="BX104" s="122">
        <f t="shared" si="2"/>
        <v>3</v>
      </c>
      <c r="BY104" s="59" t="str">
        <f t="shared" si="3"/>
        <v>3Tw*</v>
      </c>
      <c r="BZ104" s="59">
        <v>0.1</v>
      </c>
      <c r="CE104" t="s">
        <v>738</v>
      </c>
      <c r="CF104" t="s">
        <v>1130</v>
      </c>
      <c r="CG104" t="s">
        <v>948</v>
      </c>
    </row>
    <row r="105" spans="4:85" x14ac:dyDescent="0.25">
      <c r="D105">
        <v>10</v>
      </c>
      <c r="E105" t="s">
        <v>576</v>
      </c>
      <c r="BL105" s="58" t="s">
        <v>429</v>
      </c>
      <c r="BM105" s="58">
        <v>0.15</v>
      </c>
      <c r="BN105" s="59" t="s">
        <v>302</v>
      </c>
      <c r="BO105" s="59">
        <v>0.1</v>
      </c>
      <c r="BP105" s="61" t="s">
        <v>340</v>
      </c>
      <c r="BQ105" s="61">
        <v>0.1</v>
      </c>
      <c r="BR105" s="63" t="s">
        <v>253</v>
      </c>
      <c r="BS105" s="63">
        <v>0.3</v>
      </c>
      <c r="BU105" s="61" t="s">
        <v>345</v>
      </c>
      <c r="BV105" s="61">
        <v>0.05</v>
      </c>
      <c r="BX105" s="122">
        <f t="shared" si="2"/>
        <v>2</v>
      </c>
      <c r="BY105" s="59" t="str">
        <f t="shared" si="3"/>
        <v>2AV</v>
      </c>
      <c r="BZ105" s="59">
        <v>0.1</v>
      </c>
      <c r="CE105" t="s">
        <v>739</v>
      </c>
      <c r="CF105" t="s">
        <v>1131</v>
      </c>
      <c r="CG105" t="s">
        <v>949</v>
      </c>
    </row>
    <row r="106" spans="4:85" x14ac:dyDescent="0.25">
      <c r="D106">
        <v>10</v>
      </c>
      <c r="E106" t="s">
        <v>555</v>
      </c>
      <c r="BL106" s="58" t="s">
        <v>431</v>
      </c>
      <c r="BM106" s="58">
        <v>0.2</v>
      </c>
      <c r="BN106" s="59" t="s">
        <v>303</v>
      </c>
      <c r="BO106" s="59">
        <v>0.1</v>
      </c>
      <c r="BP106" s="61" t="s">
        <v>342</v>
      </c>
      <c r="BQ106" s="61">
        <v>0.15</v>
      </c>
      <c r="BR106" s="63" t="s">
        <v>1281</v>
      </c>
      <c r="BS106" s="63">
        <v>0.3</v>
      </c>
      <c r="BU106" s="61" t="s">
        <v>347</v>
      </c>
      <c r="BV106" s="61">
        <v>0.1</v>
      </c>
      <c r="BX106" s="122">
        <f t="shared" si="2"/>
        <v>3</v>
      </c>
      <c r="BY106" s="59" t="str">
        <f t="shared" si="3"/>
        <v>3AF*</v>
      </c>
      <c r="BZ106" s="59">
        <v>0.1</v>
      </c>
      <c r="CE106" t="s">
        <v>740</v>
      </c>
      <c r="CF106" t="s">
        <v>1132</v>
      </c>
      <c r="CG106" t="s">
        <v>950</v>
      </c>
    </row>
    <row r="107" spans="4:85" x14ac:dyDescent="0.25">
      <c r="D107">
        <v>10</v>
      </c>
      <c r="E107" t="s">
        <v>556</v>
      </c>
      <c r="BL107" s="58"/>
      <c r="BM107" s="58"/>
      <c r="BN107" s="59" t="s">
        <v>304</v>
      </c>
      <c r="BO107" s="59">
        <v>0.1</v>
      </c>
      <c r="BP107" s="61" t="s">
        <v>344</v>
      </c>
      <c r="BQ107" s="61">
        <v>0.05</v>
      </c>
      <c r="BR107" s="63" t="s">
        <v>254</v>
      </c>
      <c r="BS107" s="63">
        <v>0.2</v>
      </c>
      <c r="BU107" s="61" t="s">
        <v>349</v>
      </c>
      <c r="BV107" s="61">
        <v>0.2</v>
      </c>
      <c r="BX107" s="122">
        <f t="shared" si="2"/>
        <v>4</v>
      </c>
      <c r="BY107" s="59" t="str">
        <f t="shared" si="3"/>
        <v>4SpSp</v>
      </c>
      <c r="BZ107" s="59">
        <v>0.1</v>
      </c>
      <c r="CE107" t="s">
        <v>741</v>
      </c>
      <c r="CF107" t="s">
        <v>1133</v>
      </c>
      <c r="CG107" t="s">
        <v>951</v>
      </c>
    </row>
    <row r="108" spans="4:85" x14ac:dyDescent="0.25">
      <c r="BL108" s="58"/>
      <c r="BM108" s="58"/>
      <c r="BN108" s="59" t="s">
        <v>305</v>
      </c>
      <c r="BO108" s="59">
        <v>0.15</v>
      </c>
      <c r="BP108" s="61" t="s">
        <v>346</v>
      </c>
      <c r="BQ108" s="61">
        <v>0.1</v>
      </c>
      <c r="BR108" s="63" t="s">
        <v>255</v>
      </c>
      <c r="BS108" s="63">
        <v>0.2</v>
      </c>
      <c r="BU108" s="61" t="s">
        <v>574</v>
      </c>
      <c r="BV108" s="61">
        <v>0.2</v>
      </c>
      <c r="BX108" s="122">
        <f t="shared" si="2"/>
        <v>3</v>
      </c>
      <c r="BY108" s="59" t="str">
        <f t="shared" si="3"/>
        <v>3SiF</v>
      </c>
      <c r="BZ108" s="59">
        <v>0.15</v>
      </c>
      <c r="CE108" t="s">
        <v>742</v>
      </c>
      <c r="CF108" t="s">
        <v>1134</v>
      </c>
      <c r="CG108" t="s">
        <v>952</v>
      </c>
    </row>
    <row r="109" spans="4:85" x14ac:dyDescent="0.25">
      <c r="BL109" s="58"/>
      <c r="BM109" s="58"/>
      <c r="BN109" s="59" t="s">
        <v>306</v>
      </c>
      <c r="BO109" s="59">
        <v>0.25</v>
      </c>
      <c r="BP109" s="61" t="s">
        <v>348</v>
      </c>
      <c r="BQ109" s="61">
        <v>0.2</v>
      </c>
      <c r="BR109" s="63" t="s">
        <v>256</v>
      </c>
      <c r="BS109" s="63">
        <v>0.1</v>
      </c>
      <c r="BU109" s="61" t="s">
        <v>352</v>
      </c>
      <c r="BV109" s="61">
        <v>0.1</v>
      </c>
      <c r="BX109" s="122">
        <f t="shared" si="2"/>
        <v>3</v>
      </c>
      <c r="BY109" s="59" t="str">
        <f t="shared" si="3"/>
        <v>3BBb</v>
      </c>
      <c r="BZ109" s="59">
        <v>0.25</v>
      </c>
      <c r="CE109" t="s">
        <v>743</v>
      </c>
      <c r="CF109" t="s">
        <v>1135</v>
      </c>
      <c r="CG109" t="s">
        <v>953</v>
      </c>
    </row>
    <row r="110" spans="4:85" x14ac:dyDescent="0.25">
      <c r="BL110" s="58"/>
      <c r="BM110" s="58"/>
      <c r="BN110" s="59" t="s">
        <v>307</v>
      </c>
      <c r="BO110" s="59">
        <v>0.1</v>
      </c>
      <c r="BP110" s="61" t="s">
        <v>350</v>
      </c>
      <c r="BQ110" s="61">
        <v>0.2</v>
      </c>
      <c r="BR110" s="63" t="s">
        <v>257</v>
      </c>
      <c r="BS110" s="63">
        <v>0.1</v>
      </c>
      <c r="BU110" s="61" t="s">
        <v>354</v>
      </c>
      <c r="BV110" s="61">
        <v>0.2</v>
      </c>
      <c r="BX110" s="122">
        <f t="shared" si="2"/>
        <v>3</v>
      </c>
      <c r="BY110" s="59" t="str">
        <f t="shared" si="3"/>
        <v>3Li*</v>
      </c>
      <c r="BZ110" s="59">
        <v>0.1</v>
      </c>
      <c r="CE110" t="s">
        <v>744</v>
      </c>
      <c r="CF110" t="s">
        <v>1235</v>
      </c>
      <c r="CG110" t="s">
        <v>954</v>
      </c>
    </row>
    <row r="111" spans="4:85" x14ac:dyDescent="0.25">
      <c r="BL111" s="58"/>
      <c r="BM111" s="58"/>
      <c r="BN111" s="59" t="s">
        <v>308</v>
      </c>
      <c r="BO111" s="59">
        <v>0.2</v>
      </c>
      <c r="BP111" s="61" t="s">
        <v>351</v>
      </c>
      <c r="BQ111" s="61">
        <v>0.2</v>
      </c>
      <c r="BR111" s="63" t="s">
        <v>258</v>
      </c>
      <c r="BS111" s="63">
        <v>0.1</v>
      </c>
      <c r="BU111" s="61" t="s">
        <v>356</v>
      </c>
      <c r="BV111" s="61">
        <v>0.05</v>
      </c>
      <c r="BX111" s="122">
        <f t="shared" si="2"/>
        <v>3</v>
      </c>
      <c r="BY111" s="59" t="str">
        <f t="shared" si="3"/>
        <v>3SiV</v>
      </c>
      <c r="BZ111" s="59">
        <v>0.2</v>
      </c>
      <c r="CE111" t="s">
        <v>745</v>
      </c>
      <c r="CF111" t="s">
        <v>1136</v>
      </c>
      <c r="CG111" t="s">
        <v>955</v>
      </c>
    </row>
    <row r="112" spans="4:85" x14ac:dyDescent="0.25">
      <c r="BL112" s="58"/>
      <c r="BM112" s="58"/>
      <c r="BN112" s="59" t="s">
        <v>309</v>
      </c>
      <c r="BO112" s="59">
        <v>0.35</v>
      </c>
      <c r="BP112" s="61" t="s">
        <v>353</v>
      </c>
      <c r="BQ112" s="61">
        <v>0.3</v>
      </c>
      <c r="BR112" s="63" t="s">
        <v>259</v>
      </c>
      <c r="BS112" s="63">
        <v>0.1</v>
      </c>
      <c r="BU112" s="61" t="s">
        <v>358</v>
      </c>
      <c r="BV112" s="61">
        <v>0.05</v>
      </c>
      <c r="BX112" s="122">
        <f t="shared" si="2"/>
        <v>3</v>
      </c>
      <c r="BY112" s="59" t="str">
        <f t="shared" si="3"/>
        <v>3AP/</v>
      </c>
      <c r="BZ112" s="59">
        <v>0.35</v>
      </c>
      <c r="CE112" t="s">
        <v>746</v>
      </c>
      <c r="CF112" t="s">
        <v>1137</v>
      </c>
      <c r="CG112" t="s">
        <v>956</v>
      </c>
    </row>
    <row r="113" spans="4:85" x14ac:dyDescent="0.25">
      <c r="D113">
        <v>11</v>
      </c>
      <c r="E113" t="s">
        <v>18</v>
      </c>
      <c r="BL113" s="58"/>
      <c r="BM113" s="58"/>
      <c r="BN113" s="59" t="s">
        <v>310</v>
      </c>
      <c r="BO113" s="59">
        <v>0.3</v>
      </c>
      <c r="BP113" s="61" t="s">
        <v>355</v>
      </c>
      <c r="BQ113" s="61">
        <v>0.15</v>
      </c>
      <c r="BR113" s="63" t="s">
        <v>260</v>
      </c>
      <c r="BS113" s="63">
        <v>0.3</v>
      </c>
      <c r="BU113" s="61" t="s">
        <v>360</v>
      </c>
      <c r="BV113" s="61">
        <v>0.05</v>
      </c>
      <c r="BX113" s="122">
        <f t="shared" si="2"/>
        <v>3</v>
      </c>
      <c r="BY113" s="59" t="str">
        <f t="shared" si="3"/>
        <v>3PH*</v>
      </c>
      <c r="BZ113" s="59">
        <v>0.3</v>
      </c>
      <c r="CE113" t="s">
        <v>747</v>
      </c>
      <c r="CF113" t="s">
        <v>1138</v>
      </c>
      <c r="CG113" t="s">
        <v>957</v>
      </c>
    </row>
    <row r="114" spans="4:85" x14ac:dyDescent="0.25">
      <c r="D114">
        <v>11</v>
      </c>
      <c r="E114" t="s">
        <v>17</v>
      </c>
      <c r="BL114" s="58"/>
      <c r="BM114" s="58"/>
      <c r="BN114" s="59" t="s">
        <v>311</v>
      </c>
      <c r="BO114" s="59">
        <v>0.55000000000000004</v>
      </c>
      <c r="BP114" s="61" t="s">
        <v>357</v>
      </c>
      <c r="BQ114" s="61">
        <v>0.15</v>
      </c>
      <c r="BR114" s="63" t="s">
        <v>261</v>
      </c>
      <c r="BS114" s="63">
        <v>0.05</v>
      </c>
      <c r="BU114" s="61" t="s">
        <v>362</v>
      </c>
      <c r="BV114" s="61">
        <v>0.05</v>
      </c>
      <c r="BX114" s="122">
        <f t="shared" si="2"/>
        <v>4</v>
      </c>
      <c r="BY114" s="59" t="str">
        <f t="shared" si="3"/>
        <v>4FHP/</v>
      </c>
      <c r="BZ114" s="59">
        <v>0.55000000000000004</v>
      </c>
      <c r="CE114" t="s">
        <v>748</v>
      </c>
      <c r="CF114" t="s">
        <v>1139</v>
      </c>
      <c r="CG114" t="s">
        <v>958</v>
      </c>
    </row>
    <row r="115" spans="4:85" x14ac:dyDescent="0.25">
      <c r="D115">
        <v>11</v>
      </c>
      <c r="E115" t="s">
        <v>1623</v>
      </c>
      <c r="BL115" s="58"/>
      <c r="BM115" s="58"/>
      <c r="BN115" s="59" t="s">
        <v>312</v>
      </c>
      <c r="BO115" s="59">
        <v>0.5</v>
      </c>
      <c r="BP115" s="61" t="s">
        <v>359</v>
      </c>
      <c r="BQ115" s="61">
        <v>0.2</v>
      </c>
      <c r="BR115" s="63" t="s">
        <v>1280</v>
      </c>
      <c r="BS115" s="63">
        <v>0.1</v>
      </c>
      <c r="BU115" s="61" t="s">
        <v>364</v>
      </c>
      <c r="BV115" s="61">
        <v>0.1</v>
      </c>
      <c r="BX115" s="122">
        <f t="shared" si="2"/>
        <v>3</v>
      </c>
      <c r="BY115" s="59" t="str">
        <f t="shared" si="3"/>
        <v>3FF*</v>
      </c>
      <c r="BZ115" s="59">
        <v>0.5</v>
      </c>
      <c r="CE115" t="s">
        <v>749</v>
      </c>
      <c r="CF115" t="s">
        <v>1140</v>
      </c>
      <c r="CG115" t="s">
        <v>959</v>
      </c>
    </row>
    <row r="116" spans="4:85" x14ac:dyDescent="0.25">
      <c r="D116">
        <v>11</v>
      </c>
      <c r="E116" t="s">
        <v>1780</v>
      </c>
      <c r="BL116" s="58"/>
      <c r="BM116" s="58"/>
      <c r="BN116" s="59" t="s">
        <v>313</v>
      </c>
      <c r="BO116" s="59">
        <v>0.1</v>
      </c>
      <c r="BP116" s="61" t="s">
        <v>361</v>
      </c>
      <c r="BQ116" s="61">
        <v>0.15</v>
      </c>
      <c r="BR116" s="63" t="s">
        <v>262</v>
      </c>
      <c r="BS116" s="63">
        <v>0.1</v>
      </c>
      <c r="BU116" s="61" t="s">
        <v>366</v>
      </c>
      <c r="BV116" s="61">
        <v>0.1</v>
      </c>
      <c r="BX116" s="122">
        <f t="shared" si="2"/>
        <v>3</v>
      </c>
      <c r="BY116" s="59" t="str">
        <f t="shared" si="3"/>
        <v>3AL/</v>
      </c>
      <c r="BZ116" s="59">
        <v>0.1</v>
      </c>
      <c r="CE116" t="s">
        <v>750</v>
      </c>
      <c r="CF116" t="s">
        <v>1141</v>
      </c>
      <c r="CG116" t="s">
        <v>960</v>
      </c>
    </row>
    <row r="117" spans="4:85" x14ac:dyDescent="0.25">
      <c r="D117">
        <v>11</v>
      </c>
      <c r="E117" t="s">
        <v>554</v>
      </c>
      <c r="BL117" s="58"/>
      <c r="BM117" s="58"/>
      <c r="BN117" s="59" t="s">
        <v>314</v>
      </c>
      <c r="BO117" s="59">
        <v>0.4</v>
      </c>
      <c r="BP117" s="61" t="s">
        <v>363</v>
      </c>
      <c r="BQ117" s="61">
        <v>0.25</v>
      </c>
      <c r="BR117" s="63" t="s">
        <v>263</v>
      </c>
      <c r="BS117" s="63">
        <v>0.1</v>
      </c>
      <c r="BU117" s="61" t="s">
        <v>368</v>
      </c>
      <c r="BV117" s="61">
        <v>0.1</v>
      </c>
      <c r="BX117" s="122">
        <f t="shared" si="2"/>
        <v>3</v>
      </c>
      <c r="BY117" s="59" t="str">
        <f t="shared" si="3"/>
        <v>3FP*</v>
      </c>
      <c r="BZ117" s="59">
        <v>0.4</v>
      </c>
      <c r="CE117" t="s">
        <v>751</v>
      </c>
      <c r="CF117" t="s">
        <v>1142</v>
      </c>
      <c r="CG117" t="s">
        <v>961</v>
      </c>
    </row>
    <row r="118" spans="4:85" x14ac:dyDescent="0.25">
      <c r="D118">
        <v>11</v>
      </c>
      <c r="E118" t="s">
        <v>576</v>
      </c>
      <c r="BL118" s="58"/>
      <c r="BM118" s="58"/>
      <c r="BN118" s="59" t="s">
        <v>315</v>
      </c>
      <c r="BO118" s="59">
        <v>0.1</v>
      </c>
      <c r="BP118" s="61" t="s">
        <v>365</v>
      </c>
      <c r="BQ118" s="61">
        <v>0.25</v>
      </c>
      <c r="BR118" s="63" t="s">
        <v>264</v>
      </c>
      <c r="BS118" s="63">
        <v>0.3</v>
      </c>
      <c r="BU118" s="61" t="s">
        <v>370</v>
      </c>
      <c r="BV118" s="61">
        <v>0.05</v>
      </c>
      <c r="BX118" s="122">
        <f t="shared" si="2"/>
        <v>4</v>
      </c>
      <c r="BY118" s="59" t="str">
        <f t="shared" si="3"/>
        <v>4SiF*</v>
      </c>
      <c r="BZ118" s="59">
        <v>0.1</v>
      </c>
      <c r="CE118" t="s">
        <v>752</v>
      </c>
      <c r="CF118" t="s">
        <v>1143</v>
      </c>
      <c r="CG118" t="s">
        <v>962</v>
      </c>
    </row>
    <row r="119" spans="4:85" x14ac:dyDescent="0.25">
      <c r="D119">
        <v>11</v>
      </c>
      <c r="E119" t="s">
        <v>555</v>
      </c>
      <c r="BL119" s="58"/>
      <c r="BM119" s="58"/>
      <c r="BN119" s="59" t="s">
        <v>316</v>
      </c>
      <c r="BO119" s="59">
        <v>0.1</v>
      </c>
      <c r="BP119" s="61" t="s">
        <v>367</v>
      </c>
      <c r="BQ119" s="61">
        <v>0.25</v>
      </c>
      <c r="BR119" s="63" t="s">
        <v>265</v>
      </c>
      <c r="BS119" s="63">
        <v>0.1</v>
      </c>
      <c r="BU119" s="61" t="s">
        <v>372</v>
      </c>
      <c r="BV119" s="61">
        <v>0.1</v>
      </c>
      <c r="BX119" s="122">
        <f t="shared" si="2"/>
        <v>3</v>
      </c>
      <c r="BY119" s="59" t="str">
        <f t="shared" si="3"/>
        <v>3AP\</v>
      </c>
      <c r="BZ119" s="59">
        <v>0.1</v>
      </c>
      <c r="CE119" t="s">
        <v>753</v>
      </c>
      <c r="CF119" t="s">
        <v>1144</v>
      </c>
      <c r="CG119" t="s">
        <v>963</v>
      </c>
    </row>
    <row r="120" spans="4:85" x14ac:dyDescent="0.25">
      <c r="D120">
        <v>11</v>
      </c>
      <c r="E120" t="s">
        <v>556</v>
      </c>
      <c r="BL120" s="58"/>
      <c r="BM120" s="58"/>
      <c r="BN120" s="59" t="s">
        <v>1289</v>
      </c>
      <c r="BO120" s="59">
        <v>0.15</v>
      </c>
      <c r="BP120" s="61" t="s">
        <v>369</v>
      </c>
      <c r="BQ120" s="61">
        <v>0.3</v>
      </c>
      <c r="BR120" s="63" t="s">
        <v>266</v>
      </c>
      <c r="BS120" s="63">
        <v>0.1</v>
      </c>
      <c r="BU120" s="61" t="s">
        <v>374</v>
      </c>
      <c r="BV120" s="61">
        <v>0.1</v>
      </c>
      <c r="BX120" s="122">
        <f t="shared" si="2"/>
        <v>5</v>
      </c>
      <c r="BY120" s="59" t="str">
        <f t="shared" si="3"/>
        <v>5SF+FB</v>
      </c>
      <c r="BZ120" s="59">
        <v>0.15</v>
      </c>
      <c r="CE120" t="s">
        <v>754</v>
      </c>
      <c r="CF120" t="s">
        <v>1145</v>
      </c>
      <c r="CG120" t="s">
        <v>964</v>
      </c>
    </row>
    <row r="121" spans="4:85" x14ac:dyDescent="0.25">
      <c r="BL121" s="58"/>
      <c r="BM121" s="58"/>
      <c r="BN121" s="59" t="s">
        <v>1290</v>
      </c>
      <c r="BO121" s="59">
        <v>1.5</v>
      </c>
      <c r="BP121" s="61" t="s">
        <v>371</v>
      </c>
      <c r="BQ121" s="61">
        <v>0.3</v>
      </c>
      <c r="BR121" s="63" t="s">
        <v>267</v>
      </c>
      <c r="BS121" s="63">
        <v>0.1</v>
      </c>
      <c r="BU121" s="61" t="s">
        <v>570</v>
      </c>
      <c r="BV121" s="61">
        <v>0.45</v>
      </c>
      <c r="BX121" s="122">
        <f t="shared" si="2"/>
        <v>4</v>
      </c>
      <c r="BY121" s="59" t="str">
        <f t="shared" si="3"/>
        <v>4Px1P</v>
      </c>
      <c r="BZ121" s="59">
        <v>1.5</v>
      </c>
      <c r="CE121" t="s">
        <v>755</v>
      </c>
      <c r="CF121" t="s">
        <v>1146</v>
      </c>
      <c r="CG121" t="s">
        <v>965</v>
      </c>
    </row>
    <row r="122" spans="4:85" x14ac:dyDescent="0.25">
      <c r="BL122" s="58"/>
      <c r="BM122" s="58"/>
      <c r="BN122" s="59" t="s">
        <v>1292</v>
      </c>
      <c r="BO122" s="59">
        <v>0.3</v>
      </c>
      <c r="BP122" s="61" t="s">
        <v>373</v>
      </c>
      <c r="BQ122" s="61">
        <v>0.35</v>
      </c>
      <c r="BR122" s="63" t="s">
        <v>268</v>
      </c>
      <c r="BS122" s="63">
        <v>0.2</v>
      </c>
      <c r="BU122" s="61" t="s">
        <v>376</v>
      </c>
      <c r="BV122" s="61">
        <v>0.05</v>
      </c>
      <c r="BX122" s="122">
        <f t="shared" si="2"/>
        <v>4</v>
      </c>
      <c r="BY122" s="59" t="str">
        <f t="shared" si="3"/>
        <v>4SiF1</v>
      </c>
      <c r="BZ122" s="59">
        <v>0.3</v>
      </c>
      <c r="CE122" t="s">
        <v>756</v>
      </c>
      <c r="CF122" t="s">
        <v>1147</v>
      </c>
      <c r="CG122" t="s">
        <v>966</v>
      </c>
    </row>
    <row r="123" spans="4:85" x14ac:dyDescent="0.25">
      <c r="D123">
        <v>12</v>
      </c>
      <c r="E123" t="s">
        <v>18</v>
      </c>
      <c r="BL123" s="58"/>
      <c r="BM123" s="58"/>
      <c r="BN123" s="59" t="s">
        <v>1402</v>
      </c>
      <c r="BO123" s="59">
        <v>1.8</v>
      </c>
      <c r="BP123" s="61" t="s">
        <v>569</v>
      </c>
      <c r="BQ123" s="61">
        <v>0.6</v>
      </c>
      <c r="BR123" s="63" t="s">
        <v>269</v>
      </c>
      <c r="BS123" s="63">
        <v>0.1</v>
      </c>
      <c r="BU123" s="61" t="s">
        <v>378</v>
      </c>
      <c r="BV123" s="61">
        <v>0.15</v>
      </c>
      <c r="BX123" s="122">
        <f t="shared" si="2"/>
        <v>4</v>
      </c>
      <c r="BY123" s="59" t="str">
        <f t="shared" si="3"/>
        <v>41P1P</v>
      </c>
      <c r="BZ123" s="59"/>
      <c r="CE123" t="s">
        <v>757</v>
      </c>
      <c r="CF123" t="s">
        <v>1148</v>
      </c>
      <c r="CG123" t="s">
        <v>967</v>
      </c>
    </row>
    <row r="124" spans="4:85" x14ac:dyDescent="0.25">
      <c r="D124">
        <v>12</v>
      </c>
      <c r="E124" t="s">
        <v>1623</v>
      </c>
      <c r="BL124" s="58"/>
      <c r="BM124" s="58"/>
      <c r="BN124" s="59"/>
      <c r="BO124" s="59"/>
      <c r="BP124" s="61" t="s">
        <v>375</v>
      </c>
      <c r="BQ124" s="61">
        <v>0.2</v>
      </c>
      <c r="BR124" s="63" t="s">
        <v>1279</v>
      </c>
      <c r="BS124" s="63">
        <v>0.1</v>
      </c>
      <c r="BU124" s="61" t="s">
        <v>380</v>
      </c>
      <c r="BV124" s="61">
        <v>0.1</v>
      </c>
      <c r="BX124" s="122"/>
      <c r="BY124" s="59"/>
      <c r="BZ124" s="59"/>
      <c r="CE124" t="s">
        <v>758</v>
      </c>
      <c r="CF124" t="s">
        <v>1149</v>
      </c>
      <c r="CG124" t="s">
        <v>968</v>
      </c>
    </row>
    <row r="125" spans="4:85" x14ac:dyDescent="0.25">
      <c r="D125">
        <v>12</v>
      </c>
      <c r="E125" t="s">
        <v>554</v>
      </c>
      <c r="BL125" s="58"/>
      <c r="BM125" s="58"/>
      <c r="BN125" s="59"/>
      <c r="BO125" s="59"/>
      <c r="BP125" s="61" t="s">
        <v>377</v>
      </c>
      <c r="BQ125" s="61">
        <v>0.25</v>
      </c>
      <c r="BR125" s="63" t="s">
        <v>270</v>
      </c>
      <c r="BS125" s="63">
        <v>0.25</v>
      </c>
      <c r="BU125" s="61" t="s">
        <v>382</v>
      </c>
      <c r="BV125" s="61">
        <v>0.1</v>
      </c>
      <c r="BX125" s="122"/>
      <c r="BY125" s="59"/>
      <c r="BZ125" s="59"/>
      <c r="CE125" t="s">
        <v>759</v>
      </c>
      <c r="CF125" t="s">
        <v>1150</v>
      </c>
      <c r="CG125" t="s">
        <v>969</v>
      </c>
    </row>
    <row r="126" spans="4:85" x14ac:dyDescent="0.25">
      <c r="D126">
        <v>12</v>
      </c>
      <c r="E126" t="s">
        <v>576</v>
      </c>
      <c r="BL126" s="58"/>
      <c r="BM126" s="58"/>
      <c r="BN126" s="59"/>
      <c r="BO126" s="59"/>
      <c r="BP126" s="61" t="s">
        <v>379</v>
      </c>
      <c r="BQ126" s="61">
        <v>0.3</v>
      </c>
      <c r="BR126" s="63" t="s">
        <v>271</v>
      </c>
      <c r="BS126" s="63">
        <v>0.05</v>
      </c>
      <c r="BU126" s="61" t="s">
        <v>1278</v>
      </c>
      <c r="BV126" s="61">
        <v>0.2</v>
      </c>
      <c r="BX126" s="122"/>
      <c r="BY126" s="59"/>
      <c r="BZ126" s="59"/>
      <c r="CE126" t="s">
        <v>760</v>
      </c>
      <c r="CF126" t="s">
        <v>1236</v>
      </c>
      <c r="CG126" t="s">
        <v>970</v>
      </c>
    </row>
    <row r="127" spans="4:85" x14ac:dyDescent="0.25">
      <c r="D127">
        <v>12</v>
      </c>
      <c r="E127" t="s">
        <v>555</v>
      </c>
      <c r="BL127" s="58"/>
      <c r="BM127" s="58"/>
      <c r="BN127" s="59"/>
      <c r="BO127" s="59"/>
      <c r="BP127" s="61" t="s">
        <v>381</v>
      </c>
      <c r="BQ127" s="61">
        <v>0.3</v>
      </c>
      <c r="BR127" s="63" t="s">
        <v>272</v>
      </c>
      <c r="BS127" s="63">
        <v>0.15</v>
      </c>
      <c r="BU127" s="61" t="s">
        <v>384</v>
      </c>
      <c r="BV127" s="61">
        <v>0.15</v>
      </c>
      <c r="BX127" s="122"/>
      <c r="BY127" s="59"/>
      <c r="BZ127" s="59"/>
      <c r="CE127" t="s">
        <v>761</v>
      </c>
      <c r="CF127" t="s">
        <v>1151</v>
      </c>
      <c r="CG127" t="s">
        <v>971</v>
      </c>
    </row>
    <row r="128" spans="4:85" x14ac:dyDescent="0.25">
      <c r="D128">
        <v>12</v>
      </c>
      <c r="E128" t="s">
        <v>556</v>
      </c>
      <c r="BL128" s="58"/>
      <c r="BM128" s="58"/>
      <c r="BN128" s="59"/>
      <c r="BO128" s="59"/>
      <c r="BP128" s="61" t="s">
        <v>1314</v>
      </c>
      <c r="BQ128" s="61">
        <v>0.35</v>
      </c>
      <c r="BR128" s="63" t="s">
        <v>273</v>
      </c>
      <c r="BS128" s="63">
        <v>0.2</v>
      </c>
      <c r="BU128" s="61" t="s">
        <v>572</v>
      </c>
      <c r="BV128" s="61">
        <v>0.15</v>
      </c>
      <c r="BX128" s="3"/>
      <c r="CE128" t="s">
        <v>762</v>
      </c>
      <c r="CF128" t="s">
        <v>1152</v>
      </c>
      <c r="CG128" t="s">
        <v>972</v>
      </c>
    </row>
    <row r="129" spans="5:85" x14ac:dyDescent="0.25">
      <c r="BL129" s="58"/>
      <c r="BM129" s="58"/>
      <c r="BN129" s="59"/>
      <c r="BO129" s="59"/>
      <c r="BP129" s="61" t="s">
        <v>383</v>
      </c>
      <c r="BQ129" s="61">
        <v>0.35</v>
      </c>
      <c r="BR129" s="63" t="s">
        <v>1291</v>
      </c>
      <c r="BS129" s="63">
        <v>0.95</v>
      </c>
      <c r="BU129" s="61" t="s">
        <v>386</v>
      </c>
      <c r="BV129" s="61">
        <v>0.2</v>
      </c>
      <c r="CE129" t="s">
        <v>763</v>
      </c>
      <c r="CF129" t="s">
        <v>1153</v>
      </c>
      <c r="CG129" t="s">
        <v>973</v>
      </c>
    </row>
    <row r="130" spans="5:85" x14ac:dyDescent="0.25">
      <c r="BL130" s="58"/>
      <c r="BM130" s="58"/>
      <c r="BN130" s="59"/>
      <c r="BO130" s="59"/>
      <c r="BP130" s="61" t="s">
        <v>571</v>
      </c>
      <c r="BQ130" s="61">
        <v>0.4</v>
      </c>
      <c r="BR130" s="63" t="s">
        <v>1294</v>
      </c>
      <c r="BS130" s="63">
        <v>0.2</v>
      </c>
      <c r="BU130" s="61" t="s">
        <v>388</v>
      </c>
      <c r="BV130" s="61">
        <v>0.15</v>
      </c>
      <c r="CE130" t="s">
        <v>764</v>
      </c>
      <c r="CF130" t="s">
        <v>1154</v>
      </c>
      <c r="CG130" t="s">
        <v>974</v>
      </c>
    </row>
    <row r="131" spans="5:85" x14ac:dyDescent="0.25">
      <c r="BL131" s="58"/>
      <c r="BM131" s="58"/>
      <c r="BN131" s="59"/>
      <c r="BO131" s="59"/>
      <c r="BP131" s="61" t="s">
        <v>385</v>
      </c>
      <c r="BQ131" s="61">
        <v>0.4</v>
      </c>
      <c r="BR131" s="63"/>
      <c r="BS131" s="63"/>
      <c r="BU131" s="61" t="s">
        <v>390</v>
      </c>
      <c r="BV131" s="61">
        <v>0.2</v>
      </c>
      <c r="CE131" t="s">
        <v>765</v>
      </c>
      <c r="CF131" t="s">
        <v>1155</v>
      </c>
      <c r="CG131" t="s">
        <v>975</v>
      </c>
    </row>
    <row r="132" spans="5:85" x14ac:dyDescent="0.25">
      <c r="BL132" s="58"/>
      <c r="BM132" s="58"/>
      <c r="BN132" s="59"/>
      <c r="BO132" s="59"/>
      <c r="BP132" s="61" t="s">
        <v>387</v>
      </c>
      <c r="BQ132" s="61">
        <v>0.45</v>
      </c>
      <c r="BR132" s="63"/>
      <c r="BS132" s="63"/>
      <c r="BU132" s="61" t="s">
        <v>392</v>
      </c>
      <c r="BV132" s="61">
        <v>0.2</v>
      </c>
      <c r="CE132" t="s">
        <v>766</v>
      </c>
      <c r="CF132" t="s">
        <v>1156</v>
      </c>
      <c r="CG132" t="s">
        <v>976</v>
      </c>
    </row>
    <row r="133" spans="5:85" x14ac:dyDescent="0.25">
      <c r="BL133" s="58"/>
      <c r="BM133" s="58"/>
      <c r="BN133" s="59"/>
      <c r="BO133" s="59"/>
      <c r="BP133" s="61" t="s">
        <v>389</v>
      </c>
      <c r="BQ133" s="61">
        <v>0.45</v>
      </c>
      <c r="BR133" s="63"/>
      <c r="BS133" s="63"/>
      <c r="BU133" s="61" t="s">
        <v>394</v>
      </c>
      <c r="BV133" s="61">
        <v>0.3</v>
      </c>
      <c r="CE133" t="s">
        <v>767</v>
      </c>
      <c r="CF133" t="s">
        <v>1157</v>
      </c>
      <c r="CG133" t="s">
        <v>977</v>
      </c>
    </row>
    <row r="134" spans="5:85" x14ac:dyDescent="0.25">
      <c r="BL134" s="58"/>
      <c r="BM134" s="58"/>
      <c r="BN134" s="59"/>
      <c r="BO134" s="59"/>
      <c r="BP134" s="61" t="s">
        <v>391</v>
      </c>
      <c r="BQ134" s="61">
        <v>0.45</v>
      </c>
      <c r="BR134" s="63"/>
      <c r="BS134" s="63"/>
      <c r="BU134" s="61" t="s">
        <v>396</v>
      </c>
      <c r="BV134" s="61">
        <v>0.5</v>
      </c>
      <c r="CE134" t="s">
        <v>768</v>
      </c>
      <c r="CF134" t="s">
        <v>1158</v>
      </c>
      <c r="CG134" t="s">
        <v>978</v>
      </c>
    </row>
    <row r="135" spans="5:85" x14ac:dyDescent="0.25">
      <c r="BL135" s="58"/>
      <c r="BM135" s="58"/>
      <c r="BN135" s="59"/>
      <c r="BO135" s="59"/>
      <c r="BP135" s="61" t="s">
        <v>393</v>
      </c>
      <c r="BQ135" s="61">
        <v>0.6</v>
      </c>
      <c r="BR135" s="63"/>
      <c r="BS135" s="63"/>
      <c r="BU135" s="61"/>
      <c r="BV135" s="61"/>
      <c r="CE135" t="s">
        <v>769</v>
      </c>
      <c r="CF135" t="s">
        <v>1159</v>
      </c>
      <c r="CG135" t="s">
        <v>979</v>
      </c>
    </row>
    <row r="136" spans="5:85" x14ac:dyDescent="0.25">
      <c r="BL136" s="58"/>
      <c r="BM136" s="58"/>
      <c r="BN136" s="59"/>
      <c r="BO136" s="59"/>
      <c r="BP136" s="61" t="s">
        <v>395</v>
      </c>
      <c r="BQ136" s="61">
        <v>1</v>
      </c>
      <c r="BR136" s="63"/>
      <c r="BS136" s="63"/>
      <c r="BU136" s="61"/>
      <c r="BV136" s="61"/>
      <c r="CE136" t="s">
        <v>770</v>
      </c>
      <c r="CF136" t="s">
        <v>1160</v>
      </c>
      <c r="CG136" t="s">
        <v>980</v>
      </c>
    </row>
    <row r="137" spans="5:85" x14ac:dyDescent="0.25">
      <c r="BK137" s="8">
        <v>5</v>
      </c>
      <c r="BL137" s="58"/>
      <c r="BM137" s="58"/>
      <c r="BN137" s="59" t="s">
        <v>317</v>
      </c>
      <c r="BO137" s="59">
        <v>0.1</v>
      </c>
      <c r="BP137" s="61"/>
      <c r="BQ137" s="61"/>
      <c r="BR137" s="63" t="s">
        <v>317</v>
      </c>
      <c r="BS137" s="63">
        <v>0.1</v>
      </c>
      <c r="BU137" s="61"/>
      <c r="BV137" s="61"/>
      <c r="CE137" t="s">
        <v>771</v>
      </c>
      <c r="CF137" t="s">
        <v>1161</v>
      </c>
      <c r="CG137" t="s">
        <v>981</v>
      </c>
    </row>
    <row r="138" spans="5:85" x14ac:dyDescent="0.25">
      <c r="BL138" s="58"/>
      <c r="BM138" s="58"/>
      <c r="BN138" s="59" t="s">
        <v>318</v>
      </c>
      <c r="BO138" s="59">
        <v>0.15</v>
      </c>
      <c r="BP138" s="61" t="s">
        <v>1406</v>
      </c>
      <c r="BQ138" s="61">
        <v>0.05</v>
      </c>
      <c r="BR138" s="63" t="s">
        <v>318</v>
      </c>
      <c r="BS138" s="63">
        <v>0.15</v>
      </c>
      <c r="BU138" s="61"/>
      <c r="BV138" s="61"/>
      <c r="CE138" t="s">
        <v>772</v>
      </c>
      <c r="CF138" t="s">
        <v>1162</v>
      </c>
      <c r="CG138" t="s">
        <v>982</v>
      </c>
    </row>
    <row r="139" spans="5:85" x14ac:dyDescent="0.25">
      <c r="BL139" s="58"/>
      <c r="BM139" s="58"/>
      <c r="BN139" s="59" t="s">
        <v>320</v>
      </c>
      <c r="BO139" s="59">
        <v>0.2</v>
      </c>
      <c r="BP139" s="61" t="s">
        <v>1407</v>
      </c>
      <c r="BQ139" s="61">
        <v>0.1</v>
      </c>
      <c r="BR139" s="63" t="s">
        <v>320</v>
      </c>
      <c r="BS139" s="63">
        <v>0.2</v>
      </c>
      <c r="BU139" s="61"/>
      <c r="BV139" s="61"/>
      <c r="CE139" t="s">
        <v>773</v>
      </c>
      <c r="CF139" t="s">
        <v>1163</v>
      </c>
      <c r="CG139" t="s">
        <v>983</v>
      </c>
    </row>
    <row r="140" spans="5:85" x14ac:dyDescent="0.25">
      <c r="E140" t="s">
        <v>1624</v>
      </c>
      <c r="BL140" s="58"/>
      <c r="BM140" s="58"/>
      <c r="BN140" s="59" t="s">
        <v>322</v>
      </c>
      <c r="BO140" s="59">
        <v>0.25</v>
      </c>
      <c r="BP140" s="61" t="s">
        <v>1408</v>
      </c>
      <c r="BQ140" s="61">
        <v>0.05</v>
      </c>
      <c r="BR140" s="63" t="s">
        <v>322</v>
      </c>
      <c r="BS140" s="63">
        <v>0.25</v>
      </c>
      <c r="BU140" s="61"/>
      <c r="BV140" s="61"/>
      <c r="CE140" t="s">
        <v>774</v>
      </c>
      <c r="CF140" t="s">
        <v>1255</v>
      </c>
      <c r="CG140" t="s">
        <v>984</v>
      </c>
    </row>
    <row r="141" spans="5:85" x14ac:dyDescent="0.25">
      <c r="E141" t="s">
        <v>554</v>
      </c>
      <c r="BL141" s="58"/>
      <c r="BM141" s="58"/>
      <c r="BN141" s="59" t="s">
        <v>323</v>
      </c>
      <c r="BO141" s="59">
        <v>0.45</v>
      </c>
      <c r="BP141" s="61" t="s">
        <v>1409</v>
      </c>
      <c r="BQ141" s="61">
        <v>0.1</v>
      </c>
      <c r="BR141" s="63" t="s">
        <v>323</v>
      </c>
      <c r="BS141" s="63">
        <v>0.45</v>
      </c>
      <c r="BU141" s="61"/>
      <c r="BV141" s="61"/>
      <c r="CE141" t="s">
        <v>775</v>
      </c>
      <c r="CF141" t="s">
        <v>1164</v>
      </c>
      <c r="CG141" t="s">
        <v>985</v>
      </c>
    </row>
    <row r="142" spans="5:85" x14ac:dyDescent="0.25">
      <c r="E142" t="s">
        <v>576</v>
      </c>
      <c r="BL142" s="58"/>
      <c r="BM142" s="58"/>
      <c r="BN142" s="59" t="s">
        <v>326</v>
      </c>
      <c r="BO142" s="59">
        <v>0.4</v>
      </c>
      <c r="BP142" s="61" t="s">
        <v>1410</v>
      </c>
      <c r="BQ142" s="61">
        <v>0.15</v>
      </c>
      <c r="BR142" s="63" t="s">
        <v>326</v>
      </c>
      <c r="BS142" s="63">
        <v>0.4</v>
      </c>
      <c r="BU142" s="61"/>
      <c r="BV142" s="61"/>
      <c r="CE142" t="s">
        <v>776</v>
      </c>
      <c r="CF142" t="s">
        <v>1165</v>
      </c>
      <c r="CG142" t="s">
        <v>986</v>
      </c>
    </row>
    <row r="143" spans="5:85" x14ac:dyDescent="0.25">
      <c r="E143" t="s">
        <v>555</v>
      </c>
      <c r="BL143" s="58"/>
      <c r="BM143" s="58"/>
      <c r="BN143" s="59" t="s">
        <v>328</v>
      </c>
      <c r="BO143" s="59">
        <v>0.5</v>
      </c>
      <c r="BP143" s="61" t="s">
        <v>1411</v>
      </c>
      <c r="BQ143" s="61">
        <v>0.15</v>
      </c>
      <c r="BR143" s="63" t="s">
        <v>328</v>
      </c>
      <c r="BS143" s="63">
        <v>0.5</v>
      </c>
      <c r="CE143" t="s">
        <v>777</v>
      </c>
      <c r="CF143" t="s">
        <v>1166</v>
      </c>
      <c r="CG143" t="s">
        <v>987</v>
      </c>
    </row>
    <row r="144" spans="5:85" x14ac:dyDescent="0.25">
      <c r="E144" t="s">
        <v>556</v>
      </c>
      <c r="BL144" s="58"/>
      <c r="BM144" s="58"/>
      <c r="BN144" s="60" t="s">
        <v>330</v>
      </c>
      <c r="BO144" s="59">
        <v>0.25</v>
      </c>
      <c r="BP144" s="61" t="s">
        <v>1412</v>
      </c>
      <c r="BQ144" s="61">
        <v>0.2</v>
      </c>
      <c r="BR144" s="63" t="s">
        <v>330</v>
      </c>
      <c r="BS144" s="63">
        <v>0.25</v>
      </c>
      <c r="CE144" t="s">
        <v>778</v>
      </c>
      <c r="CF144" t="s">
        <v>1237</v>
      </c>
      <c r="CG144" t="s">
        <v>988</v>
      </c>
    </row>
    <row r="145" spans="5:85" x14ac:dyDescent="0.25">
      <c r="E145" t="s">
        <v>1623</v>
      </c>
      <c r="BL145" s="58"/>
      <c r="BM145" s="58"/>
      <c r="BN145" s="59" t="s">
        <v>332</v>
      </c>
      <c r="BO145" s="59">
        <v>0.35</v>
      </c>
      <c r="BP145" s="61" t="s">
        <v>1413</v>
      </c>
      <c r="BQ145" s="61">
        <v>0.05</v>
      </c>
      <c r="BR145" s="63" t="s">
        <v>332</v>
      </c>
      <c r="BS145" s="63">
        <v>0.35</v>
      </c>
      <c r="CE145" t="s">
        <v>779</v>
      </c>
      <c r="CF145" t="s">
        <v>1238</v>
      </c>
      <c r="CG145" t="s">
        <v>989</v>
      </c>
    </row>
    <row r="146" spans="5:85" x14ac:dyDescent="0.25">
      <c r="E146" t="s">
        <v>1629</v>
      </c>
      <c r="BL146" s="58"/>
      <c r="BM146" s="58"/>
      <c r="BN146" s="59" t="s">
        <v>334</v>
      </c>
      <c r="BO146" s="59">
        <v>0.45</v>
      </c>
      <c r="BP146" s="61" t="s">
        <v>1414</v>
      </c>
      <c r="BQ146" s="61">
        <v>0.1</v>
      </c>
      <c r="BR146" s="63" t="s">
        <v>334</v>
      </c>
      <c r="BS146" s="63">
        <v>0.45</v>
      </c>
      <c r="CE146" t="s">
        <v>780</v>
      </c>
      <c r="CF146" t="s">
        <v>1167</v>
      </c>
      <c r="CG146" t="s">
        <v>990</v>
      </c>
    </row>
    <row r="147" spans="5:85" x14ac:dyDescent="0.25">
      <c r="E147" t="s">
        <v>558</v>
      </c>
      <c r="BL147" s="58"/>
      <c r="BM147" s="58"/>
      <c r="BN147" s="59" t="s">
        <v>336</v>
      </c>
      <c r="BO147" s="59">
        <v>0.55000000000000004</v>
      </c>
      <c r="BP147" s="61" t="s">
        <v>1415</v>
      </c>
      <c r="BQ147" s="61">
        <v>0.1</v>
      </c>
      <c r="BR147" s="63" t="s">
        <v>336</v>
      </c>
      <c r="BS147" s="63">
        <v>0.55000000000000004</v>
      </c>
      <c r="CE147" t="s">
        <v>781</v>
      </c>
      <c r="CF147" t="s">
        <v>1168</v>
      </c>
      <c r="CG147" t="s">
        <v>991</v>
      </c>
    </row>
    <row r="148" spans="5:85" x14ac:dyDescent="0.25">
      <c r="E148" t="s">
        <v>557</v>
      </c>
      <c r="BL148" s="58"/>
      <c r="BM148" s="58"/>
      <c r="BN148" s="59" t="s">
        <v>338</v>
      </c>
      <c r="BO148" s="59">
        <v>0.65</v>
      </c>
      <c r="BP148" s="61" t="s">
        <v>1416</v>
      </c>
      <c r="BQ148" s="61">
        <v>0.3</v>
      </c>
      <c r="BR148" s="63" t="s">
        <v>338</v>
      </c>
      <c r="BS148" s="63">
        <v>0.65</v>
      </c>
      <c r="CE148" t="s">
        <v>782</v>
      </c>
      <c r="CF148" t="s">
        <v>1169</v>
      </c>
      <c r="CG148" t="s">
        <v>992</v>
      </c>
    </row>
    <row r="149" spans="5:85" x14ac:dyDescent="0.25">
      <c r="E149" t="s">
        <v>1627</v>
      </c>
      <c r="BL149" s="58"/>
      <c r="BM149" s="58"/>
      <c r="BN149" s="59" t="s">
        <v>340</v>
      </c>
      <c r="BO149" s="59">
        <v>0.1</v>
      </c>
      <c r="BP149" s="61" t="s">
        <v>1417</v>
      </c>
      <c r="BQ149" s="61">
        <v>0.1</v>
      </c>
      <c r="BR149" s="63" t="s">
        <v>340</v>
      </c>
      <c r="BS149" s="63">
        <v>0.1</v>
      </c>
      <c r="CE149" t="s">
        <v>783</v>
      </c>
      <c r="CF149" t="s">
        <v>1170</v>
      </c>
      <c r="CG149" t="s">
        <v>993</v>
      </c>
    </row>
    <row r="150" spans="5:85" x14ac:dyDescent="0.25">
      <c r="E150" t="s">
        <v>1626</v>
      </c>
      <c r="BL150" s="58"/>
      <c r="BM150" s="58"/>
      <c r="BN150" s="59" t="s">
        <v>342</v>
      </c>
      <c r="BO150" s="59">
        <v>0.15</v>
      </c>
      <c r="BP150" s="61" t="s">
        <v>1418</v>
      </c>
      <c r="BQ150" s="61">
        <v>0.1</v>
      </c>
      <c r="BR150" s="63" t="s">
        <v>342</v>
      </c>
      <c r="BS150" s="63">
        <v>0.15</v>
      </c>
      <c r="CE150" t="s">
        <v>784</v>
      </c>
      <c r="CF150" t="s">
        <v>1171</v>
      </c>
      <c r="CG150" t="s">
        <v>994</v>
      </c>
    </row>
    <row r="151" spans="5:85" x14ac:dyDescent="0.25">
      <c r="E151" t="s">
        <v>17</v>
      </c>
      <c r="BL151" s="58"/>
      <c r="BM151" s="58"/>
      <c r="BN151" s="59" t="s">
        <v>344</v>
      </c>
      <c r="BO151" s="59">
        <v>0.05</v>
      </c>
      <c r="BP151" s="61" t="s">
        <v>1419</v>
      </c>
      <c r="BQ151" s="61">
        <v>0.15</v>
      </c>
      <c r="BR151" s="63" t="s">
        <v>344</v>
      </c>
      <c r="BS151" s="63">
        <v>0.05</v>
      </c>
      <c r="CE151" t="s">
        <v>785</v>
      </c>
      <c r="CF151" t="s">
        <v>1172</v>
      </c>
      <c r="CG151" t="s">
        <v>995</v>
      </c>
    </row>
    <row r="152" spans="5:85" x14ac:dyDescent="0.25">
      <c r="E152" t="s">
        <v>18</v>
      </c>
      <c r="BL152" s="58"/>
      <c r="BM152" s="58"/>
      <c r="BN152" s="59" t="s">
        <v>346</v>
      </c>
      <c r="BO152" s="59">
        <v>0.1</v>
      </c>
      <c r="BP152" s="61" t="s">
        <v>1420</v>
      </c>
      <c r="BQ152" s="61">
        <v>0.2</v>
      </c>
      <c r="BR152" s="63" t="s">
        <v>346</v>
      </c>
      <c r="BS152" s="63">
        <v>0.1</v>
      </c>
      <c r="CE152" t="s">
        <v>786</v>
      </c>
      <c r="CF152" t="s">
        <v>1239</v>
      </c>
      <c r="CG152" t="s">
        <v>996</v>
      </c>
    </row>
    <row r="153" spans="5:85" x14ac:dyDescent="0.25">
      <c r="E153" t="s">
        <v>1625</v>
      </c>
      <c r="BL153" s="58"/>
      <c r="BM153" s="58"/>
      <c r="BN153" s="59" t="s">
        <v>348</v>
      </c>
      <c r="BO153" s="59">
        <v>0.2</v>
      </c>
      <c r="BP153" s="61" t="s">
        <v>1421</v>
      </c>
      <c r="BQ153" s="61">
        <v>0.25</v>
      </c>
      <c r="BR153" s="63" t="s">
        <v>348</v>
      </c>
      <c r="BS153" s="63">
        <v>0.2</v>
      </c>
      <c r="CE153" t="s">
        <v>787</v>
      </c>
      <c r="CF153" t="s">
        <v>1173</v>
      </c>
      <c r="CG153" t="s">
        <v>997</v>
      </c>
    </row>
    <row r="154" spans="5:85" x14ac:dyDescent="0.25">
      <c r="BL154" s="58"/>
      <c r="BM154" s="58"/>
      <c r="BN154" s="59" t="s">
        <v>350</v>
      </c>
      <c r="BO154" s="59">
        <v>0.2</v>
      </c>
      <c r="BP154" s="61" t="s">
        <v>1422</v>
      </c>
      <c r="BQ154" s="61">
        <v>0.1</v>
      </c>
      <c r="BR154" s="63" t="s">
        <v>350</v>
      </c>
      <c r="BS154" s="63">
        <v>0.2</v>
      </c>
      <c r="CE154" t="s">
        <v>788</v>
      </c>
      <c r="CF154" t="s">
        <v>1174</v>
      </c>
      <c r="CG154" t="s">
        <v>998</v>
      </c>
    </row>
    <row r="155" spans="5:85" x14ac:dyDescent="0.25">
      <c r="BL155" s="58"/>
      <c r="BM155" s="58"/>
      <c r="BN155" s="59" t="s">
        <v>351</v>
      </c>
      <c r="BO155" s="59">
        <v>0.2</v>
      </c>
      <c r="BP155" s="61" t="s">
        <v>1423</v>
      </c>
      <c r="BQ155" s="61">
        <v>0.15</v>
      </c>
      <c r="BR155" s="63" t="s">
        <v>351</v>
      </c>
      <c r="BS155" s="63">
        <v>0.2</v>
      </c>
      <c r="CE155" t="s">
        <v>789</v>
      </c>
      <c r="CF155" t="s">
        <v>1175</v>
      </c>
      <c r="CG155" t="s">
        <v>999</v>
      </c>
    </row>
    <row r="156" spans="5:85" x14ac:dyDescent="0.25">
      <c r="BL156" s="58"/>
      <c r="BM156" s="58"/>
      <c r="BN156" s="59" t="s">
        <v>353</v>
      </c>
      <c r="BO156" s="59">
        <v>0.3</v>
      </c>
      <c r="BP156" s="61" t="s">
        <v>1424</v>
      </c>
      <c r="BQ156" s="61">
        <v>0.2</v>
      </c>
      <c r="BR156" s="63" t="s">
        <v>353</v>
      </c>
      <c r="BS156" s="63">
        <v>0.3</v>
      </c>
      <c r="CE156" t="s">
        <v>790</v>
      </c>
      <c r="CF156" t="s">
        <v>1176</v>
      </c>
      <c r="CG156" t="s">
        <v>1000</v>
      </c>
    </row>
    <row r="157" spans="5:85" x14ac:dyDescent="0.25">
      <c r="BL157" s="58"/>
      <c r="BM157" s="58"/>
      <c r="BN157" s="59" t="s">
        <v>355</v>
      </c>
      <c r="BO157" s="59">
        <v>0.15</v>
      </c>
      <c r="BP157" s="61" t="s">
        <v>1425</v>
      </c>
      <c r="BQ157" s="61">
        <v>0.25</v>
      </c>
      <c r="BR157" s="63" t="s">
        <v>355</v>
      </c>
      <c r="BS157" s="63">
        <v>0.15</v>
      </c>
      <c r="CE157" t="s">
        <v>791</v>
      </c>
      <c r="CF157" t="s">
        <v>1177</v>
      </c>
      <c r="CG157" t="s">
        <v>1001</v>
      </c>
    </row>
    <row r="158" spans="5:85" x14ac:dyDescent="0.25">
      <c r="BL158" s="58"/>
      <c r="BM158" s="58"/>
      <c r="BN158" s="59" t="s">
        <v>357</v>
      </c>
      <c r="BO158" s="59">
        <v>0.15</v>
      </c>
      <c r="BP158" s="61" t="s">
        <v>1426</v>
      </c>
      <c r="BQ158" s="61">
        <v>0.45</v>
      </c>
      <c r="BR158" s="63" t="s">
        <v>357</v>
      </c>
      <c r="BS158" s="63">
        <v>0.15</v>
      </c>
      <c r="CE158" t="s">
        <v>792</v>
      </c>
      <c r="CF158" t="s">
        <v>1256</v>
      </c>
      <c r="CG158" t="s">
        <v>1002</v>
      </c>
    </row>
    <row r="159" spans="5:85" x14ac:dyDescent="0.25">
      <c r="BL159" s="58"/>
      <c r="BM159" s="58"/>
      <c r="BN159" s="59" t="s">
        <v>359</v>
      </c>
      <c r="BO159" s="59">
        <v>0.2</v>
      </c>
      <c r="BP159" s="61" t="s">
        <v>1427</v>
      </c>
      <c r="BQ159" s="61">
        <v>0.4</v>
      </c>
      <c r="BR159" s="63" t="s">
        <v>359</v>
      </c>
      <c r="BS159" s="63">
        <v>0.2</v>
      </c>
      <c r="CE159" t="s">
        <v>793</v>
      </c>
      <c r="CF159" t="s">
        <v>1178</v>
      </c>
      <c r="CG159" t="s">
        <v>1003</v>
      </c>
    </row>
    <row r="160" spans="5:85" x14ac:dyDescent="0.25">
      <c r="BL160" s="58"/>
      <c r="BM160" s="58"/>
      <c r="BN160" s="59" t="s">
        <v>361</v>
      </c>
      <c r="BO160" s="59">
        <v>0.15</v>
      </c>
      <c r="BP160" s="61" t="s">
        <v>1428</v>
      </c>
      <c r="BQ160" s="61">
        <v>0.5</v>
      </c>
      <c r="BR160" s="63" t="s">
        <v>361</v>
      </c>
      <c r="BS160" s="63">
        <v>0.15</v>
      </c>
      <c r="CE160" t="s">
        <v>794</v>
      </c>
      <c r="CF160" t="s">
        <v>1179</v>
      </c>
      <c r="CG160" t="s">
        <v>1004</v>
      </c>
    </row>
    <row r="161" spans="64:85" x14ac:dyDescent="0.25">
      <c r="BL161" s="58"/>
      <c r="BM161" s="58"/>
      <c r="BN161" s="59" t="s">
        <v>363</v>
      </c>
      <c r="BO161" s="59">
        <v>0.25</v>
      </c>
      <c r="BP161" s="61" t="s">
        <v>1429</v>
      </c>
      <c r="BQ161" s="61">
        <v>0.25</v>
      </c>
      <c r="BR161" s="63" t="s">
        <v>363</v>
      </c>
      <c r="BS161" s="63">
        <v>0.25</v>
      </c>
      <c r="CE161" t="s">
        <v>795</v>
      </c>
      <c r="CF161" t="s">
        <v>1180</v>
      </c>
      <c r="CG161" t="s">
        <v>1005</v>
      </c>
    </row>
    <row r="162" spans="64:85" x14ac:dyDescent="0.25">
      <c r="BL162" s="58"/>
      <c r="BM162" s="58"/>
      <c r="BN162" s="59" t="s">
        <v>365</v>
      </c>
      <c r="BO162" s="59">
        <v>0.25</v>
      </c>
      <c r="BP162" s="61" t="s">
        <v>1430</v>
      </c>
      <c r="BQ162" s="61">
        <v>0.35</v>
      </c>
      <c r="BR162" s="63" t="s">
        <v>365</v>
      </c>
      <c r="BS162" s="63">
        <v>0.25</v>
      </c>
      <c r="CE162" t="s">
        <v>796</v>
      </c>
      <c r="CF162" t="s">
        <v>1181</v>
      </c>
      <c r="CG162" t="s">
        <v>1006</v>
      </c>
    </row>
    <row r="163" spans="64:85" x14ac:dyDescent="0.25">
      <c r="BL163" s="58"/>
      <c r="BM163" s="58"/>
      <c r="BN163" s="59" t="s">
        <v>367</v>
      </c>
      <c r="BO163" s="59">
        <v>0.25</v>
      </c>
      <c r="BP163" s="61" t="s">
        <v>1431</v>
      </c>
      <c r="BQ163" s="61">
        <v>0.45</v>
      </c>
      <c r="BR163" s="63" t="s">
        <v>367</v>
      </c>
      <c r="BS163" s="63">
        <v>0.25</v>
      </c>
      <c r="CE163" t="s">
        <v>797</v>
      </c>
      <c r="CF163" t="s">
        <v>1257</v>
      </c>
      <c r="CG163" t="s">
        <v>1007</v>
      </c>
    </row>
    <row r="164" spans="64:85" x14ac:dyDescent="0.25">
      <c r="BL164" s="58"/>
      <c r="BM164" s="58"/>
      <c r="BN164" s="59" t="s">
        <v>369</v>
      </c>
      <c r="BO164" s="59">
        <v>0.3</v>
      </c>
      <c r="BP164" s="61" t="s">
        <v>1432</v>
      </c>
      <c r="BQ164" s="61">
        <v>0.55000000000000004</v>
      </c>
      <c r="BR164" s="63" t="s">
        <v>369</v>
      </c>
      <c r="BS164" s="63">
        <v>0.3</v>
      </c>
      <c r="CE164" t="s">
        <v>798</v>
      </c>
      <c r="CF164" t="s">
        <v>1182</v>
      </c>
      <c r="CG164" t="s">
        <v>1008</v>
      </c>
    </row>
    <row r="165" spans="64:85" x14ac:dyDescent="0.25">
      <c r="BL165" s="58"/>
      <c r="BM165" s="58"/>
      <c r="BN165" s="59" t="s">
        <v>371</v>
      </c>
      <c r="BO165" s="59">
        <v>0.3</v>
      </c>
      <c r="BP165" s="61" t="s">
        <v>1433</v>
      </c>
      <c r="BQ165" s="61">
        <v>0.65</v>
      </c>
      <c r="BR165" s="63" t="s">
        <v>371</v>
      </c>
      <c r="BS165" s="63">
        <v>0.3</v>
      </c>
      <c r="CE165" t="s">
        <v>799</v>
      </c>
      <c r="CF165" t="s">
        <v>1240</v>
      </c>
      <c r="CG165" t="s">
        <v>1009</v>
      </c>
    </row>
    <row r="166" spans="64:85" x14ac:dyDescent="0.25">
      <c r="BL166" s="58"/>
      <c r="BM166" s="58"/>
      <c r="BN166" s="59" t="s">
        <v>373</v>
      </c>
      <c r="BO166" s="59">
        <v>0.35</v>
      </c>
      <c r="BP166" s="61" t="s">
        <v>1434</v>
      </c>
      <c r="BQ166" s="61">
        <v>0.1</v>
      </c>
      <c r="BR166" s="63" t="s">
        <v>373</v>
      </c>
      <c r="BS166" s="63">
        <v>0.35</v>
      </c>
      <c r="CE166" t="s">
        <v>800</v>
      </c>
      <c r="CF166" t="s">
        <v>1241</v>
      </c>
      <c r="CG166" t="s">
        <v>1010</v>
      </c>
    </row>
    <row r="167" spans="64:85" x14ac:dyDescent="0.25">
      <c r="BL167" s="58"/>
      <c r="BM167" s="58"/>
      <c r="BN167" s="59" t="s">
        <v>569</v>
      </c>
      <c r="BO167" s="59">
        <v>0.6</v>
      </c>
      <c r="BP167" s="61" t="s">
        <v>1435</v>
      </c>
      <c r="BQ167" s="61">
        <v>0.15</v>
      </c>
      <c r="BR167" s="63" t="s">
        <v>569</v>
      </c>
      <c r="BS167" s="63">
        <v>0.6</v>
      </c>
      <c r="CE167" t="s">
        <v>801</v>
      </c>
      <c r="CF167" t="s">
        <v>1183</v>
      </c>
      <c r="CG167" t="s">
        <v>1011</v>
      </c>
    </row>
    <row r="168" spans="64:85" x14ac:dyDescent="0.25">
      <c r="BL168" s="58"/>
      <c r="BM168" s="58"/>
      <c r="BN168" s="59" t="s">
        <v>375</v>
      </c>
      <c r="BO168" s="59">
        <v>0.2</v>
      </c>
      <c r="BP168" s="61" t="s">
        <v>1436</v>
      </c>
      <c r="BQ168" s="61">
        <v>0.05</v>
      </c>
      <c r="BR168" s="63" t="s">
        <v>375</v>
      </c>
      <c r="BS168" s="63">
        <v>0.2</v>
      </c>
      <c r="CE168" t="s">
        <v>802</v>
      </c>
      <c r="CF168" t="s">
        <v>1184</v>
      </c>
      <c r="CG168" t="s">
        <v>1012</v>
      </c>
    </row>
    <row r="169" spans="64:85" x14ac:dyDescent="0.25">
      <c r="BL169" s="58"/>
      <c r="BM169" s="58"/>
      <c r="BN169" s="59" t="s">
        <v>377</v>
      </c>
      <c r="BO169" s="59">
        <v>0.25</v>
      </c>
      <c r="BP169" s="61" t="s">
        <v>1437</v>
      </c>
      <c r="BQ169" s="61">
        <v>0.1</v>
      </c>
      <c r="BR169" s="63" t="s">
        <v>377</v>
      </c>
      <c r="BS169" s="63">
        <v>0.25</v>
      </c>
      <c r="CE169" t="s">
        <v>803</v>
      </c>
      <c r="CF169" t="s">
        <v>1185</v>
      </c>
      <c r="CG169" t="s">
        <v>1013</v>
      </c>
    </row>
    <row r="170" spans="64:85" x14ac:dyDescent="0.25">
      <c r="BL170" s="58"/>
      <c r="BM170" s="58"/>
      <c r="BN170" s="59" t="s">
        <v>379</v>
      </c>
      <c r="BO170" s="59">
        <v>0.3</v>
      </c>
      <c r="BP170" s="61" t="s">
        <v>1438</v>
      </c>
      <c r="BQ170" s="61">
        <v>0.2</v>
      </c>
      <c r="BR170" s="63" t="s">
        <v>379</v>
      </c>
      <c r="BS170" s="63">
        <v>0.3</v>
      </c>
      <c r="CE170" t="s">
        <v>804</v>
      </c>
      <c r="CF170" t="s">
        <v>1242</v>
      </c>
      <c r="CG170" t="s">
        <v>1014</v>
      </c>
    </row>
    <row r="171" spans="64:85" x14ac:dyDescent="0.25">
      <c r="BL171" s="58"/>
      <c r="BM171" s="58"/>
      <c r="BN171" s="59" t="s">
        <v>381</v>
      </c>
      <c r="BO171" s="59">
        <v>0.3</v>
      </c>
      <c r="BP171" s="61" t="s">
        <v>1439</v>
      </c>
      <c r="BQ171" s="61">
        <v>0.2</v>
      </c>
      <c r="BR171" s="63" t="s">
        <v>381</v>
      </c>
      <c r="BS171" s="63">
        <v>0.3</v>
      </c>
      <c r="CE171" t="s">
        <v>805</v>
      </c>
      <c r="CF171" t="s">
        <v>1186</v>
      </c>
      <c r="CG171" t="s">
        <v>1015</v>
      </c>
    </row>
    <row r="172" spans="64:85" x14ac:dyDescent="0.25">
      <c r="BL172" s="58"/>
      <c r="BM172" s="58"/>
      <c r="BN172" s="59" t="s">
        <v>1314</v>
      </c>
      <c r="BO172" s="59">
        <v>0.35</v>
      </c>
      <c r="BP172" s="61" t="s">
        <v>1440</v>
      </c>
      <c r="BQ172" s="61">
        <v>0.2</v>
      </c>
      <c r="BR172" s="65" t="s">
        <v>1314</v>
      </c>
      <c r="BS172" s="63">
        <v>0.35</v>
      </c>
      <c r="CE172" t="s">
        <v>806</v>
      </c>
      <c r="CF172" t="s">
        <v>1243</v>
      </c>
      <c r="CG172" t="s">
        <v>1016</v>
      </c>
    </row>
    <row r="173" spans="64:85" x14ac:dyDescent="0.25">
      <c r="BL173" s="58"/>
      <c r="BM173" s="58"/>
      <c r="BN173" s="59" t="s">
        <v>383</v>
      </c>
      <c r="BO173" s="59">
        <v>0.35</v>
      </c>
      <c r="BP173" s="61" t="s">
        <v>1441</v>
      </c>
      <c r="BQ173" s="61">
        <v>0.3</v>
      </c>
      <c r="BR173" s="63" t="s">
        <v>383</v>
      </c>
      <c r="BS173" s="63">
        <v>0.35</v>
      </c>
      <c r="CE173" t="s">
        <v>807</v>
      </c>
      <c r="CF173" t="s">
        <v>1187</v>
      </c>
      <c r="CG173" t="s">
        <v>1017</v>
      </c>
    </row>
    <row r="174" spans="64:85" x14ac:dyDescent="0.25">
      <c r="BL174" s="58"/>
      <c r="BM174" s="58"/>
      <c r="BN174" s="59" t="s">
        <v>571</v>
      </c>
      <c r="BO174" s="59">
        <v>0.4</v>
      </c>
      <c r="BP174" s="61" t="s">
        <v>1442</v>
      </c>
      <c r="BQ174" s="61">
        <v>0.15</v>
      </c>
      <c r="BR174" s="63" t="s">
        <v>571</v>
      </c>
      <c r="BS174" s="63">
        <v>0.4</v>
      </c>
      <c r="CE174" t="s">
        <v>808</v>
      </c>
      <c r="CF174" t="s">
        <v>1188</v>
      </c>
      <c r="CG174" t="s">
        <v>1018</v>
      </c>
    </row>
    <row r="175" spans="64:85" x14ac:dyDescent="0.25">
      <c r="BL175" s="58"/>
      <c r="BM175" s="58"/>
      <c r="BN175" s="59" t="s">
        <v>385</v>
      </c>
      <c r="BO175" s="59">
        <v>0.4</v>
      </c>
      <c r="BP175" s="61" t="s">
        <v>1443</v>
      </c>
      <c r="BQ175" s="61">
        <v>0.15</v>
      </c>
      <c r="BR175" s="63" t="s">
        <v>385</v>
      </c>
      <c r="BS175" s="63">
        <v>0.4</v>
      </c>
      <c r="CE175" t="s">
        <v>809</v>
      </c>
      <c r="CF175" t="s">
        <v>1244</v>
      </c>
      <c r="CG175" t="s">
        <v>1019</v>
      </c>
    </row>
    <row r="176" spans="64:85" x14ac:dyDescent="0.25">
      <c r="BL176" s="58"/>
      <c r="BM176" s="58"/>
      <c r="BN176" s="59" t="s">
        <v>387</v>
      </c>
      <c r="BO176" s="59">
        <v>0.45</v>
      </c>
      <c r="BP176" s="61" t="s">
        <v>1444</v>
      </c>
      <c r="BQ176" s="61">
        <v>0.2</v>
      </c>
      <c r="BR176" s="63" t="s">
        <v>387</v>
      </c>
      <c r="BS176" s="63">
        <v>0.45</v>
      </c>
      <c r="CE176" t="s">
        <v>810</v>
      </c>
      <c r="CF176" t="s">
        <v>1189</v>
      </c>
      <c r="CG176" t="s">
        <v>1020</v>
      </c>
    </row>
    <row r="177" spans="64:85" x14ac:dyDescent="0.25">
      <c r="BL177" s="58"/>
      <c r="BM177" s="58"/>
      <c r="BN177" s="59" t="s">
        <v>389</v>
      </c>
      <c r="BO177" s="59">
        <v>0.45</v>
      </c>
      <c r="BP177" s="61" t="s">
        <v>1445</v>
      </c>
      <c r="BQ177" s="61">
        <v>0.15</v>
      </c>
      <c r="BR177" s="63" t="s">
        <v>389</v>
      </c>
      <c r="BS177" s="63">
        <v>0.45</v>
      </c>
      <c r="CE177" t="s">
        <v>811</v>
      </c>
      <c r="CF177" t="s">
        <v>1245</v>
      </c>
      <c r="CG177" t="s">
        <v>1021</v>
      </c>
    </row>
    <row r="178" spans="64:85" x14ac:dyDescent="0.25">
      <c r="BL178" s="58"/>
      <c r="BM178" s="58"/>
      <c r="BN178" s="59" t="s">
        <v>391</v>
      </c>
      <c r="BO178" s="59">
        <v>0.45</v>
      </c>
      <c r="BP178" s="61" t="s">
        <v>1446</v>
      </c>
      <c r="BQ178" s="61">
        <v>0.25</v>
      </c>
      <c r="BR178" s="63" t="s">
        <v>391</v>
      </c>
      <c r="BS178" s="63">
        <v>0.45</v>
      </c>
      <c r="CE178" t="s">
        <v>812</v>
      </c>
      <c r="CF178" t="s">
        <v>1190</v>
      </c>
      <c r="CG178" t="s">
        <v>1022</v>
      </c>
    </row>
    <row r="179" spans="64:85" x14ac:dyDescent="0.25">
      <c r="BL179" s="58"/>
      <c r="BM179" s="58"/>
      <c r="BN179" s="59" t="s">
        <v>393</v>
      </c>
      <c r="BO179" s="59">
        <v>0.6</v>
      </c>
      <c r="BP179" s="61" t="s">
        <v>1447</v>
      </c>
      <c r="BQ179" s="61">
        <v>0.25</v>
      </c>
      <c r="BR179" s="63" t="s">
        <v>393</v>
      </c>
      <c r="BS179" s="63">
        <v>0.6</v>
      </c>
      <c r="CE179" t="s">
        <v>813</v>
      </c>
      <c r="CF179" t="s">
        <v>1246</v>
      </c>
      <c r="CG179" t="s">
        <v>1023</v>
      </c>
    </row>
    <row r="180" spans="64:85" x14ac:dyDescent="0.25">
      <c r="BL180" s="58"/>
      <c r="BM180" s="58"/>
      <c r="BN180" s="59" t="s">
        <v>395</v>
      </c>
      <c r="BO180" s="59">
        <v>1</v>
      </c>
      <c r="BP180" s="61" t="s">
        <v>1448</v>
      </c>
      <c r="BQ180" s="61">
        <v>0.25</v>
      </c>
      <c r="BR180" s="63" t="s">
        <v>395</v>
      </c>
      <c r="BS180" s="63">
        <v>1</v>
      </c>
      <c r="CE180" t="s">
        <v>814</v>
      </c>
      <c r="CF180" t="s">
        <v>1247</v>
      </c>
      <c r="CG180" t="s">
        <v>1024</v>
      </c>
    </row>
    <row r="181" spans="64:85" x14ac:dyDescent="0.25">
      <c r="BL181" s="58"/>
      <c r="BM181" s="58"/>
      <c r="BN181" s="59"/>
      <c r="BO181" s="59"/>
      <c r="BP181" s="61" t="s">
        <v>1449</v>
      </c>
      <c r="BQ181" s="61">
        <v>0.3</v>
      </c>
      <c r="BR181" s="63" t="s">
        <v>1395</v>
      </c>
      <c r="BS181" s="63">
        <v>0.25</v>
      </c>
      <c r="CE181" t="s">
        <v>815</v>
      </c>
      <c r="CF181" t="s">
        <v>1248</v>
      </c>
      <c r="CG181" t="s">
        <v>1025</v>
      </c>
    </row>
    <row r="182" spans="64:85" x14ac:dyDescent="0.25">
      <c r="BL182" s="58"/>
      <c r="BM182" s="58"/>
      <c r="BN182" s="59"/>
      <c r="BO182" s="59"/>
      <c r="BP182" s="61" t="s">
        <v>1450</v>
      </c>
      <c r="BQ182" s="61">
        <v>0.3</v>
      </c>
      <c r="BR182" s="63"/>
      <c r="BS182" s="63"/>
      <c r="CE182" t="s">
        <v>816</v>
      </c>
      <c r="CF182" t="s">
        <v>1191</v>
      </c>
      <c r="CG182" t="s">
        <v>1026</v>
      </c>
    </row>
    <row r="183" spans="64:85" x14ac:dyDescent="0.25">
      <c r="BL183" s="58"/>
      <c r="BM183" s="58"/>
      <c r="BN183" s="59"/>
      <c r="BO183" s="59"/>
      <c r="BP183" s="61" t="s">
        <v>1451</v>
      </c>
      <c r="BQ183" s="61">
        <v>0.35</v>
      </c>
      <c r="BR183" s="63"/>
      <c r="BS183" s="63"/>
      <c r="CE183" t="s">
        <v>817</v>
      </c>
      <c r="CF183" t="s">
        <v>1192</v>
      </c>
      <c r="CG183" t="s">
        <v>1027</v>
      </c>
    </row>
    <row r="184" spans="64:85" x14ac:dyDescent="0.25">
      <c r="BL184" s="58"/>
      <c r="BM184" s="58"/>
      <c r="BN184" s="59" t="s">
        <v>573</v>
      </c>
      <c r="BO184" s="59">
        <v>0.05</v>
      </c>
      <c r="BP184" s="61" t="s">
        <v>1452</v>
      </c>
      <c r="BQ184" s="61">
        <v>0.6</v>
      </c>
      <c r="BR184" s="63"/>
      <c r="BS184" s="63"/>
      <c r="CE184" t="s">
        <v>818</v>
      </c>
      <c r="CF184" t="s">
        <v>634</v>
      </c>
      <c r="CG184" t="s">
        <v>1028</v>
      </c>
    </row>
    <row r="185" spans="64:85" x14ac:dyDescent="0.25">
      <c r="BL185" s="58"/>
      <c r="BM185" s="58"/>
      <c r="BN185" s="59" t="s">
        <v>319</v>
      </c>
      <c r="BO185" s="59">
        <v>0.05</v>
      </c>
      <c r="BP185" s="61" t="s">
        <v>1453</v>
      </c>
      <c r="BQ185" s="61">
        <v>0.2</v>
      </c>
      <c r="BR185" s="63"/>
      <c r="BS185" s="63"/>
      <c r="CE185" t="s">
        <v>819</v>
      </c>
      <c r="CF185" t="s">
        <v>1193</v>
      </c>
      <c r="CG185" t="s">
        <v>1029</v>
      </c>
    </row>
    <row r="186" spans="64:85" x14ac:dyDescent="0.25">
      <c r="BL186" s="58"/>
      <c r="BM186" s="58"/>
      <c r="BN186" s="59" t="s">
        <v>321</v>
      </c>
      <c r="BO186" s="59">
        <v>0.1</v>
      </c>
      <c r="BP186" s="61" t="s">
        <v>1454</v>
      </c>
      <c r="BQ186" s="61">
        <v>0.25</v>
      </c>
      <c r="BR186" s="63"/>
      <c r="BS186" s="63"/>
      <c r="CE186" t="s">
        <v>820</v>
      </c>
      <c r="CF186" t="s">
        <v>1249</v>
      </c>
      <c r="CG186" t="s">
        <v>1030</v>
      </c>
    </row>
    <row r="187" spans="64:85" x14ac:dyDescent="0.25">
      <c r="BL187" s="58"/>
      <c r="BM187" s="58"/>
      <c r="BN187" s="59" t="s">
        <v>324</v>
      </c>
      <c r="BO187" s="59">
        <v>0.2</v>
      </c>
      <c r="BP187" s="61" t="s">
        <v>1455</v>
      </c>
      <c r="BQ187" s="61">
        <v>0.3</v>
      </c>
      <c r="BR187" s="63"/>
      <c r="BS187" s="63"/>
      <c r="CE187" t="s">
        <v>821</v>
      </c>
      <c r="CF187" t="s">
        <v>1194</v>
      </c>
      <c r="CG187" t="s">
        <v>1031</v>
      </c>
    </row>
    <row r="188" spans="64:85" x14ac:dyDescent="0.25">
      <c r="BL188" s="58"/>
      <c r="BM188" s="58"/>
      <c r="BN188" s="59" t="s">
        <v>325</v>
      </c>
      <c r="BO188" s="59">
        <v>0.3</v>
      </c>
      <c r="BP188" s="61" t="s">
        <v>1456</v>
      </c>
      <c r="BQ188" s="61">
        <v>0.3</v>
      </c>
      <c r="BR188" s="63"/>
      <c r="BS188" s="63"/>
      <c r="CE188" t="s">
        <v>822</v>
      </c>
      <c r="CF188" t="s">
        <v>1195</v>
      </c>
      <c r="CG188" t="s">
        <v>1032</v>
      </c>
    </row>
    <row r="189" spans="64:85" x14ac:dyDescent="0.25">
      <c r="BL189" s="58"/>
      <c r="BM189" s="58"/>
      <c r="BN189" s="59" t="s">
        <v>327</v>
      </c>
      <c r="BO189" s="59">
        <v>0.3</v>
      </c>
      <c r="BP189" s="61" t="s">
        <v>1457</v>
      </c>
      <c r="BQ189" s="61">
        <v>0.35</v>
      </c>
      <c r="BR189" s="63"/>
      <c r="BS189" s="63"/>
      <c r="CE189" t="s">
        <v>823</v>
      </c>
      <c r="CF189" t="s">
        <v>1196</v>
      </c>
      <c r="CG189" t="s">
        <v>1033</v>
      </c>
    </row>
    <row r="190" spans="64:85" x14ac:dyDescent="0.25">
      <c r="BL190" s="58"/>
      <c r="BM190" s="58"/>
      <c r="BN190" s="59" t="s">
        <v>329</v>
      </c>
      <c r="BO190" s="59">
        <v>0.4</v>
      </c>
      <c r="BP190" s="61" t="s">
        <v>1458</v>
      </c>
      <c r="BQ190" s="61">
        <v>0.35</v>
      </c>
      <c r="BR190" s="63"/>
      <c r="BS190" s="63"/>
      <c r="CE190" t="s">
        <v>824</v>
      </c>
      <c r="CF190" t="s">
        <v>1197</v>
      </c>
      <c r="CG190" t="s">
        <v>1034</v>
      </c>
    </row>
    <row r="191" spans="64:85" x14ac:dyDescent="0.25">
      <c r="BL191" s="58"/>
      <c r="BM191" s="58"/>
      <c r="BN191" s="59" t="s">
        <v>331</v>
      </c>
      <c r="BO191" s="59">
        <v>0.1</v>
      </c>
      <c r="BP191" s="61" t="s">
        <v>1459</v>
      </c>
      <c r="BQ191" s="61">
        <v>0.4</v>
      </c>
      <c r="BR191" s="63"/>
      <c r="BS191" s="63"/>
      <c r="CE191" t="s">
        <v>825</v>
      </c>
      <c r="CF191" t="s">
        <v>1198</v>
      </c>
      <c r="CG191" t="s">
        <v>1035</v>
      </c>
    </row>
    <row r="192" spans="64:85" x14ac:dyDescent="0.25">
      <c r="BL192" s="58"/>
      <c r="BM192" s="58"/>
      <c r="BN192" s="59" t="s">
        <v>333</v>
      </c>
      <c r="BO192" s="59">
        <v>0.25</v>
      </c>
      <c r="BP192" s="61" t="s">
        <v>1460</v>
      </c>
      <c r="BQ192" s="61">
        <v>0.4</v>
      </c>
      <c r="BR192" s="63"/>
      <c r="BS192" s="63"/>
      <c r="CE192" t="s">
        <v>826</v>
      </c>
      <c r="CF192" t="s">
        <v>1250</v>
      </c>
      <c r="CG192" t="s">
        <v>1036</v>
      </c>
    </row>
    <row r="193" spans="64:85" x14ac:dyDescent="0.25">
      <c r="BL193" s="58"/>
      <c r="BM193" s="58"/>
      <c r="BN193" s="59" t="s">
        <v>335</v>
      </c>
      <c r="BO193" s="59">
        <v>0.3</v>
      </c>
      <c r="BP193" s="61" t="s">
        <v>1461</v>
      </c>
      <c r="BQ193" s="61">
        <v>0.45</v>
      </c>
      <c r="BR193" s="63"/>
      <c r="BS193" s="63"/>
      <c r="CE193" t="s">
        <v>827</v>
      </c>
      <c r="CF193" t="s">
        <v>1199</v>
      </c>
      <c r="CG193" t="s">
        <v>1037</v>
      </c>
    </row>
    <row r="194" spans="64:85" x14ac:dyDescent="0.25">
      <c r="BL194" s="58"/>
      <c r="BM194" s="58"/>
      <c r="BN194" s="59" t="s">
        <v>337</v>
      </c>
      <c r="BO194" s="59">
        <v>0.45</v>
      </c>
      <c r="BP194" s="61" t="s">
        <v>1462</v>
      </c>
      <c r="BQ194" s="61">
        <v>0.45</v>
      </c>
      <c r="BR194" s="63"/>
      <c r="BS194" s="63"/>
      <c r="CE194" t="s">
        <v>1468</v>
      </c>
      <c r="CF194" t="s">
        <v>1469</v>
      </c>
      <c r="CG194" t="s">
        <v>1038</v>
      </c>
    </row>
    <row r="195" spans="64:85" x14ac:dyDescent="0.25">
      <c r="BL195" s="58"/>
      <c r="BM195" s="58"/>
      <c r="BN195" s="59" t="s">
        <v>339</v>
      </c>
      <c r="BO195" s="59">
        <v>0.4</v>
      </c>
      <c r="BP195" s="61" t="s">
        <v>1463</v>
      </c>
      <c r="BQ195" s="61">
        <v>0.45</v>
      </c>
      <c r="BR195" s="63"/>
      <c r="BS195" s="63"/>
      <c r="CE195" t="s">
        <v>828</v>
      </c>
      <c r="CF195" t="s">
        <v>1200</v>
      </c>
      <c r="CG195" t="s">
        <v>1039</v>
      </c>
    </row>
    <row r="196" spans="64:85" x14ac:dyDescent="0.25">
      <c r="BL196" s="58"/>
      <c r="BM196" s="58"/>
      <c r="BN196" s="59" t="s">
        <v>341</v>
      </c>
      <c r="BO196" s="59">
        <v>0.1</v>
      </c>
      <c r="BP196" s="61" t="s">
        <v>1464</v>
      </c>
      <c r="BQ196" s="61">
        <v>0.6</v>
      </c>
      <c r="BR196" s="63"/>
      <c r="BS196" s="63"/>
      <c r="CE196" t="s">
        <v>829</v>
      </c>
      <c r="CF196" t="s">
        <v>1251</v>
      </c>
      <c r="CG196" t="s">
        <v>1040</v>
      </c>
    </row>
    <row r="197" spans="64:85" x14ac:dyDescent="0.25">
      <c r="BL197" s="58"/>
      <c r="BM197" s="58"/>
      <c r="BN197" s="59" t="s">
        <v>343</v>
      </c>
      <c r="BO197" s="59">
        <v>0.1</v>
      </c>
      <c r="BP197" s="61" t="s">
        <v>1465</v>
      </c>
      <c r="BQ197" s="61">
        <v>1</v>
      </c>
      <c r="BR197" s="63" t="s">
        <v>573</v>
      </c>
      <c r="BS197" s="63">
        <v>0.05</v>
      </c>
      <c r="CE197" t="s">
        <v>830</v>
      </c>
      <c r="CF197" t="s">
        <v>1201</v>
      </c>
      <c r="CG197" t="s">
        <v>1041</v>
      </c>
    </row>
    <row r="198" spans="64:85" x14ac:dyDescent="0.25">
      <c r="BL198" s="58"/>
      <c r="BM198" s="58"/>
      <c r="BN198" s="59" t="s">
        <v>345</v>
      </c>
      <c r="BO198" s="59">
        <v>0.05</v>
      </c>
      <c r="BP198" s="61"/>
      <c r="BQ198" s="61"/>
      <c r="BR198" s="63" t="s">
        <v>319</v>
      </c>
      <c r="BS198" s="63">
        <v>0.05</v>
      </c>
      <c r="CE198" t="s">
        <v>831</v>
      </c>
      <c r="CF198" t="s">
        <v>1202</v>
      </c>
      <c r="CG198" t="s">
        <v>1042</v>
      </c>
    </row>
    <row r="199" spans="64:85" x14ac:dyDescent="0.25">
      <c r="BL199" s="58"/>
      <c r="BM199" s="58"/>
      <c r="BN199" s="59" t="s">
        <v>347</v>
      </c>
      <c r="BO199" s="59">
        <v>0.1</v>
      </c>
      <c r="BP199" s="61"/>
      <c r="BQ199" s="61"/>
      <c r="BR199" s="63" t="s">
        <v>321</v>
      </c>
      <c r="BS199" s="63">
        <v>0.1</v>
      </c>
      <c r="CE199" t="s">
        <v>832</v>
      </c>
      <c r="CF199" t="s">
        <v>1252</v>
      </c>
      <c r="CG199" t="s">
        <v>1043</v>
      </c>
    </row>
    <row r="200" spans="64:85" x14ac:dyDescent="0.25">
      <c r="BL200" s="58"/>
      <c r="BM200" s="58"/>
      <c r="BN200" s="59" t="s">
        <v>349</v>
      </c>
      <c r="BO200" s="59">
        <v>0.2</v>
      </c>
      <c r="BP200" s="61"/>
      <c r="BQ200" s="61"/>
      <c r="BR200" s="63" t="s">
        <v>324</v>
      </c>
      <c r="BS200" s="63">
        <v>0.2</v>
      </c>
      <c r="CE200" t="s">
        <v>833</v>
      </c>
      <c r="CF200" t="s">
        <v>1253</v>
      </c>
      <c r="CG200" t="s">
        <v>1044</v>
      </c>
    </row>
    <row r="201" spans="64:85" x14ac:dyDescent="0.25">
      <c r="BL201" s="58"/>
      <c r="BM201" s="58"/>
      <c r="BN201" s="59" t="s">
        <v>574</v>
      </c>
      <c r="BO201" s="59">
        <v>0.2</v>
      </c>
      <c r="BP201" s="61"/>
      <c r="BQ201" s="61"/>
      <c r="BR201" s="63" t="s">
        <v>325</v>
      </c>
      <c r="BS201" s="63">
        <v>0.3</v>
      </c>
      <c r="CE201" t="s">
        <v>834</v>
      </c>
      <c r="CF201" t="s">
        <v>1203</v>
      </c>
      <c r="CG201" t="s">
        <v>1045</v>
      </c>
    </row>
    <row r="202" spans="64:85" x14ac:dyDescent="0.25">
      <c r="BL202" s="58"/>
      <c r="BM202" s="58"/>
      <c r="BN202" s="59" t="s">
        <v>352</v>
      </c>
      <c r="BO202" s="59">
        <v>0.1</v>
      </c>
      <c r="BP202" s="61"/>
      <c r="BQ202" s="61"/>
      <c r="BR202" s="63" t="s">
        <v>327</v>
      </c>
      <c r="BS202" s="63">
        <v>0.3</v>
      </c>
      <c r="CE202" t="s">
        <v>835</v>
      </c>
      <c r="CF202" t="s">
        <v>1204</v>
      </c>
      <c r="CG202" t="s">
        <v>1046</v>
      </c>
    </row>
    <row r="203" spans="64:85" x14ac:dyDescent="0.25">
      <c r="BL203" s="58"/>
      <c r="BM203" s="58"/>
      <c r="BN203" s="59" t="s">
        <v>354</v>
      </c>
      <c r="BO203" s="59">
        <v>0.2</v>
      </c>
      <c r="BP203" s="61"/>
      <c r="BQ203" s="61"/>
      <c r="BR203" s="63" t="s">
        <v>329</v>
      </c>
      <c r="BS203" s="63">
        <v>0.4</v>
      </c>
      <c r="CE203" t="s">
        <v>836</v>
      </c>
      <c r="CF203" t="s">
        <v>1205</v>
      </c>
      <c r="CG203" t="s">
        <v>1047</v>
      </c>
    </row>
    <row r="204" spans="64:85" x14ac:dyDescent="0.25">
      <c r="BL204" s="58"/>
      <c r="BM204" s="58"/>
      <c r="BN204" s="59" t="s">
        <v>356</v>
      </c>
      <c r="BO204" s="59">
        <v>0.05</v>
      </c>
      <c r="BP204" s="61"/>
      <c r="BQ204" s="61"/>
      <c r="BR204" s="63" t="s">
        <v>331</v>
      </c>
      <c r="BS204" s="63">
        <v>0.1</v>
      </c>
      <c r="CE204" t="s">
        <v>837</v>
      </c>
      <c r="CF204" t="s">
        <v>1206</v>
      </c>
      <c r="CG204" t="s">
        <v>1048</v>
      </c>
    </row>
    <row r="205" spans="64:85" x14ac:dyDescent="0.25">
      <c r="BL205" s="58"/>
      <c r="BM205" s="58"/>
      <c r="BN205" s="59" t="s">
        <v>358</v>
      </c>
      <c r="BO205" s="59">
        <v>0.05</v>
      </c>
      <c r="BP205" s="61"/>
      <c r="BQ205" s="61"/>
      <c r="BR205" s="63" t="s">
        <v>333</v>
      </c>
      <c r="BS205" s="63">
        <v>0.25</v>
      </c>
      <c r="CE205" t="s">
        <v>838</v>
      </c>
      <c r="CF205" t="s">
        <v>1207</v>
      </c>
      <c r="CG205" t="s">
        <v>1049</v>
      </c>
    </row>
    <row r="206" spans="64:85" x14ac:dyDescent="0.25">
      <c r="BL206" s="58"/>
      <c r="BM206" s="58"/>
      <c r="BN206" s="59" t="s">
        <v>360</v>
      </c>
      <c r="BO206" s="59">
        <v>0.05</v>
      </c>
      <c r="BP206" s="61"/>
      <c r="BQ206" s="61"/>
      <c r="BR206" s="63" t="s">
        <v>335</v>
      </c>
      <c r="BS206" s="63">
        <v>0.3</v>
      </c>
      <c r="CE206" t="s">
        <v>839</v>
      </c>
      <c r="CF206" t="s">
        <v>1258</v>
      </c>
      <c r="CG206" t="s">
        <v>1050</v>
      </c>
    </row>
    <row r="207" spans="64:85" x14ac:dyDescent="0.25">
      <c r="BL207" s="58"/>
      <c r="BM207" s="58"/>
      <c r="BN207" s="59" t="s">
        <v>362</v>
      </c>
      <c r="BO207" s="59">
        <v>0.05</v>
      </c>
      <c r="BP207" s="61"/>
      <c r="BQ207" s="61"/>
      <c r="BR207" s="63" t="s">
        <v>337</v>
      </c>
      <c r="BS207" s="63">
        <v>0.45</v>
      </c>
      <c r="CE207" t="s">
        <v>840</v>
      </c>
      <c r="CF207" t="s">
        <v>1208</v>
      </c>
      <c r="CG207" t="s">
        <v>1051</v>
      </c>
    </row>
    <row r="208" spans="64:85" x14ac:dyDescent="0.25">
      <c r="BL208" s="58"/>
      <c r="BM208" s="58"/>
      <c r="BN208" s="59" t="s">
        <v>364</v>
      </c>
      <c r="BO208" s="59">
        <v>0.1</v>
      </c>
      <c r="BP208" s="61"/>
      <c r="BQ208" s="61"/>
      <c r="BR208" s="63" t="s">
        <v>339</v>
      </c>
      <c r="BS208" s="63">
        <v>0.4</v>
      </c>
      <c r="CE208" t="s">
        <v>841</v>
      </c>
      <c r="CF208" t="s">
        <v>1209</v>
      </c>
      <c r="CG208" t="s">
        <v>1052</v>
      </c>
    </row>
    <row r="209" spans="64:85" x14ac:dyDescent="0.25">
      <c r="BL209" s="58"/>
      <c r="BM209" s="58"/>
      <c r="BN209" s="59" t="s">
        <v>366</v>
      </c>
      <c r="BO209" s="59">
        <v>0.1</v>
      </c>
      <c r="BP209" s="61"/>
      <c r="BQ209" s="61"/>
      <c r="BR209" s="63" t="s">
        <v>341</v>
      </c>
      <c r="BS209" s="63">
        <v>0.1</v>
      </c>
      <c r="CE209" t="s">
        <v>842</v>
      </c>
      <c r="CF209" t="s">
        <v>1210</v>
      </c>
      <c r="CG209" t="s">
        <v>1053</v>
      </c>
    </row>
    <row r="210" spans="64:85" x14ac:dyDescent="0.25">
      <c r="BL210" s="58"/>
      <c r="BM210" s="58"/>
      <c r="BN210" s="59" t="s">
        <v>368</v>
      </c>
      <c r="BO210" s="59">
        <v>0.1</v>
      </c>
      <c r="BP210" s="61"/>
      <c r="BQ210" s="61"/>
      <c r="BR210" s="63" t="s">
        <v>343</v>
      </c>
      <c r="BS210" s="63">
        <v>0.1</v>
      </c>
    </row>
    <row r="211" spans="64:85" x14ac:dyDescent="0.25">
      <c r="BL211" s="58"/>
      <c r="BM211" s="58"/>
      <c r="BN211" s="59" t="s">
        <v>370</v>
      </c>
      <c r="BO211" s="59">
        <v>0.05</v>
      </c>
      <c r="BP211" s="61"/>
      <c r="BQ211" s="61"/>
      <c r="BR211" s="63" t="s">
        <v>345</v>
      </c>
      <c r="BS211" s="63">
        <v>0.05</v>
      </c>
    </row>
    <row r="212" spans="64:85" x14ac:dyDescent="0.25">
      <c r="BL212" s="58"/>
      <c r="BM212" s="58"/>
      <c r="BN212" s="59" t="s">
        <v>372</v>
      </c>
      <c r="BO212" s="59">
        <v>0.1</v>
      </c>
      <c r="BP212" s="61"/>
      <c r="BQ212" s="61"/>
      <c r="BR212" s="63" t="s">
        <v>347</v>
      </c>
      <c r="BS212" s="63">
        <v>0.1</v>
      </c>
    </row>
    <row r="213" spans="64:85" x14ac:dyDescent="0.25">
      <c r="BL213" s="58"/>
      <c r="BM213" s="58"/>
      <c r="BN213" s="59" t="s">
        <v>374</v>
      </c>
      <c r="BO213" s="59">
        <v>0.1</v>
      </c>
      <c r="BP213" s="61"/>
      <c r="BQ213" s="61"/>
      <c r="BR213" s="63" t="s">
        <v>349</v>
      </c>
      <c r="BS213" s="63">
        <v>0.2</v>
      </c>
    </row>
    <row r="214" spans="64:85" x14ac:dyDescent="0.25">
      <c r="BL214" s="58"/>
      <c r="BM214" s="58"/>
      <c r="BN214" s="59" t="s">
        <v>570</v>
      </c>
      <c r="BO214" s="59">
        <v>0.45</v>
      </c>
      <c r="BP214" s="61"/>
      <c r="BQ214" s="61"/>
      <c r="BR214" s="63" t="s">
        <v>574</v>
      </c>
      <c r="BS214" s="63">
        <v>0.2</v>
      </c>
    </row>
    <row r="215" spans="64:85" x14ac:dyDescent="0.25">
      <c r="BL215" s="58"/>
      <c r="BM215" s="58"/>
      <c r="BN215" s="59" t="s">
        <v>376</v>
      </c>
      <c r="BO215" s="59">
        <v>0.05</v>
      </c>
      <c r="BP215" s="61"/>
      <c r="BQ215" s="61"/>
      <c r="BR215" s="63" t="s">
        <v>352</v>
      </c>
      <c r="BS215" s="63">
        <v>0.1</v>
      </c>
    </row>
    <row r="216" spans="64:85" x14ac:dyDescent="0.25">
      <c r="BL216" s="58"/>
      <c r="BM216" s="58"/>
      <c r="BN216" s="59" t="s">
        <v>378</v>
      </c>
      <c r="BO216" s="59">
        <v>0.15</v>
      </c>
      <c r="BP216" s="61"/>
      <c r="BQ216" s="61"/>
      <c r="BR216" s="63" t="s">
        <v>354</v>
      </c>
      <c r="BS216" s="63">
        <v>0.2</v>
      </c>
    </row>
    <row r="217" spans="64:85" x14ac:dyDescent="0.25">
      <c r="BL217" s="58"/>
      <c r="BM217" s="58"/>
      <c r="BN217" s="59" t="s">
        <v>380</v>
      </c>
      <c r="BO217" s="59">
        <v>0.1</v>
      </c>
      <c r="BP217" s="61"/>
      <c r="BQ217" s="61"/>
      <c r="BR217" s="63" t="s">
        <v>356</v>
      </c>
      <c r="BS217" s="63">
        <v>0.05</v>
      </c>
    </row>
    <row r="218" spans="64:85" x14ac:dyDescent="0.25">
      <c r="BL218" s="58"/>
      <c r="BM218" s="58"/>
      <c r="BN218" s="59" t="s">
        <v>382</v>
      </c>
      <c r="BO218" s="59">
        <v>0.1</v>
      </c>
      <c r="BP218" s="61"/>
      <c r="BQ218" s="61"/>
      <c r="BR218" s="63" t="s">
        <v>358</v>
      </c>
      <c r="BS218" s="63">
        <v>0.05</v>
      </c>
    </row>
    <row r="219" spans="64:85" x14ac:dyDescent="0.25">
      <c r="BL219" s="58"/>
      <c r="BM219" s="58"/>
      <c r="BN219" s="59" t="s">
        <v>1278</v>
      </c>
      <c r="BO219" s="59">
        <v>0.2</v>
      </c>
      <c r="BP219" s="61"/>
      <c r="BQ219" s="61"/>
      <c r="BR219" s="63" t="s">
        <v>360</v>
      </c>
      <c r="BS219" s="63">
        <v>0.05</v>
      </c>
    </row>
    <row r="220" spans="64:85" x14ac:dyDescent="0.25">
      <c r="BL220" s="58"/>
      <c r="BM220" s="58"/>
      <c r="BN220" s="59" t="s">
        <v>384</v>
      </c>
      <c r="BO220" s="59">
        <v>0.15</v>
      </c>
      <c r="BP220" s="61"/>
      <c r="BQ220" s="61"/>
      <c r="BR220" s="63" t="s">
        <v>362</v>
      </c>
      <c r="BS220" s="63">
        <v>0.05</v>
      </c>
    </row>
    <row r="221" spans="64:85" x14ac:dyDescent="0.25">
      <c r="BL221" s="58"/>
      <c r="BM221" s="58"/>
      <c r="BN221" s="59" t="s">
        <v>572</v>
      </c>
      <c r="BO221" s="59">
        <v>0.15</v>
      </c>
      <c r="BP221" s="61"/>
      <c r="BQ221" s="61"/>
      <c r="BR221" s="63" t="s">
        <v>364</v>
      </c>
      <c r="BS221" s="63">
        <v>0.1</v>
      </c>
    </row>
    <row r="222" spans="64:85" x14ac:dyDescent="0.25">
      <c r="BL222" s="58"/>
      <c r="BM222" s="58"/>
      <c r="BN222" s="59" t="s">
        <v>386</v>
      </c>
      <c r="BO222" s="59">
        <v>0.2</v>
      </c>
      <c r="BP222" s="61"/>
      <c r="BQ222" s="61"/>
      <c r="BR222" s="63" t="s">
        <v>366</v>
      </c>
      <c r="BS222" s="63">
        <v>0.1</v>
      </c>
    </row>
    <row r="223" spans="64:85" x14ac:dyDescent="0.25">
      <c r="BL223" s="58"/>
      <c r="BM223" s="58"/>
      <c r="BN223" s="59" t="s">
        <v>388</v>
      </c>
      <c r="BO223" s="59">
        <v>0.15</v>
      </c>
      <c r="BP223" s="61"/>
      <c r="BQ223" s="61"/>
      <c r="BR223" s="63" t="s">
        <v>368</v>
      </c>
      <c r="BS223" s="63">
        <v>0.1</v>
      </c>
    </row>
    <row r="224" spans="64:85" x14ac:dyDescent="0.25">
      <c r="BL224" s="58"/>
      <c r="BM224" s="58"/>
      <c r="BN224" s="59" t="s">
        <v>390</v>
      </c>
      <c r="BO224" s="59">
        <v>0.2</v>
      </c>
      <c r="BP224" s="61"/>
      <c r="BQ224" s="61"/>
      <c r="BR224" s="63" t="s">
        <v>370</v>
      </c>
      <c r="BS224" s="63">
        <v>0.05</v>
      </c>
    </row>
    <row r="225" spans="64:71" x14ac:dyDescent="0.25">
      <c r="BL225" s="58"/>
      <c r="BM225" s="58"/>
      <c r="BN225" s="59" t="s">
        <v>392</v>
      </c>
      <c r="BO225" s="59">
        <v>0.2</v>
      </c>
      <c r="BP225" s="61"/>
      <c r="BQ225" s="61"/>
      <c r="BR225" s="63" t="s">
        <v>372</v>
      </c>
      <c r="BS225" s="63">
        <v>0.1</v>
      </c>
    </row>
    <row r="226" spans="64:71" x14ac:dyDescent="0.25">
      <c r="BL226" s="58"/>
      <c r="BM226" s="58"/>
      <c r="BN226" s="59" t="s">
        <v>394</v>
      </c>
      <c r="BO226" s="59">
        <v>0.3</v>
      </c>
      <c r="BP226" s="61"/>
      <c r="BQ226" s="61"/>
      <c r="BR226" s="63" t="s">
        <v>374</v>
      </c>
      <c r="BS226" s="63">
        <v>0.1</v>
      </c>
    </row>
    <row r="227" spans="64:71" x14ac:dyDescent="0.25">
      <c r="BL227" s="58"/>
      <c r="BM227" s="58"/>
      <c r="BN227" s="59" t="s">
        <v>396</v>
      </c>
      <c r="BO227" s="59">
        <v>0.5</v>
      </c>
      <c r="BP227" s="61"/>
      <c r="BQ227" s="61"/>
      <c r="BR227" s="63" t="s">
        <v>570</v>
      </c>
      <c r="BS227" s="63">
        <v>0.45</v>
      </c>
    </row>
    <row r="228" spans="64:71" x14ac:dyDescent="0.25">
      <c r="BL228" s="58"/>
      <c r="BM228" s="58"/>
      <c r="BN228" s="59"/>
      <c r="BO228" s="59"/>
      <c r="BP228" s="61"/>
      <c r="BQ228" s="61"/>
      <c r="BR228" s="63" t="s">
        <v>376</v>
      </c>
      <c r="BS228" s="63">
        <v>0.05</v>
      </c>
    </row>
    <row r="229" spans="64:71" x14ac:dyDescent="0.25">
      <c r="BL229" s="58"/>
      <c r="BM229" s="58"/>
      <c r="BN229" s="59"/>
      <c r="BO229" s="59"/>
      <c r="BP229" s="61"/>
      <c r="BQ229" s="61"/>
      <c r="BR229" s="63" t="s">
        <v>378</v>
      </c>
      <c r="BS229" s="63">
        <v>0.15</v>
      </c>
    </row>
    <row r="230" spans="64:71" x14ac:dyDescent="0.25">
      <c r="BL230" s="58"/>
      <c r="BM230" s="58"/>
      <c r="BN230" s="59"/>
      <c r="BO230" s="59"/>
      <c r="BP230" s="61"/>
      <c r="BQ230" s="61"/>
      <c r="BR230" s="63" t="s">
        <v>380</v>
      </c>
      <c r="BS230" s="63">
        <v>0.1</v>
      </c>
    </row>
    <row r="231" spans="64:71" x14ac:dyDescent="0.25">
      <c r="BL231" s="58"/>
      <c r="BM231" s="58"/>
      <c r="BN231" s="59"/>
      <c r="BO231" s="59"/>
      <c r="BP231" s="61"/>
      <c r="BQ231" s="61"/>
      <c r="BR231" s="63" t="s">
        <v>382</v>
      </c>
      <c r="BS231" s="63">
        <v>0.1</v>
      </c>
    </row>
    <row r="232" spans="64:71" x14ac:dyDescent="0.25">
      <c r="BL232" s="58"/>
      <c r="BM232" s="58"/>
      <c r="BN232" s="59"/>
      <c r="BO232" s="59"/>
      <c r="BP232" s="61"/>
      <c r="BQ232" s="61"/>
      <c r="BR232" s="63" t="s">
        <v>1278</v>
      </c>
      <c r="BS232" s="63">
        <v>0.2</v>
      </c>
    </row>
    <row r="233" spans="64:71" x14ac:dyDescent="0.25">
      <c r="BL233" s="58"/>
      <c r="BM233" s="58"/>
      <c r="BN233" s="59"/>
      <c r="BO233" s="59"/>
      <c r="BP233" s="61"/>
      <c r="BQ233" s="61"/>
      <c r="BR233" s="63" t="s">
        <v>384</v>
      </c>
      <c r="BS233" s="63">
        <v>0.15</v>
      </c>
    </row>
    <row r="234" spans="64:71" x14ac:dyDescent="0.25">
      <c r="BL234" s="58"/>
      <c r="BM234" s="58"/>
      <c r="BN234" s="59"/>
      <c r="BO234" s="59"/>
      <c r="BP234" s="61"/>
      <c r="BQ234" s="61"/>
      <c r="BR234" s="63" t="s">
        <v>572</v>
      </c>
      <c r="BS234" s="63">
        <v>0.15</v>
      </c>
    </row>
    <row r="235" spans="64:71" x14ac:dyDescent="0.25">
      <c r="BL235" s="58"/>
      <c r="BM235" s="58"/>
      <c r="BN235" s="59"/>
      <c r="BO235" s="59"/>
      <c r="BP235" s="61"/>
      <c r="BQ235" s="61"/>
      <c r="BR235" s="63" t="s">
        <v>386</v>
      </c>
      <c r="BS235" s="63">
        <v>0.2</v>
      </c>
    </row>
    <row r="236" spans="64:71" x14ac:dyDescent="0.25">
      <c r="BL236" s="58"/>
      <c r="BM236" s="58"/>
      <c r="BN236" s="59"/>
      <c r="BO236" s="59"/>
      <c r="BP236" s="61"/>
      <c r="BQ236" s="61"/>
      <c r="BR236" s="63" t="s">
        <v>388</v>
      </c>
      <c r="BS236" s="63">
        <v>0.15</v>
      </c>
    </row>
    <row r="237" spans="64:71" x14ac:dyDescent="0.25">
      <c r="BL237" s="58"/>
      <c r="BM237" s="58"/>
      <c r="BN237" s="59"/>
      <c r="BO237" s="59"/>
      <c r="BP237" s="61"/>
      <c r="BQ237" s="61"/>
      <c r="BR237" s="63" t="s">
        <v>390</v>
      </c>
      <c r="BS237" s="63">
        <v>0.2</v>
      </c>
    </row>
    <row r="238" spans="64:71" x14ac:dyDescent="0.25">
      <c r="BL238" s="58"/>
      <c r="BM238" s="58"/>
      <c r="BN238" s="59"/>
      <c r="BO238" s="59"/>
      <c r="BP238" s="61"/>
      <c r="BQ238" s="61"/>
      <c r="BR238" s="63" t="s">
        <v>392</v>
      </c>
      <c r="BS238" s="63">
        <v>0.2</v>
      </c>
    </row>
    <row r="239" spans="64:71" x14ac:dyDescent="0.25">
      <c r="BL239" s="58"/>
      <c r="BM239" s="58"/>
      <c r="BN239" s="59"/>
      <c r="BO239" s="59"/>
      <c r="BP239" s="61"/>
      <c r="BQ239" s="61"/>
      <c r="BR239" s="63" t="s">
        <v>394</v>
      </c>
      <c r="BS239" s="63">
        <v>0.3</v>
      </c>
    </row>
    <row r="240" spans="64:71" x14ac:dyDescent="0.25">
      <c r="BL240" s="58"/>
      <c r="BM240" s="58"/>
      <c r="BN240" s="59"/>
      <c r="BO240" s="59"/>
      <c r="BP240" s="61"/>
      <c r="BQ240" s="61"/>
      <c r="BR240" s="63" t="s">
        <v>396</v>
      </c>
      <c r="BS240" s="63">
        <v>0.5</v>
      </c>
    </row>
    <row r="241" spans="64:71" x14ac:dyDescent="0.25">
      <c r="BL241" s="58"/>
      <c r="BM241" s="58"/>
      <c r="BN241" s="59"/>
      <c r="BO241" s="59"/>
      <c r="BP241" s="61"/>
      <c r="BQ241" s="61"/>
      <c r="BR241" s="63"/>
      <c r="BS241" s="63"/>
    </row>
    <row r="242" spans="64:71" x14ac:dyDescent="0.25">
      <c r="BL242" s="58"/>
      <c r="BM242" s="58"/>
      <c r="BN242" s="59"/>
      <c r="BO242" s="59"/>
      <c r="BP242" s="61"/>
      <c r="BQ242" s="61"/>
      <c r="BR242" s="63"/>
      <c r="BS242" s="63"/>
    </row>
    <row r="243" spans="64:71" x14ac:dyDescent="0.25">
      <c r="BL243" s="58"/>
      <c r="BM243" s="58"/>
      <c r="BN243" s="59"/>
      <c r="BO243" s="59"/>
      <c r="BP243" s="61"/>
      <c r="BQ243" s="61"/>
      <c r="BR243" s="63"/>
      <c r="BS243" s="63"/>
    </row>
    <row r="244" spans="64:71" x14ac:dyDescent="0.25">
      <c r="BL244" s="58"/>
      <c r="BM244" s="58"/>
      <c r="BN244" s="59"/>
      <c r="BO244" s="59"/>
      <c r="BP244" s="61"/>
      <c r="BQ244" s="61"/>
      <c r="BR244" s="63"/>
      <c r="BS244" s="63"/>
    </row>
    <row r="245" spans="64:71" x14ac:dyDescent="0.25">
      <c r="BL245" s="58"/>
      <c r="BM245" s="58"/>
      <c r="BN245" s="59"/>
      <c r="BO245" s="59"/>
      <c r="BP245" s="61"/>
      <c r="BQ245" s="61"/>
      <c r="BR245" s="63"/>
      <c r="BS245" s="63"/>
    </row>
    <row r="246" spans="64:71" x14ac:dyDescent="0.25">
      <c r="BL246" s="58"/>
      <c r="BM246" s="58"/>
      <c r="BN246" s="59"/>
      <c r="BO246" s="59"/>
      <c r="BP246" s="61"/>
      <c r="BQ246" s="61"/>
      <c r="BR246" s="63"/>
      <c r="BS246" s="63"/>
    </row>
    <row r="247" spans="64:71" x14ac:dyDescent="0.25">
      <c r="BL247" s="58"/>
      <c r="BM247" s="58"/>
      <c r="BN247" s="59"/>
      <c r="BO247" s="59"/>
      <c r="BP247" s="61"/>
      <c r="BQ247" s="61"/>
      <c r="BR247" s="63"/>
      <c r="BS247" s="63"/>
    </row>
    <row r="248" spans="64:71" x14ac:dyDescent="0.25">
      <c r="BL248" s="58"/>
      <c r="BM248" s="58"/>
      <c r="BN248" s="59"/>
      <c r="BO248" s="59"/>
      <c r="BP248" s="61"/>
      <c r="BQ248" s="61"/>
      <c r="BR248" s="63"/>
      <c r="BS248" s="63"/>
    </row>
    <row r="249" spans="64:71" x14ac:dyDescent="0.25">
      <c r="BL249" s="58"/>
      <c r="BM249" s="58"/>
      <c r="BN249" s="59"/>
      <c r="BO249" s="59"/>
      <c r="BP249" s="61"/>
      <c r="BQ249" s="61"/>
      <c r="BR249" s="63"/>
      <c r="BS249" s="63"/>
    </row>
    <row r="250" spans="64:71" x14ac:dyDescent="0.25">
      <c r="BL250" s="58"/>
      <c r="BM250" s="58"/>
      <c r="BN250" s="59"/>
      <c r="BO250" s="59"/>
      <c r="BP250" s="61"/>
      <c r="BQ250" s="61"/>
      <c r="BR250" s="63"/>
      <c r="BS250" s="63"/>
    </row>
    <row r="251" spans="64:71" x14ac:dyDescent="0.25">
      <c r="BL251" s="58"/>
      <c r="BM251" s="58"/>
      <c r="BN251" s="59"/>
      <c r="BO251" s="59"/>
      <c r="BP251" s="61"/>
      <c r="BQ251" s="61"/>
      <c r="BR251" s="63"/>
      <c r="BS251" s="63"/>
    </row>
    <row r="252" spans="64:71" x14ac:dyDescent="0.25">
      <c r="BL252" s="58"/>
      <c r="BM252" s="58"/>
      <c r="BN252" s="59"/>
      <c r="BO252" s="59"/>
      <c r="BP252" s="61"/>
      <c r="BQ252" s="61"/>
      <c r="BR252" s="63"/>
      <c r="BS252" s="63"/>
    </row>
    <row r="253" spans="64:71" x14ac:dyDescent="0.25">
      <c r="BL253" s="58"/>
      <c r="BM253" s="58"/>
      <c r="BN253" s="59"/>
      <c r="BO253" s="59"/>
      <c r="BP253" s="61"/>
      <c r="BQ253" s="61"/>
      <c r="BR253" s="63"/>
      <c r="BS253" s="63"/>
    </row>
    <row r="254" spans="64:71" x14ac:dyDescent="0.25">
      <c r="BL254" s="58"/>
      <c r="BM254" s="58"/>
      <c r="BN254" s="59"/>
      <c r="BO254" s="59"/>
      <c r="BP254" s="61"/>
      <c r="BQ254" s="61"/>
      <c r="BR254" s="63"/>
      <c r="BS254" s="63"/>
    </row>
    <row r="255" spans="64:71" x14ac:dyDescent="0.25">
      <c r="BL255" s="58"/>
      <c r="BM255" s="58"/>
      <c r="BN255" s="59"/>
      <c r="BO255" s="59"/>
      <c r="BP255" s="61"/>
      <c r="BQ255" s="61"/>
      <c r="BR255" s="63"/>
      <c r="BS255" s="63"/>
    </row>
    <row r="256" spans="64:71" x14ac:dyDescent="0.25">
      <c r="BL256" s="58"/>
      <c r="BM256" s="58"/>
      <c r="BN256" s="59"/>
      <c r="BO256" s="59"/>
      <c r="BP256" s="61"/>
      <c r="BQ256" s="61"/>
      <c r="BR256" s="63"/>
      <c r="BS256" s="63"/>
    </row>
    <row r="257" spans="63:71" x14ac:dyDescent="0.25">
      <c r="BK257" s="8">
        <v>6</v>
      </c>
      <c r="BL257" s="58"/>
      <c r="BM257" s="58"/>
      <c r="BN257" s="59" t="s">
        <v>553</v>
      </c>
      <c r="BO257" s="59">
        <v>0.3</v>
      </c>
      <c r="BP257" s="61" t="s">
        <v>477</v>
      </c>
      <c r="BQ257" s="61">
        <v>0.2</v>
      </c>
      <c r="BR257" s="63" t="s">
        <v>521</v>
      </c>
      <c r="BS257" s="63">
        <v>0.2</v>
      </c>
    </row>
    <row r="258" spans="63:71" x14ac:dyDescent="0.25">
      <c r="BL258" s="58"/>
      <c r="BM258" s="58"/>
      <c r="BN258" s="59" t="s">
        <v>477</v>
      </c>
      <c r="BO258" s="59">
        <v>0.2</v>
      </c>
      <c r="BP258" s="61" t="s">
        <v>480</v>
      </c>
      <c r="BQ258" s="61">
        <v>0.3</v>
      </c>
      <c r="BR258" s="63" t="s">
        <v>522</v>
      </c>
      <c r="BS258" s="63">
        <v>0.05</v>
      </c>
    </row>
    <row r="259" spans="63:71" x14ac:dyDescent="0.25">
      <c r="BL259" s="58"/>
      <c r="BM259" s="58"/>
      <c r="BN259" s="59" t="s">
        <v>478</v>
      </c>
      <c r="BO259" s="59">
        <v>0.25</v>
      </c>
      <c r="BP259" s="61" t="s">
        <v>482</v>
      </c>
      <c r="BQ259" s="61">
        <v>0.3</v>
      </c>
      <c r="BR259" s="63" t="s">
        <v>523</v>
      </c>
      <c r="BS259" s="63">
        <v>0.3</v>
      </c>
    </row>
    <row r="260" spans="63:71" x14ac:dyDescent="0.25">
      <c r="BL260" s="58"/>
      <c r="BM260" s="58"/>
      <c r="BN260" s="59" t="s">
        <v>479</v>
      </c>
      <c r="BO260" s="59">
        <v>0.05</v>
      </c>
      <c r="BP260" s="61" t="s">
        <v>484</v>
      </c>
      <c r="BQ260" s="61">
        <v>0.5</v>
      </c>
      <c r="BR260" s="63" t="s">
        <v>478</v>
      </c>
      <c r="BS260" s="63">
        <v>0.3</v>
      </c>
    </row>
    <row r="261" spans="63:71" x14ac:dyDescent="0.25">
      <c r="BL261" s="58"/>
      <c r="BM261" s="58"/>
      <c r="BN261" s="59" t="s">
        <v>480</v>
      </c>
      <c r="BO261" s="59">
        <v>0.3</v>
      </c>
      <c r="BP261" s="61" t="s">
        <v>486</v>
      </c>
      <c r="BQ261" s="61">
        <v>0.4</v>
      </c>
      <c r="BR261" s="63" t="s">
        <v>1316</v>
      </c>
      <c r="BS261" s="63">
        <v>0.1</v>
      </c>
    </row>
    <row r="262" spans="63:71" x14ac:dyDescent="0.25">
      <c r="BL262" s="58"/>
      <c r="BM262" s="58"/>
      <c r="BN262" s="59" t="s">
        <v>481</v>
      </c>
      <c r="BO262" s="59">
        <v>0.4</v>
      </c>
      <c r="BP262" s="61" t="s">
        <v>488</v>
      </c>
      <c r="BQ262" s="61">
        <v>0.7</v>
      </c>
      <c r="BR262" s="63" t="s">
        <v>524</v>
      </c>
      <c r="BS262" s="63">
        <v>0.15</v>
      </c>
    </row>
    <row r="263" spans="63:71" x14ac:dyDescent="0.25">
      <c r="BL263" s="58"/>
      <c r="BM263" s="58"/>
      <c r="BN263" s="59" t="s">
        <v>482</v>
      </c>
      <c r="BO263" s="59">
        <v>0.3</v>
      </c>
      <c r="BP263" s="61" t="s">
        <v>553</v>
      </c>
      <c r="BQ263" s="61">
        <v>0.3</v>
      </c>
      <c r="BR263" s="63" t="s">
        <v>525</v>
      </c>
      <c r="BS263" s="63">
        <v>0.4</v>
      </c>
    </row>
    <row r="264" spans="63:71" x14ac:dyDescent="0.25">
      <c r="BL264" s="58"/>
      <c r="BM264" s="58"/>
      <c r="BN264" s="59" t="s">
        <v>60</v>
      </c>
      <c r="BO264" s="59">
        <v>0.35</v>
      </c>
      <c r="BP264" s="61"/>
      <c r="BQ264" s="61"/>
      <c r="BR264" s="63" t="s">
        <v>60</v>
      </c>
      <c r="BS264" s="63">
        <v>0.4</v>
      </c>
    </row>
    <row r="265" spans="63:71" x14ac:dyDescent="0.25">
      <c r="BL265" s="58"/>
      <c r="BM265" s="58"/>
      <c r="BN265" s="59" t="s">
        <v>483</v>
      </c>
      <c r="BO265" s="59">
        <v>0.1</v>
      </c>
      <c r="BP265" s="61"/>
      <c r="BQ265" s="61"/>
      <c r="BR265" s="63" t="s">
        <v>526</v>
      </c>
      <c r="BS265" s="63">
        <v>0.2</v>
      </c>
    </row>
    <row r="266" spans="63:71" x14ac:dyDescent="0.25">
      <c r="BL266" s="58"/>
      <c r="BM266" s="58"/>
      <c r="BN266" s="59" t="s">
        <v>484</v>
      </c>
      <c r="BO266" s="59">
        <v>0.5</v>
      </c>
      <c r="BP266" s="61"/>
      <c r="BQ266" s="61"/>
      <c r="BR266" s="63" t="s">
        <v>527</v>
      </c>
      <c r="BS266" s="63">
        <v>0.25</v>
      </c>
    </row>
    <row r="267" spans="63:71" x14ac:dyDescent="0.25">
      <c r="BL267" s="58"/>
      <c r="BM267" s="58"/>
      <c r="BN267" s="59" t="s">
        <v>485</v>
      </c>
      <c r="BO267" s="59">
        <v>0.5</v>
      </c>
      <c r="BP267" s="61"/>
      <c r="BQ267" s="61"/>
      <c r="BR267" s="63"/>
      <c r="BS267" s="63"/>
    </row>
    <row r="268" spans="63:71" x14ac:dyDescent="0.25">
      <c r="BL268" s="58"/>
      <c r="BM268" s="58"/>
      <c r="BN268" s="59" t="s">
        <v>486</v>
      </c>
      <c r="BO268" s="59">
        <v>0.4</v>
      </c>
      <c r="BP268" s="61"/>
      <c r="BQ268" s="61"/>
      <c r="BR268" s="63"/>
      <c r="BS268" s="63"/>
    </row>
    <row r="269" spans="63:71" x14ac:dyDescent="0.25">
      <c r="BL269" s="58"/>
      <c r="BM269" s="58"/>
      <c r="BN269" s="59" t="s">
        <v>487</v>
      </c>
      <c r="BO269" s="59">
        <v>0.45</v>
      </c>
      <c r="BP269" s="61"/>
      <c r="BQ269" s="61"/>
      <c r="BR269" s="63"/>
      <c r="BS269" s="63"/>
    </row>
    <row r="270" spans="63:71" x14ac:dyDescent="0.25">
      <c r="BL270" s="58"/>
      <c r="BM270" s="58"/>
      <c r="BN270" s="59" t="s">
        <v>1315</v>
      </c>
      <c r="BO270" s="59">
        <v>0.15</v>
      </c>
      <c r="BP270" s="61"/>
      <c r="BQ270" s="61"/>
      <c r="BR270" s="63"/>
      <c r="BS270" s="63"/>
    </row>
    <row r="271" spans="63:71" x14ac:dyDescent="0.25">
      <c r="BL271" s="58"/>
      <c r="BM271" s="58"/>
      <c r="BN271" s="59" t="s">
        <v>488</v>
      </c>
      <c r="BO271" s="59">
        <v>0.7</v>
      </c>
      <c r="BP271" s="61"/>
      <c r="BQ271" s="61"/>
      <c r="BR271" s="63"/>
      <c r="BS271" s="63"/>
    </row>
    <row r="272" spans="63:71" x14ac:dyDescent="0.25">
      <c r="BL272" s="58"/>
      <c r="BM272" s="58"/>
      <c r="BN272" s="59" t="s">
        <v>489</v>
      </c>
      <c r="BO272" s="59">
        <v>0.5</v>
      </c>
      <c r="BP272" s="61"/>
      <c r="BQ272" s="61"/>
      <c r="BR272" s="63"/>
      <c r="BS272" s="63"/>
    </row>
    <row r="273" spans="63:71" x14ac:dyDescent="0.25">
      <c r="BL273" s="58"/>
      <c r="BM273" s="58"/>
      <c r="BN273" s="59" t="s">
        <v>490</v>
      </c>
      <c r="BO273" s="59">
        <v>0.2</v>
      </c>
      <c r="BP273" s="61"/>
      <c r="BQ273" s="61"/>
      <c r="BR273" s="63"/>
      <c r="BS273" s="63"/>
    </row>
    <row r="274" spans="63:71" x14ac:dyDescent="0.25">
      <c r="BL274" s="58"/>
      <c r="BM274" s="58"/>
      <c r="BN274" s="59" t="s">
        <v>1401</v>
      </c>
      <c r="BO274" s="59">
        <v>0.9</v>
      </c>
      <c r="BP274" s="61"/>
      <c r="BQ274" s="61"/>
      <c r="BR274" s="63"/>
      <c r="BS274" s="63"/>
    </row>
    <row r="275" spans="63:71" x14ac:dyDescent="0.25">
      <c r="BL275" s="58"/>
      <c r="BM275" s="58"/>
      <c r="BN275" s="59" t="s">
        <v>1403</v>
      </c>
      <c r="BO275" s="59">
        <v>0.5</v>
      </c>
      <c r="BP275" s="61"/>
      <c r="BQ275" s="61"/>
      <c r="BR275" s="63"/>
      <c r="BS275" s="63"/>
    </row>
    <row r="276" spans="63:71" x14ac:dyDescent="0.25">
      <c r="BL276" s="58"/>
      <c r="BM276" s="58"/>
      <c r="BN276" s="59"/>
      <c r="BO276" s="59"/>
      <c r="BP276" s="61"/>
      <c r="BQ276" s="61"/>
      <c r="BR276" s="63"/>
      <c r="BS276" s="63"/>
    </row>
    <row r="277" spans="63:71" x14ac:dyDescent="0.25">
      <c r="BK277" s="8">
        <v>7</v>
      </c>
      <c r="BL277" s="58" t="s">
        <v>432</v>
      </c>
      <c r="BM277" s="58">
        <v>0.1</v>
      </c>
      <c r="BN277" s="59"/>
      <c r="BO277" s="59"/>
      <c r="BP277" s="61" t="s">
        <v>432</v>
      </c>
      <c r="BQ277" s="61">
        <v>0.1</v>
      </c>
      <c r="BR277" s="63"/>
      <c r="BS277" s="63"/>
    </row>
    <row r="278" spans="63:71" x14ac:dyDescent="0.25">
      <c r="BL278" s="58" t="s">
        <v>56</v>
      </c>
      <c r="BM278" s="58">
        <v>0.15</v>
      </c>
      <c r="BN278" s="59"/>
      <c r="BO278" s="59"/>
      <c r="BP278" s="61" t="s">
        <v>56</v>
      </c>
      <c r="BQ278" s="61">
        <v>0.15</v>
      </c>
      <c r="BR278" s="63"/>
      <c r="BS278" s="63"/>
    </row>
    <row r="279" spans="63:71" x14ac:dyDescent="0.25">
      <c r="BL279" s="58" t="s">
        <v>433</v>
      </c>
      <c r="BM279" s="58">
        <v>0.2</v>
      </c>
      <c r="BN279" s="59"/>
      <c r="BO279" s="59"/>
      <c r="BP279" s="61" t="s">
        <v>433</v>
      </c>
      <c r="BQ279" s="61">
        <v>0.2</v>
      </c>
      <c r="BR279" s="63"/>
      <c r="BS279" s="63"/>
    </row>
    <row r="280" spans="63:71" x14ac:dyDescent="0.25">
      <c r="BL280" s="58" t="s">
        <v>57</v>
      </c>
      <c r="BM280" s="58">
        <v>0.25</v>
      </c>
      <c r="BN280" s="59"/>
      <c r="BO280" s="59"/>
      <c r="BP280" s="61" t="s">
        <v>57</v>
      </c>
      <c r="BQ280" s="61">
        <v>0.25</v>
      </c>
      <c r="BR280" s="63"/>
      <c r="BS280" s="63"/>
    </row>
    <row r="281" spans="63:71" x14ac:dyDescent="0.25">
      <c r="BL281" s="58" t="s">
        <v>434</v>
      </c>
      <c r="BM281" s="58">
        <v>0.1</v>
      </c>
      <c r="BN281" s="59"/>
      <c r="BO281" s="59"/>
      <c r="BP281" s="61" t="s">
        <v>434</v>
      </c>
      <c r="BQ281" s="61">
        <v>0.1</v>
      </c>
      <c r="BR281" s="63"/>
      <c r="BS281" s="63"/>
    </row>
    <row r="282" spans="63:71" x14ac:dyDescent="0.25">
      <c r="BL282" s="58" t="s">
        <v>435</v>
      </c>
      <c r="BM282" s="58">
        <v>0.2</v>
      </c>
      <c r="BN282" s="59"/>
      <c r="BO282" s="59"/>
      <c r="BP282" s="61" t="s">
        <v>435</v>
      </c>
      <c r="BQ282" s="61">
        <v>0.2</v>
      </c>
      <c r="BR282" s="63"/>
      <c r="BS282" s="63"/>
    </row>
    <row r="283" spans="63:71" x14ac:dyDescent="0.25">
      <c r="BL283" s="58" t="s">
        <v>436</v>
      </c>
      <c r="BM283" s="58">
        <v>0.3</v>
      </c>
      <c r="BN283" s="59"/>
      <c r="BO283" s="59"/>
      <c r="BP283" s="61" t="s">
        <v>436</v>
      </c>
      <c r="BQ283" s="61">
        <v>0.3</v>
      </c>
      <c r="BR283" s="63"/>
      <c r="BS283" s="63"/>
    </row>
    <row r="284" spans="63:71" x14ac:dyDescent="0.25">
      <c r="BL284" s="58" t="s">
        <v>437</v>
      </c>
      <c r="BM284" s="58">
        <v>0.4</v>
      </c>
      <c r="BN284" s="59"/>
      <c r="BO284" s="59"/>
      <c r="BP284" s="61" t="s">
        <v>437</v>
      </c>
      <c r="BQ284" s="61">
        <v>0.4</v>
      </c>
      <c r="BR284" s="63"/>
      <c r="BS284" s="63"/>
    </row>
    <row r="285" spans="63:71" x14ac:dyDescent="0.25">
      <c r="BL285" s="58" t="s">
        <v>438</v>
      </c>
      <c r="BM285" s="58">
        <v>0.05</v>
      </c>
      <c r="BN285" s="59"/>
      <c r="BO285" s="59"/>
      <c r="BP285" s="61" t="s">
        <v>438</v>
      </c>
      <c r="BQ285" s="61">
        <v>0.05</v>
      </c>
      <c r="BR285" s="63"/>
      <c r="BS285" s="63"/>
    </row>
    <row r="286" spans="63:71" x14ac:dyDescent="0.25">
      <c r="BL286" s="58" t="s">
        <v>439</v>
      </c>
      <c r="BM286" s="58">
        <v>0.2</v>
      </c>
      <c r="BN286" s="59"/>
      <c r="BO286" s="59"/>
      <c r="BP286" s="61" t="s">
        <v>440</v>
      </c>
      <c r="BQ286" s="61">
        <v>0.3</v>
      </c>
      <c r="BR286" s="63"/>
      <c r="BS286" s="63"/>
    </row>
    <row r="287" spans="63:71" x14ac:dyDescent="0.25">
      <c r="BL287" s="58" t="s">
        <v>440</v>
      </c>
      <c r="BM287" s="58">
        <v>0.3</v>
      </c>
      <c r="BN287" s="59"/>
      <c r="BO287" s="59"/>
      <c r="BP287" s="61" t="s">
        <v>441</v>
      </c>
      <c r="BQ287" s="61">
        <v>0.5</v>
      </c>
      <c r="BR287" s="63"/>
      <c r="BS287" s="63"/>
    </row>
    <row r="288" spans="63:71" x14ac:dyDescent="0.25">
      <c r="BL288" s="58" t="s">
        <v>441</v>
      </c>
      <c r="BM288" s="58">
        <v>0.5</v>
      </c>
      <c r="BN288" s="59"/>
      <c r="BO288" s="59"/>
      <c r="BP288" s="61" t="s">
        <v>442</v>
      </c>
      <c r="BQ288" s="61">
        <v>0.6</v>
      </c>
      <c r="BR288" s="63"/>
      <c r="BS288" s="63"/>
    </row>
    <row r="289" spans="64:71" x14ac:dyDescent="0.25">
      <c r="BL289" s="58" t="s">
        <v>442</v>
      </c>
      <c r="BM289" s="58">
        <v>0.6</v>
      </c>
      <c r="BN289" s="59"/>
      <c r="BO289" s="59"/>
      <c r="BP289" s="61" t="s">
        <v>446</v>
      </c>
      <c r="BQ289" s="61">
        <v>0.4</v>
      </c>
      <c r="BR289" s="63"/>
      <c r="BS289" s="63"/>
    </row>
    <row r="290" spans="64:71" x14ac:dyDescent="0.25">
      <c r="BL290" s="58" t="s">
        <v>443</v>
      </c>
      <c r="BM290" s="58">
        <v>0.8</v>
      </c>
      <c r="BN290" s="59"/>
      <c r="BO290" s="59"/>
      <c r="BP290" s="61" t="s">
        <v>447</v>
      </c>
      <c r="BQ290" s="61">
        <v>0.6</v>
      </c>
      <c r="BR290" s="63"/>
      <c r="BS290" s="63"/>
    </row>
    <row r="291" spans="64:71" x14ac:dyDescent="0.25">
      <c r="BL291" s="58" t="s">
        <v>444</v>
      </c>
      <c r="BM291" s="58">
        <v>1.4</v>
      </c>
      <c r="BN291" s="59"/>
      <c r="BO291" s="59"/>
      <c r="BP291" s="61" t="s">
        <v>448</v>
      </c>
      <c r="BQ291" s="61">
        <v>0.7</v>
      </c>
      <c r="BR291" s="63"/>
      <c r="BS291" s="63"/>
    </row>
    <row r="292" spans="64:71" x14ac:dyDescent="0.25">
      <c r="BL292" s="58" t="s">
        <v>445</v>
      </c>
      <c r="BM292" s="58">
        <v>0.1</v>
      </c>
      <c r="BN292" s="59"/>
      <c r="BO292" s="59"/>
      <c r="BP292" s="61" t="s">
        <v>450</v>
      </c>
      <c r="BQ292" s="61">
        <v>2.5000000000000001E-2</v>
      </c>
      <c r="BR292" s="63"/>
      <c r="BS292" s="63"/>
    </row>
    <row r="293" spans="64:71" x14ac:dyDescent="0.25">
      <c r="BL293" s="58" t="s">
        <v>446</v>
      </c>
      <c r="BM293" s="58">
        <v>0.4</v>
      </c>
      <c r="BN293" s="59"/>
      <c r="BO293" s="59"/>
      <c r="BP293" s="61" t="s">
        <v>451</v>
      </c>
      <c r="BQ293" s="61">
        <v>0.125</v>
      </c>
      <c r="BR293" s="63"/>
      <c r="BS293" s="63"/>
    </row>
    <row r="294" spans="64:71" x14ac:dyDescent="0.25">
      <c r="BL294" s="58" t="s">
        <v>447</v>
      </c>
      <c r="BM294" s="58">
        <v>0.6</v>
      </c>
      <c r="BN294" s="59"/>
      <c r="BO294" s="59"/>
      <c r="BP294" s="61" t="s">
        <v>1309</v>
      </c>
      <c r="BQ294" s="61">
        <v>0.17499999999999999</v>
      </c>
      <c r="BR294" s="63"/>
      <c r="BS294" s="63"/>
    </row>
    <row r="295" spans="64:71" x14ac:dyDescent="0.25">
      <c r="BL295" s="58" t="s">
        <v>448</v>
      </c>
      <c r="BM295" s="58">
        <v>0.7</v>
      </c>
      <c r="BN295" s="59"/>
      <c r="BO295" s="59"/>
      <c r="BP295" s="61" t="s">
        <v>452</v>
      </c>
      <c r="BQ295" s="61">
        <v>0.22500000000000001</v>
      </c>
      <c r="BR295" s="63"/>
      <c r="BS295" s="63"/>
    </row>
    <row r="296" spans="64:71" x14ac:dyDescent="0.25">
      <c r="BL296" s="58" t="s">
        <v>449</v>
      </c>
      <c r="BM296" s="58">
        <v>0.1</v>
      </c>
      <c r="BN296" s="59"/>
      <c r="BO296" s="59"/>
      <c r="BP296" s="61" t="s">
        <v>454</v>
      </c>
      <c r="BQ296" s="61">
        <v>0.4</v>
      </c>
      <c r="BR296" s="63"/>
      <c r="BS296" s="63"/>
    </row>
    <row r="297" spans="64:71" x14ac:dyDescent="0.25">
      <c r="BL297" s="58" t="s">
        <v>450</v>
      </c>
      <c r="BM297" s="58">
        <v>2.5000000000000001E-2</v>
      </c>
      <c r="BN297" s="59"/>
      <c r="BO297" s="59"/>
      <c r="BP297" s="61" t="s">
        <v>455</v>
      </c>
      <c r="BQ297" s="61">
        <v>0.5</v>
      </c>
      <c r="BR297" s="63"/>
      <c r="BS297" s="63"/>
    </row>
    <row r="298" spans="64:71" x14ac:dyDescent="0.25">
      <c r="BL298" s="58" t="s">
        <v>451</v>
      </c>
      <c r="BM298" s="58">
        <v>0.125</v>
      </c>
      <c r="BN298" s="59"/>
      <c r="BO298" s="59"/>
      <c r="BP298" s="61" t="s">
        <v>456</v>
      </c>
      <c r="BQ298" s="61">
        <v>0.6</v>
      </c>
      <c r="BR298" s="63"/>
      <c r="BS298" s="63"/>
    </row>
    <row r="299" spans="64:71" x14ac:dyDescent="0.25">
      <c r="BL299" s="58" t="s">
        <v>1309</v>
      </c>
      <c r="BM299" s="58">
        <v>0.17499999999999999</v>
      </c>
      <c r="BN299" s="59"/>
      <c r="BO299" s="59"/>
      <c r="BP299" s="61" t="s">
        <v>457</v>
      </c>
      <c r="BQ299" s="61">
        <v>0.7</v>
      </c>
      <c r="BR299" s="63"/>
      <c r="BS299" s="63"/>
    </row>
    <row r="300" spans="64:71" x14ac:dyDescent="0.25">
      <c r="BL300" s="58" t="s">
        <v>452</v>
      </c>
      <c r="BM300" s="58">
        <v>0.22500000000000001</v>
      </c>
      <c r="BN300" s="59"/>
      <c r="BO300" s="59"/>
      <c r="BP300" s="61" t="s">
        <v>1310</v>
      </c>
      <c r="BQ300" s="61">
        <v>0.6</v>
      </c>
      <c r="BR300" s="63"/>
      <c r="BS300" s="63"/>
    </row>
    <row r="301" spans="64:71" x14ac:dyDescent="0.25">
      <c r="BL301" s="58" t="s">
        <v>453</v>
      </c>
      <c r="BM301" s="58">
        <v>0.3</v>
      </c>
      <c r="BN301" s="59"/>
      <c r="BO301" s="59"/>
      <c r="BP301" s="61" t="s">
        <v>1311</v>
      </c>
      <c r="BQ301" s="61">
        <v>0.7</v>
      </c>
      <c r="BR301" s="63"/>
      <c r="BS301" s="63"/>
    </row>
    <row r="302" spans="64:71" x14ac:dyDescent="0.25">
      <c r="BL302" s="58" t="s">
        <v>454</v>
      </c>
      <c r="BM302" s="58">
        <v>0.4</v>
      </c>
      <c r="BN302" s="59"/>
      <c r="BO302" s="59"/>
      <c r="BP302" s="61" t="s">
        <v>459</v>
      </c>
      <c r="BQ302" s="61">
        <v>0.9</v>
      </c>
      <c r="BR302" s="63"/>
      <c r="BS302" s="63"/>
    </row>
    <row r="303" spans="64:71" x14ac:dyDescent="0.25">
      <c r="BL303" s="58" t="s">
        <v>455</v>
      </c>
      <c r="BM303" s="58">
        <v>0.5</v>
      </c>
      <c r="BN303" s="59"/>
      <c r="BO303" s="59"/>
      <c r="BP303" s="61" t="s">
        <v>460</v>
      </c>
      <c r="BQ303" s="61">
        <v>1</v>
      </c>
      <c r="BR303" s="63"/>
      <c r="BS303" s="63"/>
    </row>
    <row r="304" spans="64:71" x14ac:dyDescent="0.25">
      <c r="BL304" s="58" t="s">
        <v>456</v>
      </c>
      <c r="BM304" s="58">
        <v>0.6</v>
      </c>
      <c r="BN304" s="59"/>
      <c r="BO304" s="59"/>
      <c r="BP304" s="61" t="s">
        <v>445</v>
      </c>
      <c r="BQ304" s="61">
        <v>0.1</v>
      </c>
      <c r="BR304" s="63"/>
      <c r="BS304" s="63"/>
    </row>
    <row r="305" spans="63:71" x14ac:dyDescent="0.25">
      <c r="BL305" s="58" t="s">
        <v>457</v>
      </c>
      <c r="BM305" s="58">
        <v>0.7</v>
      </c>
      <c r="BN305" s="59"/>
      <c r="BO305" s="59"/>
      <c r="BP305" s="61" t="s">
        <v>449</v>
      </c>
      <c r="BQ305" s="61">
        <v>0.1</v>
      </c>
      <c r="BR305" s="63"/>
      <c r="BS305" s="63"/>
    </row>
    <row r="306" spans="63:71" x14ac:dyDescent="0.25">
      <c r="BL306" s="58" t="s">
        <v>458</v>
      </c>
      <c r="BM306" s="58">
        <v>0.8</v>
      </c>
      <c r="BN306" s="59"/>
      <c r="BO306" s="59"/>
      <c r="BP306" s="61"/>
      <c r="BQ306" s="61"/>
      <c r="BR306" s="63"/>
      <c r="BS306" s="63"/>
    </row>
    <row r="307" spans="63:71" x14ac:dyDescent="0.25">
      <c r="BL307" s="58" t="s">
        <v>1310</v>
      </c>
      <c r="BM307" s="58">
        <v>0.6</v>
      </c>
      <c r="BN307" s="59"/>
      <c r="BO307" s="59"/>
      <c r="BP307" s="61"/>
      <c r="BQ307" s="61"/>
      <c r="BR307" s="63"/>
      <c r="BS307" s="63"/>
    </row>
    <row r="308" spans="63:71" x14ac:dyDescent="0.25">
      <c r="BL308" s="58" t="s">
        <v>1311</v>
      </c>
      <c r="BM308" s="58">
        <v>0.7</v>
      </c>
      <c r="BN308" s="59"/>
      <c r="BO308" s="59"/>
      <c r="BP308" s="61"/>
      <c r="BQ308" s="61"/>
      <c r="BR308" s="63"/>
      <c r="BS308" s="63"/>
    </row>
    <row r="309" spans="63:71" x14ac:dyDescent="0.25">
      <c r="BL309" s="58" t="s">
        <v>459</v>
      </c>
      <c r="BM309" s="58">
        <v>0.9</v>
      </c>
      <c r="BN309" s="59"/>
      <c r="BO309" s="59"/>
      <c r="BP309" s="61"/>
      <c r="BQ309" s="61"/>
      <c r="BR309" s="63"/>
      <c r="BS309" s="63"/>
    </row>
    <row r="310" spans="63:71" x14ac:dyDescent="0.25">
      <c r="BL310" s="58" t="s">
        <v>460</v>
      </c>
      <c r="BM310" s="58">
        <v>1</v>
      </c>
      <c r="BN310" s="59"/>
      <c r="BO310" s="59"/>
      <c r="BP310" s="61"/>
      <c r="BQ310" s="61"/>
      <c r="BR310" s="63"/>
      <c r="BS310" s="63"/>
    </row>
    <row r="311" spans="63:71" x14ac:dyDescent="0.25">
      <c r="BL311" s="58" t="s">
        <v>1300</v>
      </c>
      <c r="BM311" s="58">
        <v>0.35</v>
      </c>
      <c r="BN311" s="59"/>
      <c r="BO311" s="59"/>
      <c r="BP311" s="61"/>
      <c r="BQ311" s="61"/>
      <c r="BR311" s="63"/>
      <c r="BS311" s="63"/>
    </row>
    <row r="312" spans="63:71" x14ac:dyDescent="0.25">
      <c r="BL312" s="58" t="s">
        <v>1393</v>
      </c>
      <c r="BM312" s="58">
        <v>0.8</v>
      </c>
      <c r="BN312" s="59"/>
      <c r="BO312" s="59"/>
      <c r="BP312" s="61"/>
      <c r="BQ312" s="61"/>
      <c r="BR312" s="63"/>
      <c r="BS312" s="63"/>
    </row>
    <row r="313" spans="63:71" x14ac:dyDescent="0.25">
      <c r="BL313" s="58" t="s">
        <v>1399</v>
      </c>
      <c r="BM313" s="58">
        <v>0.9</v>
      </c>
      <c r="BN313" s="59"/>
      <c r="BO313" s="59"/>
      <c r="BP313" s="61"/>
      <c r="BQ313" s="61"/>
      <c r="BR313" s="63"/>
      <c r="BS313" s="63"/>
    </row>
    <row r="314" spans="63:71" x14ac:dyDescent="0.25">
      <c r="BL314" s="58"/>
      <c r="BM314" s="58"/>
      <c r="BN314" s="59"/>
      <c r="BO314" s="59"/>
      <c r="BP314" s="61"/>
      <c r="BQ314" s="61"/>
      <c r="BR314" s="63"/>
      <c r="BS314" s="63"/>
    </row>
    <row r="315" spans="63:71" x14ac:dyDescent="0.25">
      <c r="BL315" s="58"/>
      <c r="BM315" s="58"/>
      <c r="BN315" s="59"/>
      <c r="BO315" s="59"/>
      <c r="BP315" s="61"/>
      <c r="BQ315" s="61"/>
      <c r="BR315" s="63"/>
      <c r="BS315" s="63"/>
    </row>
    <row r="316" spans="63:71" x14ac:dyDescent="0.25">
      <c r="BL316" s="58"/>
      <c r="BM316" s="58"/>
      <c r="BN316" s="59"/>
      <c r="BO316" s="59"/>
      <c r="BP316" s="61"/>
      <c r="BQ316" s="61"/>
      <c r="BR316" s="63"/>
      <c r="BS316" s="63"/>
    </row>
    <row r="317" spans="63:71" x14ac:dyDescent="0.25">
      <c r="BK317" s="8">
        <v>8</v>
      </c>
      <c r="BL317" s="58" t="s">
        <v>461</v>
      </c>
      <c r="BM317" s="58">
        <v>0.2</v>
      </c>
      <c r="BN317" s="59" t="s">
        <v>491</v>
      </c>
      <c r="BO317" s="59">
        <v>0.2</v>
      </c>
      <c r="BP317" s="61" t="s">
        <v>506</v>
      </c>
      <c r="BQ317" s="61">
        <v>0.3</v>
      </c>
      <c r="BR317" s="63" t="s">
        <v>528</v>
      </c>
      <c r="BS317" s="63">
        <v>0.2</v>
      </c>
    </row>
    <row r="318" spans="63:71" x14ac:dyDescent="0.25">
      <c r="BL318" s="58" t="s">
        <v>462</v>
      </c>
      <c r="BM318" s="58">
        <v>0.5</v>
      </c>
      <c r="BN318" s="59" t="s">
        <v>492</v>
      </c>
      <c r="BO318" s="59">
        <v>0.3</v>
      </c>
      <c r="BP318" s="61" t="s">
        <v>507</v>
      </c>
      <c r="BQ318" s="61">
        <v>0.3</v>
      </c>
      <c r="BR318" s="63" t="s">
        <v>529</v>
      </c>
      <c r="BS318" s="63">
        <v>0.1</v>
      </c>
    </row>
    <row r="319" spans="63:71" x14ac:dyDescent="0.25">
      <c r="BL319" s="58" t="s">
        <v>463</v>
      </c>
      <c r="BM319" s="58">
        <v>0.4</v>
      </c>
      <c r="BN319" s="59" t="s">
        <v>493</v>
      </c>
      <c r="BO319" s="59">
        <v>0.1</v>
      </c>
      <c r="BP319" s="61" t="s">
        <v>508</v>
      </c>
      <c r="BQ319" s="61">
        <v>0.2</v>
      </c>
      <c r="BR319" s="63" t="s">
        <v>530</v>
      </c>
      <c r="BS319" s="63">
        <v>0.05</v>
      </c>
    </row>
    <row r="320" spans="63:71" x14ac:dyDescent="0.25">
      <c r="BL320" s="58" t="s">
        <v>464</v>
      </c>
      <c r="BM320" s="58">
        <v>0.2</v>
      </c>
      <c r="BN320" s="59" t="s">
        <v>494</v>
      </c>
      <c r="BO320" s="59">
        <v>0.2</v>
      </c>
      <c r="BP320" s="61" t="s">
        <v>509</v>
      </c>
      <c r="BQ320" s="61">
        <v>0.1</v>
      </c>
      <c r="BR320" s="63" t="s">
        <v>531</v>
      </c>
      <c r="BS320" s="63">
        <v>0.1</v>
      </c>
    </row>
    <row r="321" spans="64:71" x14ac:dyDescent="0.25">
      <c r="BL321" s="58" t="s">
        <v>465</v>
      </c>
      <c r="BM321" s="58">
        <v>0.4</v>
      </c>
      <c r="BN321" s="59" t="s">
        <v>495</v>
      </c>
      <c r="BO321" s="59">
        <v>0.1</v>
      </c>
      <c r="BP321" s="61" t="s">
        <v>510</v>
      </c>
      <c r="BQ321" s="61">
        <v>0.3</v>
      </c>
      <c r="BR321" s="63" t="s">
        <v>532</v>
      </c>
      <c r="BS321" s="63">
        <v>0.2</v>
      </c>
    </row>
    <row r="322" spans="64:71" x14ac:dyDescent="0.25">
      <c r="BL322" s="58" t="s">
        <v>466</v>
      </c>
      <c r="BM322" s="58">
        <v>2.5000000000000001E-2</v>
      </c>
      <c r="BN322" s="59" t="s">
        <v>496</v>
      </c>
      <c r="BO322" s="59">
        <v>0.2</v>
      </c>
      <c r="BP322" s="61" t="s">
        <v>511</v>
      </c>
      <c r="BQ322" s="61">
        <v>0.2</v>
      </c>
      <c r="BR322" s="63" t="s">
        <v>533</v>
      </c>
      <c r="BS322" s="63">
        <v>0.2</v>
      </c>
    </row>
    <row r="323" spans="64:71" x14ac:dyDescent="0.25">
      <c r="BL323" s="58" t="s">
        <v>467</v>
      </c>
      <c r="BM323" s="58">
        <v>0.3</v>
      </c>
      <c r="BN323" s="59" t="s">
        <v>497</v>
      </c>
      <c r="BO323" s="59">
        <v>0.05</v>
      </c>
      <c r="BP323" s="61" t="s">
        <v>512</v>
      </c>
      <c r="BQ323" s="61">
        <v>0.2</v>
      </c>
      <c r="BR323" s="63" t="s">
        <v>534</v>
      </c>
      <c r="BS323" s="63">
        <v>0.2</v>
      </c>
    </row>
    <row r="324" spans="64:71" x14ac:dyDescent="0.25">
      <c r="BL324" s="58" t="s">
        <v>468</v>
      </c>
      <c r="BM324" s="58">
        <v>0.1</v>
      </c>
      <c r="BN324" s="59" t="s">
        <v>498</v>
      </c>
      <c r="BO324" s="59">
        <v>0.2</v>
      </c>
      <c r="BP324" s="61" t="s">
        <v>513</v>
      </c>
      <c r="BQ324" s="61">
        <v>0.1</v>
      </c>
      <c r="BR324" s="63" t="s">
        <v>535</v>
      </c>
      <c r="BS324" s="63">
        <v>0.2</v>
      </c>
    </row>
    <row r="325" spans="64:71" x14ac:dyDescent="0.25">
      <c r="BL325" s="58" t="s">
        <v>469</v>
      </c>
      <c r="BM325" s="58">
        <v>2.5000000000000001E-2</v>
      </c>
      <c r="BN325" s="59" t="s">
        <v>499</v>
      </c>
      <c r="BO325" s="59">
        <v>0.05</v>
      </c>
      <c r="BP325" s="61" t="s">
        <v>514</v>
      </c>
      <c r="BQ325" s="61">
        <v>0.1</v>
      </c>
      <c r="BR325" s="63" t="s">
        <v>536</v>
      </c>
      <c r="BS325" s="63">
        <v>0.05</v>
      </c>
    </row>
    <row r="326" spans="64:71" x14ac:dyDescent="0.25">
      <c r="BL326" s="58" t="s">
        <v>470</v>
      </c>
      <c r="BM326" s="58">
        <v>0.15</v>
      </c>
      <c r="BN326" s="59" t="s">
        <v>500</v>
      </c>
      <c r="BO326" s="59">
        <v>0.1</v>
      </c>
      <c r="BP326" s="61" t="s">
        <v>515</v>
      </c>
      <c r="BQ326" s="61">
        <v>0.05</v>
      </c>
      <c r="BR326" s="63" t="s">
        <v>537</v>
      </c>
      <c r="BS326" s="63">
        <v>0.2</v>
      </c>
    </row>
    <row r="327" spans="64:71" x14ac:dyDescent="0.25">
      <c r="BL327" s="58" t="s">
        <v>471</v>
      </c>
      <c r="BM327" s="58">
        <v>0.05</v>
      </c>
      <c r="BN327" s="59" t="s">
        <v>501</v>
      </c>
      <c r="BO327" s="59">
        <v>0.1</v>
      </c>
      <c r="BP327" s="61" t="s">
        <v>516</v>
      </c>
      <c r="BQ327" s="61">
        <v>0.1</v>
      </c>
      <c r="BR327" s="63" t="s">
        <v>538</v>
      </c>
      <c r="BS327" s="63">
        <v>0.3</v>
      </c>
    </row>
    <row r="328" spans="64:71" x14ac:dyDescent="0.25">
      <c r="BL328" s="58" t="s">
        <v>472</v>
      </c>
      <c r="BM328" s="58">
        <v>0.1</v>
      </c>
      <c r="BN328" s="59" t="s">
        <v>502</v>
      </c>
      <c r="BO328" s="59">
        <v>0.2</v>
      </c>
      <c r="BP328" s="61" t="s">
        <v>517</v>
      </c>
      <c r="BQ328" s="61">
        <v>0.05</v>
      </c>
      <c r="BR328" s="63" t="s">
        <v>539</v>
      </c>
      <c r="BS328" s="63">
        <v>0.3</v>
      </c>
    </row>
    <row r="329" spans="64:71" x14ac:dyDescent="0.25">
      <c r="BL329" s="58" t="s">
        <v>473</v>
      </c>
      <c r="BM329" s="58">
        <v>0.2</v>
      </c>
      <c r="BN329" s="59" t="s">
        <v>503</v>
      </c>
      <c r="BO329" s="59">
        <v>0.1</v>
      </c>
      <c r="BP329" s="61" t="s">
        <v>518</v>
      </c>
      <c r="BQ329" s="61">
        <v>0.3</v>
      </c>
      <c r="BR329" s="63" t="s">
        <v>540</v>
      </c>
      <c r="BS329" s="63">
        <v>0.3</v>
      </c>
    </row>
    <row r="330" spans="64:71" x14ac:dyDescent="0.25">
      <c r="BL330" s="58" t="s">
        <v>474</v>
      </c>
      <c r="BM330" s="58">
        <v>0.2</v>
      </c>
      <c r="BN330" s="59" t="s">
        <v>504</v>
      </c>
      <c r="BO330" s="59">
        <v>0.2</v>
      </c>
      <c r="BP330" s="61" t="s">
        <v>519</v>
      </c>
      <c r="BQ330" s="61">
        <v>0.05</v>
      </c>
      <c r="BR330" s="63" t="s">
        <v>541</v>
      </c>
      <c r="BS330" s="63">
        <v>0.2</v>
      </c>
    </row>
    <row r="331" spans="64:71" x14ac:dyDescent="0.25">
      <c r="BL331" s="58" t="s">
        <v>475</v>
      </c>
      <c r="BM331" s="58">
        <v>0.1</v>
      </c>
      <c r="BN331" s="59" t="s">
        <v>505</v>
      </c>
      <c r="BO331" s="59">
        <v>0.05</v>
      </c>
      <c r="BP331" s="61" t="s">
        <v>520</v>
      </c>
      <c r="BQ331" s="61">
        <v>0.1</v>
      </c>
      <c r="BR331" s="63" t="s">
        <v>542</v>
      </c>
      <c r="BS331" s="63">
        <v>0.2</v>
      </c>
    </row>
    <row r="332" spans="64:71" x14ac:dyDescent="0.25">
      <c r="BL332" s="58" t="s">
        <v>476</v>
      </c>
      <c r="BM332" s="58">
        <v>0.05</v>
      </c>
      <c r="BN332" s="59"/>
      <c r="BO332" s="59"/>
      <c r="BP332" s="61" t="s">
        <v>1293</v>
      </c>
      <c r="BQ332" s="61">
        <v>0.4</v>
      </c>
      <c r="BR332" s="63" t="s">
        <v>543</v>
      </c>
      <c r="BS332" s="63">
        <v>0.1</v>
      </c>
    </row>
    <row r="333" spans="64:71" x14ac:dyDescent="0.25">
      <c r="BL333" s="58"/>
      <c r="BM333" s="58"/>
      <c r="BN333" s="59"/>
      <c r="BO333" s="59"/>
      <c r="BP333" s="61" t="s">
        <v>1299</v>
      </c>
      <c r="BQ333" s="61">
        <v>0.05</v>
      </c>
      <c r="BR333" s="63" t="s">
        <v>544</v>
      </c>
      <c r="BS333" s="63">
        <v>0.1</v>
      </c>
    </row>
    <row r="334" spans="64:71" x14ac:dyDescent="0.25">
      <c r="BL334" s="58"/>
      <c r="BM334" s="58"/>
      <c r="BN334" s="59"/>
      <c r="BO334" s="59"/>
      <c r="BP334" s="61" t="s">
        <v>1389</v>
      </c>
      <c r="BQ334" s="61">
        <v>0.25</v>
      </c>
      <c r="BR334" s="63" t="s">
        <v>545</v>
      </c>
      <c r="BS334" s="63">
        <v>0.1</v>
      </c>
    </row>
    <row r="335" spans="64:71" x14ac:dyDescent="0.25">
      <c r="BL335" s="58"/>
      <c r="BM335" s="58"/>
      <c r="BN335" s="59"/>
      <c r="BO335" s="59"/>
      <c r="BP335" s="61" t="s">
        <v>1390</v>
      </c>
      <c r="BQ335" s="61">
        <v>0.6</v>
      </c>
      <c r="BR335" s="63" t="s">
        <v>546</v>
      </c>
      <c r="BS335" s="63">
        <v>0.1</v>
      </c>
    </row>
    <row r="336" spans="64:71" x14ac:dyDescent="0.25">
      <c r="BL336" s="58"/>
      <c r="BM336" s="58"/>
      <c r="BN336" s="59"/>
      <c r="BO336" s="59"/>
      <c r="BP336" s="61" t="s">
        <v>1391</v>
      </c>
      <c r="BQ336" s="61">
        <v>0.5</v>
      </c>
      <c r="BR336" s="63" t="s">
        <v>547</v>
      </c>
      <c r="BS336" s="63">
        <v>0.05</v>
      </c>
    </row>
    <row r="337" spans="64:71" x14ac:dyDescent="0.25">
      <c r="BL337" s="58"/>
      <c r="BM337" s="58"/>
      <c r="BN337" s="59"/>
      <c r="BO337" s="59"/>
      <c r="BP337" s="61" t="s">
        <v>1392</v>
      </c>
      <c r="BQ337" s="61">
        <v>0.7</v>
      </c>
      <c r="BR337" s="63" t="s">
        <v>548</v>
      </c>
      <c r="BS337" s="63">
        <v>0.05</v>
      </c>
    </row>
    <row r="338" spans="64:71" x14ac:dyDescent="0.25">
      <c r="BL338" s="58"/>
      <c r="BM338" s="58"/>
      <c r="BN338" s="59"/>
      <c r="BO338" s="59"/>
      <c r="BP338" s="61"/>
      <c r="BQ338" s="61"/>
      <c r="BR338" s="63" t="s">
        <v>549</v>
      </c>
      <c r="BS338" s="63">
        <v>0.1</v>
      </c>
    </row>
    <row r="339" spans="64:71" x14ac:dyDescent="0.25">
      <c r="BL339" s="58"/>
      <c r="BM339" s="58"/>
      <c r="BN339" s="59"/>
      <c r="BO339" s="59"/>
      <c r="BP339" s="61"/>
      <c r="BQ339" s="61"/>
      <c r="BR339" s="63" t="s">
        <v>550</v>
      </c>
      <c r="BS339" s="63">
        <v>0.05</v>
      </c>
    </row>
    <row r="340" spans="64:71" x14ac:dyDescent="0.25">
      <c r="BL340" s="58"/>
      <c r="BM340" s="58"/>
      <c r="BN340" s="59"/>
      <c r="BO340" s="59"/>
      <c r="BP340" s="61"/>
      <c r="BQ340" s="61"/>
      <c r="BR340" s="63" t="s">
        <v>551</v>
      </c>
      <c r="BS340" s="63">
        <v>0.1</v>
      </c>
    </row>
    <row r="341" spans="64:71" x14ac:dyDescent="0.25">
      <c r="BL341" s="58"/>
      <c r="BM341" s="58"/>
      <c r="BN341" s="59"/>
      <c r="BO341" s="59"/>
      <c r="BP341" s="61"/>
      <c r="BQ341" s="61"/>
      <c r="BR341" s="63" t="s">
        <v>552</v>
      </c>
      <c r="BS341" s="63">
        <v>0.1</v>
      </c>
    </row>
    <row r="342" spans="64:71" x14ac:dyDescent="0.25">
      <c r="BL342" s="58"/>
      <c r="BM342" s="58"/>
      <c r="BN342" s="59"/>
      <c r="BO342" s="59"/>
      <c r="BP342" s="61"/>
      <c r="BQ342" s="61"/>
      <c r="BR342" s="63" t="s">
        <v>1302</v>
      </c>
      <c r="BS342" s="63">
        <v>0.1</v>
      </c>
    </row>
    <row r="343" spans="64:71" x14ac:dyDescent="0.25">
      <c r="BL343" s="58"/>
      <c r="BM343" s="58"/>
      <c r="BN343" s="59"/>
      <c r="BO343" s="59"/>
      <c r="BP343" s="61"/>
      <c r="BQ343" s="61"/>
      <c r="BR343" s="63" t="s">
        <v>1303</v>
      </c>
      <c r="BS343" s="63">
        <v>0.35</v>
      </c>
    </row>
    <row r="344" spans="64:71" x14ac:dyDescent="0.25">
      <c r="BL344" s="58"/>
      <c r="BM344" s="58"/>
      <c r="BN344" s="59"/>
      <c r="BO344" s="59"/>
      <c r="BP344" s="61"/>
      <c r="BQ344" s="61"/>
      <c r="BR344" s="63" t="s">
        <v>1396</v>
      </c>
      <c r="BS344" s="63">
        <v>0.15</v>
      </c>
    </row>
    <row r="345" spans="64:71" x14ac:dyDescent="0.25">
      <c r="BL345" s="58"/>
      <c r="BM345" s="58"/>
      <c r="BN345" s="59"/>
      <c r="BO345" s="59"/>
      <c r="BP345" s="61"/>
      <c r="BQ345" s="61"/>
      <c r="BR345" s="63" t="s">
        <v>1398</v>
      </c>
      <c r="BS345" s="63">
        <v>0.4</v>
      </c>
    </row>
  </sheetData>
  <sortState xmlns:xlrd2="http://schemas.microsoft.com/office/spreadsheetml/2017/richdata2" ref="E140:E189">
    <sortCondition ref="E140:E189"/>
  </sortState>
  <mergeCells count="4">
    <mergeCell ref="BR1:BS1"/>
    <mergeCell ref="BE1:BF1"/>
    <mergeCell ref="BL1:BM1"/>
    <mergeCell ref="BN1:BO1"/>
  </mergeCells>
  <phoneticPr fontId="10" type="noConversion"/>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H377"/>
  <sheetViews>
    <sheetView zoomScale="160" zoomScaleNormal="160" workbookViewId="0">
      <selection activeCell="U12" sqref="U12"/>
    </sheetView>
  </sheetViews>
  <sheetFormatPr defaultRowHeight="15" x14ac:dyDescent="0.25"/>
  <cols>
    <col min="2" max="2" width="15.42578125" style="3" bestFit="1" customWidth="1"/>
    <col min="3" max="3" width="10.85546875" customWidth="1"/>
    <col min="5" max="5" width="9.140625" style="3"/>
    <col min="8" max="8" width="9.140625" style="3"/>
    <col min="11" max="11" width="9.140625" style="3"/>
    <col min="17" max="17" width="10.28515625" bestFit="1" customWidth="1"/>
    <col min="18" max="18" width="9.140625" style="148"/>
    <col min="20" max="20" width="9.85546875" bestFit="1" customWidth="1"/>
    <col min="23" max="23" width="9.85546875" bestFit="1" customWidth="1"/>
    <col min="30" max="30" width="9.85546875" bestFit="1" customWidth="1"/>
  </cols>
  <sheetData>
    <row r="1" spans="2:34" ht="15.75" x14ac:dyDescent="0.25">
      <c r="B1" s="400" t="s">
        <v>2388</v>
      </c>
      <c r="C1" s="402"/>
      <c r="D1" s="402"/>
      <c r="E1" s="402"/>
      <c r="F1" s="402"/>
      <c r="G1" s="402"/>
      <c r="H1" s="402"/>
      <c r="I1" s="402"/>
      <c r="J1" s="402"/>
      <c r="K1" s="402"/>
      <c r="L1" s="401"/>
    </row>
    <row r="2" spans="2:34" ht="15.75" x14ac:dyDescent="0.25">
      <c r="B2" s="402" t="s">
        <v>1472</v>
      </c>
      <c r="C2" s="402"/>
      <c r="D2" s="150"/>
      <c r="E2" s="402" t="s">
        <v>1473</v>
      </c>
      <c r="F2" s="402"/>
      <c r="G2" s="150"/>
      <c r="H2" s="402" t="s">
        <v>1474</v>
      </c>
      <c r="I2" s="402"/>
      <c r="J2" s="150"/>
      <c r="K2" s="402" t="s">
        <v>1475</v>
      </c>
      <c r="L2" s="402"/>
      <c r="Q2" s="400" t="s">
        <v>1622</v>
      </c>
      <c r="R2" s="401"/>
      <c r="U2" s="396" t="s">
        <v>2418</v>
      </c>
      <c r="V2" s="396"/>
      <c r="W2" s="396"/>
      <c r="X2" s="396"/>
      <c r="Y2" s="396"/>
      <c r="Z2" s="396"/>
      <c r="AA2" s="396"/>
      <c r="AB2" s="396"/>
      <c r="AC2" s="396"/>
      <c r="AD2" s="396"/>
      <c r="AE2" s="396"/>
    </row>
    <row r="3" spans="2:34" s="1" customFormat="1" x14ac:dyDescent="0.25">
      <c r="B3" s="151" t="s">
        <v>1476</v>
      </c>
      <c r="C3" s="151" t="s">
        <v>1477</v>
      </c>
      <c r="D3" s="166"/>
      <c r="E3" s="151" t="s">
        <v>1476</v>
      </c>
      <c r="F3" s="151" t="s">
        <v>1477</v>
      </c>
      <c r="G3" s="166"/>
      <c r="H3" s="151" t="s">
        <v>1476</v>
      </c>
      <c r="I3" s="151" t="s">
        <v>1477</v>
      </c>
      <c r="J3" s="166"/>
      <c r="K3" s="151" t="s">
        <v>1476</v>
      </c>
      <c r="L3" s="151" t="s">
        <v>1477</v>
      </c>
      <c r="Q3" s="151" t="s">
        <v>94</v>
      </c>
      <c r="R3" s="151" t="s">
        <v>93</v>
      </c>
      <c r="U3" s="160" t="s">
        <v>121</v>
      </c>
      <c r="V3" s="160" t="s">
        <v>193</v>
      </c>
      <c r="W3" s="160" t="s">
        <v>1479</v>
      </c>
      <c r="X3" s="160" t="s">
        <v>1480</v>
      </c>
      <c r="Y3" s="160" t="s">
        <v>1481</v>
      </c>
      <c r="Z3" s="160" t="s">
        <v>1483</v>
      </c>
      <c r="AA3" s="160" t="s">
        <v>95</v>
      </c>
      <c r="AB3" s="160" t="s">
        <v>1485</v>
      </c>
      <c r="AC3" s="160" t="s">
        <v>1486</v>
      </c>
      <c r="AD3" s="160" t="s">
        <v>1876</v>
      </c>
      <c r="AE3" s="160" t="s">
        <v>1487</v>
      </c>
      <c r="AH3" s="3"/>
    </row>
    <row r="4" spans="2:34" x14ac:dyDescent="0.25">
      <c r="B4" s="160"/>
      <c r="C4" s="153"/>
      <c r="D4" s="150"/>
      <c r="E4" s="160"/>
      <c r="F4" s="153"/>
      <c r="G4" s="150"/>
      <c r="H4" s="160"/>
      <c r="I4" s="153"/>
      <c r="J4" s="150"/>
      <c r="K4" s="160"/>
      <c r="L4" s="153"/>
      <c r="Q4" s="158"/>
      <c r="R4" s="159"/>
      <c r="U4" t="s">
        <v>1402</v>
      </c>
      <c r="V4" t="s">
        <v>2422</v>
      </c>
      <c r="W4" t="s">
        <v>297</v>
      </c>
      <c r="X4" t="s">
        <v>1877</v>
      </c>
      <c r="Y4" t="s">
        <v>297</v>
      </c>
      <c r="Z4" t="s">
        <v>1877</v>
      </c>
      <c r="AA4" t="s">
        <v>298</v>
      </c>
      <c r="AB4" t="s">
        <v>298</v>
      </c>
      <c r="AC4" t="s">
        <v>132</v>
      </c>
      <c r="AD4" t="s">
        <v>1498</v>
      </c>
      <c r="AE4" t="s">
        <v>1498</v>
      </c>
      <c r="AH4" s="3"/>
    </row>
    <row r="5" spans="2:34" x14ac:dyDescent="0.25">
      <c r="B5" s="160" t="s">
        <v>397</v>
      </c>
      <c r="C5" s="153">
        <v>0.6</v>
      </c>
      <c r="D5" s="150"/>
      <c r="E5" s="160" t="s">
        <v>121</v>
      </c>
      <c r="F5" s="153">
        <v>1</v>
      </c>
      <c r="G5" s="150"/>
      <c r="H5" s="160" t="s">
        <v>1478</v>
      </c>
      <c r="I5" s="153">
        <v>1.125</v>
      </c>
      <c r="J5" s="150"/>
      <c r="K5" s="160" t="s">
        <v>134</v>
      </c>
      <c r="L5" s="153">
        <v>1</v>
      </c>
      <c r="P5">
        <v>1</v>
      </c>
      <c r="Q5" s="158" t="s">
        <v>213</v>
      </c>
      <c r="R5" s="159">
        <v>0.1</v>
      </c>
      <c r="U5" t="s">
        <v>2355</v>
      </c>
      <c r="V5" t="s">
        <v>279</v>
      </c>
      <c r="W5" t="s">
        <v>1500</v>
      </c>
      <c r="Y5" t="s">
        <v>299</v>
      </c>
      <c r="AC5" t="s">
        <v>133</v>
      </c>
    </row>
    <row r="6" spans="2:34" x14ac:dyDescent="0.25">
      <c r="B6" s="160" t="s">
        <v>398</v>
      </c>
      <c r="C6" s="153">
        <v>0.9</v>
      </c>
      <c r="D6" s="150"/>
      <c r="E6" s="160" t="s">
        <v>193</v>
      </c>
      <c r="F6" s="153">
        <v>1.1000000000000001</v>
      </c>
      <c r="G6" s="150"/>
      <c r="H6" s="160" t="s">
        <v>171</v>
      </c>
      <c r="I6" s="153">
        <v>1.2</v>
      </c>
      <c r="J6" s="150"/>
      <c r="K6" s="160" t="s">
        <v>141</v>
      </c>
      <c r="L6" s="153">
        <v>1.1000000000000001</v>
      </c>
      <c r="P6">
        <v>2</v>
      </c>
      <c r="Q6" s="158" t="s">
        <v>1317</v>
      </c>
      <c r="R6" s="159">
        <v>0.2</v>
      </c>
      <c r="U6" t="s">
        <v>132</v>
      </c>
      <c r="V6" t="s">
        <v>1502</v>
      </c>
      <c r="W6" t="s">
        <v>2357</v>
      </c>
      <c r="AC6" t="s">
        <v>281</v>
      </c>
    </row>
    <row r="7" spans="2:34" x14ac:dyDescent="0.25">
      <c r="B7" s="160" t="s">
        <v>400</v>
      </c>
      <c r="C7" s="153">
        <v>1</v>
      </c>
      <c r="D7" s="150"/>
      <c r="E7" s="160" t="s">
        <v>1479</v>
      </c>
      <c r="F7" s="153">
        <v>1.1499999999999999</v>
      </c>
      <c r="G7" s="150"/>
      <c r="H7" s="160" t="s">
        <v>2416</v>
      </c>
      <c r="I7" s="153">
        <v>0.67500000000000004</v>
      </c>
      <c r="J7" s="150"/>
      <c r="K7" s="160" t="s">
        <v>136</v>
      </c>
      <c r="L7" s="153">
        <v>1.05</v>
      </c>
      <c r="P7">
        <v>3</v>
      </c>
      <c r="Q7" s="158" t="s">
        <v>95</v>
      </c>
      <c r="R7" s="159">
        <v>0.4</v>
      </c>
      <c r="U7" t="s">
        <v>278</v>
      </c>
      <c r="V7" t="s">
        <v>133</v>
      </c>
      <c r="AC7" t="s">
        <v>282</v>
      </c>
    </row>
    <row r="8" spans="2:34" x14ac:dyDescent="0.25">
      <c r="B8" s="160" t="s">
        <v>401</v>
      </c>
      <c r="C8" s="153">
        <v>1.2</v>
      </c>
      <c r="D8" s="150"/>
      <c r="E8" s="160" t="s">
        <v>1480</v>
      </c>
      <c r="F8" s="153">
        <v>1.4</v>
      </c>
      <c r="G8" s="150"/>
      <c r="H8" s="160" t="s">
        <v>1894</v>
      </c>
      <c r="I8" s="153">
        <v>1</v>
      </c>
      <c r="J8" s="150"/>
      <c r="K8" s="160" t="s">
        <v>137</v>
      </c>
      <c r="L8" s="153">
        <v>1.2</v>
      </c>
      <c r="P8">
        <v>4</v>
      </c>
      <c r="Q8" s="158" t="s">
        <v>1318</v>
      </c>
      <c r="R8" s="159">
        <v>0.4</v>
      </c>
      <c r="U8" t="s">
        <v>280</v>
      </c>
      <c r="V8" t="s">
        <v>282</v>
      </c>
      <c r="AC8" t="s">
        <v>283</v>
      </c>
    </row>
    <row r="9" spans="2:34" x14ac:dyDescent="0.25">
      <c r="B9" s="160" t="s">
        <v>144</v>
      </c>
      <c r="C9" s="153">
        <v>1</v>
      </c>
      <c r="D9" s="150"/>
      <c r="E9" s="160" t="s">
        <v>1481</v>
      </c>
      <c r="F9" s="153">
        <v>1.25</v>
      </c>
      <c r="G9" s="150"/>
      <c r="H9" s="160" t="s">
        <v>1895</v>
      </c>
      <c r="I9" s="153">
        <v>0.875</v>
      </c>
      <c r="J9" s="150"/>
      <c r="K9" s="160" t="s">
        <v>138</v>
      </c>
      <c r="L9" s="153">
        <v>1.3</v>
      </c>
      <c r="P9">
        <v>5</v>
      </c>
      <c r="Q9" s="158" t="s">
        <v>1319</v>
      </c>
      <c r="R9" s="159">
        <v>0.4</v>
      </c>
      <c r="U9" t="s">
        <v>281</v>
      </c>
      <c r="V9" t="s">
        <v>2423</v>
      </c>
      <c r="AC9" t="s">
        <v>294</v>
      </c>
    </row>
    <row r="10" spans="2:34" x14ac:dyDescent="0.25">
      <c r="B10" s="160" t="s">
        <v>201</v>
      </c>
      <c r="C10" s="153">
        <v>1.1000000000000001</v>
      </c>
      <c r="D10" s="150"/>
      <c r="E10" s="160" t="s">
        <v>1483</v>
      </c>
      <c r="F10" s="153">
        <v>1.55</v>
      </c>
      <c r="G10" s="150"/>
      <c r="H10" s="160" t="s">
        <v>1896</v>
      </c>
      <c r="I10" s="153">
        <v>1.575</v>
      </c>
      <c r="J10" s="150"/>
      <c r="K10" s="160" t="s">
        <v>140</v>
      </c>
      <c r="L10" s="153">
        <v>1.1499999999999999</v>
      </c>
      <c r="P10">
        <v>6</v>
      </c>
      <c r="Q10" s="158" t="s">
        <v>1910</v>
      </c>
      <c r="R10" s="159">
        <v>0.4</v>
      </c>
      <c r="U10" t="s">
        <v>283</v>
      </c>
      <c r="V10" t="s">
        <v>305</v>
      </c>
      <c r="AC10" t="s">
        <v>2423</v>
      </c>
    </row>
    <row r="11" spans="2:34" x14ac:dyDescent="0.25">
      <c r="B11" s="160"/>
      <c r="C11" s="153"/>
      <c r="D11" s="150"/>
      <c r="E11" s="160" t="s">
        <v>95</v>
      </c>
      <c r="F11" s="153">
        <v>0.7</v>
      </c>
      <c r="G11" s="150"/>
      <c r="H11" s="160" t="s">
        <v>1897</v>
      </c>
      <c r="I11" s="153">
        <v>1.2250000000000001</v>
      </c>
      <c r="J11" s="150"/>
      <c r="K11" s="160" t="s">
        <v>1482</v>
      </c>
      <c r="L11" s="153">
        <v>1.25</v>
      </c>
      <c r="P11">
        <v>7</v>
      </c>
      <c r="Q11" s="158" t="s">
        <v>96</v>
      </c>
      <c r="R11" s="159">
        <v>0.6</v>
      </c>
      <c r="U11" t="s">
        <v>285</v>
      </c>
      <c r="V11" t="s">
        <v>1501</v>
      </c>
      <c r="AC11" t="s">
        <v>2422</v>
      </c>
    </row>
    <row r="12" spans="2:34" x14ac:dyDescent="0.25">
      <c r="B12" s="160"/>
      <c r="C12" s="153"/>
      <c r="D12" s="150"/>
      <c r="E12" s="160" t="s">
        <v>1485</v>
      </c>
      <c r="F12" s="153">
        <v>0.8</v>
      </c>
      <c r="G12" s="150"/>
      <c r="H12" s="160" t="s">
        <v>2405</v>
      </c>
      <c r="I12" s="153">
        <v>0.77500000000000002</v>
      </c>
      <c r="J12" s="150"/>
      <c r="K12" s="160" t="s">
        <v>1484</v>
      </c>
      <c r="L12" s="153">
        <v>1</v>
      </c>
      <c r="P12">
        <v>8</v>
      </c>
      <c r="Q12" s="158" t="s">
        <v>2345</v>
      </c>
      <c r="R12" s="159">
        <v>0.6</v>
      </c>
      <c r="U12" t="s">
        <v>289</v>
      </c>
      <c r="V12" t="s">
        <v>1879</v>
      </c>
      <c r="AC12" t="s">
        <v>2424</v>
      </c>
    </row>
    <row r="13" spans="2:34" x14ac:dyDescent="0.25">
      <c r="B13" s="160"/>
      <c r="C13" s="153"/>
      <c r="D13" s="150"/>
      <c r="E13" s="160" t="s">
        <v>1486</v>
      </c>
      <c r="F13" s="153">
        <v>1.0249999999999999</v>
      </c>
      <c r="G13" s="150"/>
      <c r="H13" s="160" t="s">
        <v>2406</v>
      </c>
      <c r="I13" s="153">
        <v>0.8</v>
      </c>
      <c r="J13" s="150"/>
      <c r="K13" s="160" t="s">
        <v>150</v>
      </c>
      <c r="L13" s="153">
        <v>0.8</v>
      </c>
      <c r="P13">
        <v>9</v>
      </c>
      <c r="Q13" s="158" t="s">
        <v>1320</v>
      </c>
      <c r="R13" s="159">
        <v>0.6</v>
      </c>
      <c r="U13" t="s">
        <v>293</v>
      </c>
      <c r="V13" t="s">
        <v>2358</v>
      </c>
      <c r="AC13" t="s">
        <v>285</v>
      </c>
    </row>
    <row r="14" spans="2:34" x14ac:dyDescent="0.25">
      <c r="B14" s="160"/>
      <c r="C14" s="153"/>
      <c r="D14" s="150"/>
      <c r="E14" s="160" t="s">
        <v>1876</v>
      </c>
      <c r="F14" s="153">
        <v>1.1000000000000001</v>
      </c>
      <c r="G14" s="150"/>
      <c r="H14" s="160" t="s">
        <v>1898</v>
      </c>
      <c r="I14" s="153">
        <v>1.25</v>
      </c>
      <c r="J14" s="150"/>
      <c r="K14" s="160"/>
      <c r="L14" s="153"/>
      <c r="P14">
        <v>10</v>
      </c>
      <c r="Q14" s="158" t="s">
        <v>1911</v>
      </c>
      <c r="R14" s="159">
        <v>0.6</v>
      </c>
      <c r="U14" t="s">
        <v>295</v>
      </c>
      <c r="V14" t="s">
        <v>2359</v>
      </c>
    </row>
    <row r="15" spans="2:34" x14ac:dyDescent="0.25">
      <c r="B15" s="160"/>
      <c r="C15" s="153"/>
      <c r="D15" s="150"/>
      <c r="E15" s="160" t="s">
        <v>1487</v>
      </c>
      <c r="F15" s="153">
        <v>1.2</v>
      </c>
      <c r="G15" s="150"/>
      <c r="H15" s="160" t="s">
        <v>178</v>
      </c>
      <c r="I15" s="153">
        <v>1.175</v>
      </c>
      <c r="J15" s="150"/>
      <c r="K15" s="160"/>
      <c r="L15" s="153"/>
      <c r="P15">
        <v>11</v>
      </c>
      <c r="Q15" s="158" t="s">
        <v>1912</v>
      </c>
      <c r="R15" s="159">
        <v>0.6</v>
      </c>
      <c r="U15" t="s">
        <v>294</v>
      </c>
    </row>
    <row r="16" spans="2:34" x14ac:dyDescent="0.25">
      <c r="B16" s="160"/>
      <c r="C16" s="153"/>
      <c r="D16" s="150"/>
      <c r="E16" s="160"/>
      <c r="F16" s="153"/>
      <c r="G16" s="150"/>
      <c r="H16" s="160" t="s">
        <v>1488</v>
      </c>
      <c r="I16" s="153">
        <v>1.075</v>
      </c>
      <c r="J16" s="150"/>
      <c r="K16" s="160"/>
      <c r="L16" s="153"/>
      <c r="P16">
        <v>12</v>
      </c>
      <c r="Q16" s="158" t="s">
        <v>97</v>
      </c>
      <c r="R16" s="159">
        <v>0.8</v>
      </c>
      <c r="U16" t="s">
        <v>300</v>
      </c>
    </row>
    <row r="17" spans="2:29" x14ac:dyDescent="0.25">
      <c r="B17" s="160"/>
      <c r="C17" s="153"/>
      <c r="D17" s="150"/>
      <c r="E17" s="160"/>
      <c r="F17" s="153"/>
      <c r="G17" s="150"/>
      <c r="H17" s="160" t="s">
        <v>1489</v>
      </c>
      <c r="I17" s="153">
        <v>1.05</v>
      </c>
      <c r="J17" s="150"/>
      <c r="K17" s="160"/>
      <c r="L17" s="153"/>
      <c r="P17">
        <v>13</v>
      </c>
      <c r="Q17" s="158" t="s">
        <v>1913</v>
      </c>
      <c r="R17" s="159">
        <v>0.8</v>
      </c>
      <c r="U17" t="s">
        <v>1501</v>
      </c>
    </row>
    <row r="18" spans="2:29" x14ac:dyDescent="0.25">
      <c r="B18" s="160"/>
      <c r="C18" s="153"/>
      <c r="D18" s="150"/>
      <c r="E18" s="160"/>
      <c r="F18" s="153"/>
      <c r="G18" s="150"/>
      <c r="H18" s="160" t="s">
        <v>1490</v>
      </c>
      <c r="I18" s="153">
        <v>1.1499999999999999</v>
      </c>
      <c r="J18" s="150"/>
      <c r="K18" s="160"/>
      <c r="L18" s="153"/>
      <c r="P18">
        <v>14</v>
      </c>
      <c r="Q18" s="158" t="s">
        <v>1914</v>
      </c>
      <c r="R18" s="159">
        <v>0.8</v>
      </c>
      <c r="U18" t="s">
        <v>2356</v>
      </c>
    </row>
    <row r="19" spans="2:29" x14ac:dyDescent="0.25">
      <c r="B19" s="160"/>
      <c r="C19" s="153"/>
      <c r="D19" s="150"/>
      <c r="E19" s="160"/>
      <c r="F19" s="153"/>
      <c r="G19" s="150"/>
      <c r="H19" s="160" t="s">
        <v>1491</v>
      </c>
      <c r="I19" s="153">
        <v>1.2</v>
      </c>
      <c r="J19" s="150"/>
      <c r="K19" s="160"/>
      <c r="L19" s="153"/>
      <c r="P19">
        <v>15</v>
      </c>
      <c r="Q19" s="158" t="s">
        <v>98</v>
      </c>
      <c r="R19" s="159">
        <v>0.8</v>
      </c>
      <c r="U19" t="s">
        <v>1878</v>
      </c>
    </row>
    <row r="20" spans="2:29" x14ac:dyDescent="0.25">
      <c r="B20" s="160"/>
      <c r="C20" s="153"/>
      <c r="D20" s="150"/>
      <c r="E20" s="160"/>
      <c r="F20" s="153"/>
      <c r="G20" s="150"/>
      <c r="H20" s="160" t="s">
        <v>2407</v>
      </c>
      <c r="I20" s="153">
        <v>1.3</v>
      </c>
      <c r="J20" s="150"/>
      <c r="K20" s="160"/>
      <c r="L20" s="153"/>
      <c r="P20">
        <v>16</v>
      </c>
      <c r="Q20" s="158" t="s">
        <v>99</v>
      </c>
      <c r="R20" s="159">
        <v>0.8</v>
      </c>
      <c r="U20" t="s">
        <v>1879</v>
      </c>
    </row>
    <row r="21" spans="2:29" x14ac:dyDescent="0.25">
      <c r="B21" s="160"/>
      <c r="C21" s="153"/>
      <c r="D21" s="150"/>
      <c r="E21" s="160"/>
      <c r="F21" s="153"/>
      <c r="G21" s="150"/>
      <c r="H21" s="160"/>
      <c r="I21" s="153"/>
      <c r="J21" s="150"/>
      <c r="K21" s="160"/>
      <c r="L21" s="153"/>
      <c r="P21">
        <v>17</v>
      </c>
      <c r="Q21" s="158" t="s">
        <v>100</v>
      </c>
      <c r="R21" s="159">
        <v>0.8</v>
      </c>
    </row>
    <row r="22" spans="2:29" x14ac:dyDescent="0.25">
      <c r="B22" s="160"/>
      <c r="C22" s="153"/>
      <c r="D22" s="150"/>
      <c r="E22" s="160"/>
      <c r="F22" s="153"/>
      <c r="G22" s="150"/>
      <c r="H22" s="160"/>
      <c r="I22" s="153"/>
      <c r="J22" s="150"/>
      <c r="K22" s="160"/>
      <c r="L22" s="153"/>
      <c r="P22">
        <v>18</v>
      </c>
      <c r="Q22" s="158" t="s">
        <v>101</v>
      </c>
      <c r="R22" s="159">
        <v>0.8</v>
      </c>
    </row>
    <row r="23" spans="2:29" x14ac:dyDescent="0.25">
      <c r="B23" s="160"/>
      <c r="C23" s="153"/>
      <c r="D23" s="150"/>
      <c r="E23" s="160"/>
      <c r="F23" s="153"/>
      <c r="G23" s="150"/>
      <c r="H23" s="160"/>
      <c r="I23" s="153"/>
      <c r="J23" s="150"/>
      <c r="K23" s="160"/>
      <c r="L23" s="153"/>
      <c r="P23">
        <v>19</v>
      </c>
      <c r="Q23" s="158" t="s">
        <v>1321</v>
      </c>
      <c r="R23" s="159">
        <v>0.8</v>
      </c>
    </row>
    <row r="24" spans="2:29" x14ac:dyDescent="0.25">
      <c r="B24" s="160"/>
      <c r="C24" s="153"/>
      <c r="D24" s="150"/>
      <c r="E24" s="160"/>
      <c r="F24" s="153"/>
      <c r="G24" s="150"/>
      <c r="H24" s="160"/>
      <c r="I24" s="153"/>
      <c r="J24" s="150"/>
      <c r="K24" s="160"/>
      <c r="L24" s="153"/>
      <c r="P24">
        <v>20</v>
      </c>
      <c r="Q24" s="158" t="s">
        <v>102</v>
      </c>
      <c r="R24" s="159">
        <v>1</v>
      </c>
    </row>
    <row r="25" spans="2:29" x14ac:dyDescent="0.25">
      <c r="B25" s="160"/>
      <c r="C25" s="153"/>
      <c r="D25" s="150"/>
      <c r="E25" s="160"/>
      <c r="F25" s="153"/>
      <c r="G25" s="150"/>
      <c r="H25" s="160"/>
      <c r="I25" s="153"/>
      <c r="J25" s="150"/>
      <c r="K25" s="160"/>
      <c r="L25" s="153"/>
      <c r="P25">
        <v>21</v>
      </c>
      <c r="Q25" s="158" t="s">
        <v>1915</v>
      </c>
      <c r="R25" s="159">
        <v>1</v>
      </c>
    </row>
    <row r="26" spans="2:29" x14ac:dyDescent="0.25">
      <c r="B26" s="160"/>
      <c r="C26" s="153"/>
      <c r="D26" s="150"/>
      <c r="E26" s="160"/>
      <c r="F26" s="153"/>
      <c r="G26" s="150"/>
      <c r="H26" s="160"/>
      <c r="I26" s="153"/>
      <c r="J26" s="150"/>
      <c r="K26" s="160"/>
      <c r="L26" s="153"/>
      <c r="P26">
        <v>22</v>
      </c>
      <c r="Q26" s="158" t="s">
        <v>103</v>
      </c>
      <c r="R26" s="159">
        <v>1</v>
      </c>
    </row>
    <row r="27" spans="2:29" x14ac:dyDescent="0.25">
      <c r="B27" s="160"/>
      <c r="C27" s="153"/>
      <c r="D27" s="150"/>
      <c r="E27" s="160"/>
      <c r="F27" s="153"/>
      <c r="G27" s="150"/>
      <c r="H27" s="160"/>
      <c r="I27" s="153"/>
      <c r="J27" s="150"/>
      <c r="K27" s="160"/>
      <c r="L27" s="153"/>
      <c r="P27">
        <v>23</v>
      </c>
      <c r="Q27" s="158" t="s">
        <v>2346</v>
      </c>
      <c r="R27" s="159">
        <v>1</v>
      </c>
    </row>
    <row r="28" spans="2:29" x14ac:dyDescent="0.25">
      <c r="B28" s="161"/>
      <c r="C28" s="154"/>
      <c r="D28" s="150"/>
      <c r="E28" s="161"/>
      <c r="F28" s="154"/>
      <c r="G28" s="150"/>
      <c r="H28" s="161"/>
      <c r="I28" s="154"/>
      <c r="J28" s="150"/>
      <c r="K28" s="161"/>
      <c r="L28" s="154"/>
      <c r="P28">
        <v>24</v>
      </c>
      <c r="Q28" s="158" t="s">
        <v>1916</v>
      </c>
      <c r="R28" s="159">
        <v>1</v>
      </c>
    </row>
    <row r="29" spans="2:29" x14ac:dyDescent="0.25">
      <c r="B29" s="161"/>
      <c r="C29" s="154"/>
      <c r="D29" s="150"/>
      <c r="E29" s="161"/>
      <c r="F29" s="154"/>
      <c r="G29" s="150"/>
      <c r="H29" s="161"/>
      <c r="I29" s="154"/>
      <c r="J29" s="150"/>
      <c r="K29" s="161"/>
      <c r="L29" s="154"/>
      <c r="P29">
        <v>25</v>
      </c>
      <c r="Q29" s="158" t="s">
        <v>104</v>
      </c>
      <c r="R29" s="159">
        <v>1</v>
      </c>
      <c r="U29" s="397" t="s">
        <v>2419</v>
      </c>
      <c r="V29" s="398"/>
      <c r="W29" s="398"/>
      <c r="X29" s="398"/>
      <c r="Y29" s="398"/>
      <c r="Z29" s="398"/>
      <c r="AA29" s="398"/>
      <c r="AB29" s="398"/>
      <c r="AC29" s="399"/>
    </row>
    <row r="30" spans="2:29" x14ac:dyDescent="0.25">
      <c r="B30" s="161"/>
      <c r="C30" s="154"/>
      <c r="D30" s="150"/>
      <c r="E30" s="161"/>
      <c r="F30" s="154"/>
      <c r="G30" s="150"/>
      <c r="H30" s="161"/>
      <c r="I30" s="154"/>
      <c r="J30" s="150"/>
      <c r="K30" s="161"/>
      <c r="L30" s="154"/>
      <c r="P30">
        <v>26</v>
      </c>
      <c r="Q30" s="158" t="s">
        <v>1322</v>
      </c>
      <c r="R30" s="159">
        <v>1</v>
      </c>
      <c r="U30" s="158" t="s">
        <v>134</v>
      </c>
      <c r="V30" s="158" t="s">
        <v>141</v>
      </c>
      <c r="W30" s="158" t="s">
        <v>136</v>
      </c>
      <c r="X30" s="158" t="s">
        <v>137</v>
      </c>
      <c r="Y30" s="158" t="s">
        <v>138</v>
      </c>
      <c r="Z30" s="158" t="s">
        <v>140</v>
      </c>
      <c r="AA30" s="158" t="s">
        <v>1482</v>
      </c>
      <c r="AB30" s="158" t="s">
        <v>1484</v>
      </c>
      <c r="AC30" s="158" t="s">
        <v>150</v>
      </c>
    </row>
    <row r="31" spans="2:29" x14ac:dyDescent="0.25">
      <c r="B31" s="161"/>
      <c r="C31" s="152"/>
      <c r="D31" s="150"/>
      <c r="E31" s="161"/>
      <c r="F31" s="152"/>
      <c r="G31" s="150"/>
      <c r="H31" s="161"/>
      <c r="I31" s="152"/>
      <c r="J31" s="150"/>
      <c r="K31" s="161"/>
      <c r="L31" s="152"/>
      <c r="P31">
        <v>27</v>
      </c>
      <c r="Q31" s="158" t="s">
        <v>105</v>
      </c>
      <c r="R31" s="159">
        <v>1.2</v>
      </c>
      <c r="U31" t="s">
        <v>226</v>
      </c>
      <c r="V31" t="s">
        <v>1499</v>
      </c>
      <c r="W31" t="s">
        <v>2420</v>
      </c>
      <c r="X31" t="s">
        <v>2373</v>
      </c>
      <c r="Y31" t="s">
        <v>2421</v>
      </c>
      <c r="Z31" t="s">
        <v>2370</v>
      </c>
      <c r="AA31" t="s">
        <v>1885</v>
      </c>
      <c r="AB31" t="s">
        <v>2370</v>
      </c>
      <c r="AC31" t="s">
        <v>2370</v>
      </c>
    </row>
    <row r="32" spans="2:29" x14ac:dyDescent="0.25">
      <c r="P32">
        <v>28</v>
      </c>
      <c r="Q32" s="158" t="s">
        <v>2347</v>
      </c>
      <c r="R32" s="159">
        <v>1.2</v>
      </c>
      <c r="U32" t="s">
        <v>225</v>
      </c>
      <c r="V32" t="s">
        <v>227</v>
      </c>
      <c r="W32" t="s">
        <v>2369</v>
      </c>
      <c r="X32" t="s">
        <v>1884</v>
      </c>
      <c r="Y32" t="s">
        <v>1497</v>
      </c>
      <c r="Z32" t="s">
        <v>1499</v>
      </c>
      <c r="AA32" t="s">
        <v>2373</v>
      </c>
      <c r="AB32" t="s">
        <v>2369</v>
      </c>
      <c r="AC32" t="s">
        <v>2369</v>
      </c>
    </row>
    <row r="33" spans="2:29" x14ac:dyDescent="0.25">
      <c r="P33">
        <v>29</v>
      </c>
      <c r="Q33" s="158" t="s">
        <v>1917</v>
      </c>
      <c r="R33" s="159">
        <v>1.2</v>
      </c>
      <c r="U33" t="s">
        <v>1494</v>
      </c>
      <c r="V33" t="s">
        <v>225</v>
      </c>
      <c r="W33" t="s">
        <v>1495</v>
      </c>
      <c r="X33" t="s">
        <v>2421</v>
      </c>
      <c r="Y33" t="s">
        <v>1496</v>
      </c>
      <c r="Z33" t="s">
        <v>2369</v>
      </c>
      <c r="AA33" t="s">
        <v>243</v>
      </c>
      <c r="AB33" t="s">
        <v>230</v>
      </c>
      <c r="AC33" t="s">
        <v>230</v>
      </c>
    </row>
    <row r="34" spans="2:29" x14ac:dyDescent="0.25">
      <c r="P34">
        <v>30</v>
      </c>
      <c r="Q34" s="158" t="s">
        <v>106</v>
      </c>
      <c r="R34" s="159">
        <v>1.2</v>
      </c>
      <c r="U34" t="s">
        <v>227</v>
      </c>
      <c r="V34" t="s">
        <v>226</v>
      </c>
      <c r="W34" t="s">
        <v>235</v>
      </c>
      <c r="X34" t="s">
        <v>1496</v>
      </c>
      <c r="Y34" t="s">
        <v>247</v>
      </c>
      <c r="Z34" t="s">
        <v>227</v>
      </c>
      <c r="AA34" t="s">
        <v>2369</v>
      </c>
      <c r="AB34" t="s">
        <v>227</v>
      </c>
      <c r="AC34" t="s">
        <v>1494</v>
      </c>
    </row>
    <row r="35" spans="2:29" ht="15.75" x14ac:dyDescent="0.25">
      <c r="B35" s="400" t="s">
        <v>2390</v>
      </c>
      <c r="C35" s="402"/>
      <c r="D35" s="402"/>
      <c r="E35" s="402"/>
      <c r="F35" s="402"/>
      <c r="G35" s="402"/>
      <c r="H35" s="402"/>
      <c r="I35" s="402"/>
      <c r="J35" s="402"/>
      <c r="K35" s="402"/>
      <c r="L35" s="401"/>
      <c r="P35">
        <v>31</v>
      </c>
      <c r="Q35" s="158" t="s">
        <v>107</v>
      </c>
      <c r="R35" s="159">
        <v>1.2</v>
      </c>
      <c r="U35" t="s">
        <v>230</v>
      </c>
      <c r="V35" t="s">
        <v>230</v>
      </c>
      <c r="W35" t="s">
        <v>226</v>
      </c>
      <c r="X35" t="s">
        <v>247</v>
      </c>
      <c r="Y35" t="s">
        <v>243</v>
      </c>
      <c r="Z35" t="s">
        <v>1493</v>
      </c>
      <c r="AA35" t="s">
        <v>230</v>
      </c>
      <c r="AB35" t="s">
        <v>226</v>
      </c>
      <c r="AC35" t="s">
        <v>227</v>
      </c>
    </row>
    <row r="36" spans="2:29" ht="15.75" x14ac:dyDescent="0.25">
      <c r="B36" s="402" t="s">
        <v>1472</v>
      </c>
      <c r="C36" s="402"/>
      <c r="D36" s="150"/>
      <c r="E36" s="402" t="s">
        <v>1473</v>
      </c>
      <c r="F36" s="402"/>
      <c r="G36" s="150"/>
      <c r="H36" s="402" t="s">
        <v>1474</v>
      </c>
      <c r="I36" s="402"/>
      <c r="J36" s="150"/>
      <c r="K36" s="402" t="s">
        <v>1475</v>
      </c>
      <c r="L36" s="402"/>
      <c r="P36">
        <v>32</v>
      </c>
      <c r="Q36" s="158" t="s">
        <v>2348</v>
      </c>
      <c r="R36" s="159">
        <v>1.2</v>
      </c>
      <c r="U36" t="s">
        <v>1884</v>
      </c>
      <c r="W36" t="s">
        <v>225</v>
      </c>
      <c r="X36" t="s">
        <v>243</v>
      </c>
      <c r="Y36" t="s">
        <v>1495</v>
      </c>
      <c r="Z36" t="s">
        <v>226</v>
      </c>
      <c r="AA36" t="s">
        <v>227</v>
      </c>
      <c r="AB36" t="s">
        <v>225</v>
      </c>
      <c r="AC36" t="s">
        <v>226</v>
      </c>
    </row>
    <row r="37" spans="2:29" x14ac:dyDescent="0.25">
      <c r="B37" s="151" t="s">
        <v>1476</v>
      </c>
      <c r="C37" s="151" t="s">
        <v>1477</v>
      </c>
      <c r="D37" s="166"/>
      <c r="E37" s="151" t="s">
        <v>1476</v>
      </c>
      <c r="F37" s="151" t="s">
        <v>1477</v>
      </c>
      <c r="G37" s="166"/>
      <c r="H37" s="151" t="s">
        <v>1476</v>
      </c>
      <c r="I37" s="151" t="s">
        <v>1477</v>
      </c>
      <c r="J37" s="166"/>
      <c r="K37" s="151" t="s">
        <v>1476</v>
      </c>
      <c r="L37" s="151" t="s">
        <v>1477</v>
      </c>
      <c r="P37">
        <v>33</v>
      </c>
      <c r="Q37" s="158" t="s">
        <v>1918</v>
      </c>
      <c r="R37" s="159">
        <v>1.4</v>
      </c>
      <c r="U37" t="s">
        <v>2370</v>
      </c>
      <c r="W37" t="s">
        <v>227</v>
      </c>
      <c r="X37" t="s">
        <v>226</v>
      </c>
      <c r="Y37" t="s">
        <v>226</v>
      </c>
      <c r="Z37" t="s">
        <v>225</v>
      </c>
      <c r="AA37" t="s">
        <v>226</v>
      </c>
      <c r="AB37" t="s">
        <v>1494</v>
      </c>
      <c r="AC37" t="s">
        <v>225</v>
      </c>
    </row>
    <row r="38" spans="2:29" x14ac:dyDescent="0.25">
      <c r="B38" s="160"/>
      <c r="C38" s="153"/>
      <c r="D38" s="150"/>
      <c r="E38" s="160"/>
      <c r="F38" s="273"/>
      <c r="G38" s="150"/>
      <c r="H38" s="160"/>
      <c r="I38" s="153"/>
      <c r="J38" s="150"/>
      <c r="K38" s="160"/>
      <c r="L38" s="153"/>
      <c r="P38">
        <v>34</v>
      </c>
      <c r="Q38" s="158" t="s">
        <v>1919</v>
      </c>
      <c r="R38" s="159">
        <v>1.4</v>
      </c>
      <c r="U38" t="s">
        <v>1499</v>
      </c>
      <c r="W38" t="s">
        <v>1884</v>
      </c>
      <c r="X38" t="s">
        <v>225</v>
      </c>
      <c r="Y38" t="s">
        <v>225</v>
      </c>
      <c r="Z38" t="s">
        <v>1494</v>
      </c>
      <c r="AA38" t="s">
        <v>225</v>
      </c>
      <c r="AB38" t="s">
        <v>2371</v>
      </c>
      <c r="AC38" t="s">
        <v>2369</v>
      </c>
    </row>
    <row r="39" spans="2:29" x14ac:dyDescent="0.25">
      <c r="B39" s="160" t="s">
        <v>1492</v>
      </c>
      <c r="C39" s="153"/>
      <c r="D39" s="150"/>
      <c r="E39" s="160" t="s">
        <v>1402</v>
      </c>
      <c r="F39" s="153">
        <v>1.3</v>
      </c>
      <c r="G39" s="274"/>
      <c r="H39" s="160" t="s">
        <v>1492</v>
      </c>
      <c r="I39" s="153"/>
      <c r="J39" s="150"/>
      <c r="K39" s="160" t="s">
        <v>225</v>
      </c>
      <c r="L39" s="153">
        <v>0.1</v>
      </c>
      <c r="P39">
        <v>35</v>
      </c>
      <c r="Q39" s="158" t="s">
        <v>1285</v>
      </c>
      <c r="R39" s="159">
        <v>1.4</v>
      </c>
      <c r="U39" t="s">
        <v>2369</v>
      </c>
      <c r="W39" t="s">
        <v>2374</v>
      </c>
      <c r="X39" t="s">
        <v>2377</v>
      </c>
      <c r="Y39" t="s">
        <v>1884</v>
      </c>
      <c r="Z39" t="s">
        <v>2371</v>
      </c>
      <c r="AA39" t="s">
        <v>1494</v>
      </c>
      <c r="AC39" t="s">
        <v>2371</v>
      </c>
    </row>
    <row r="40" spans="2:29" x14ac:dyDescent="0.25">
      <c r="B40" s="160"/>
      <c r="C40" s="153"/>
      <c r="D40" s="150"/>
      <c r="E40" s="160" t="s">
        <v>2422</v>
      </c>
      <c r="F40" s="153">
        <v>1.05</v>
      </c>
      <c r="G40" s="150"/>
      <c r="H40" s="160"/>
      <c r="I40" s="153"/>
      <c r="J40" s="150"/>
      <c r="K40" s="160" t="s">
        <v>226</v>
      </c>
      <c r="L40" s="153">
        <v>0.2</v>
      </c>
      <c r="P40">
        <v>36</v>
      </c>
      <c r="Q40" s="158" t="s">
        <v>1287</v>
      </c>
      <c r="R40" s="159">
        <v>1.4</v>
      </c>
      <c r="U40" t="s">
        <v>2371</v>
      </c>
      <c r="W40" t="s">
        <v>2371</v>
      </c>
      <c r="X40" t="s">
        <v>1493</v>
      </c>
      <c r="Y40" t="s">
        <v>2376</v>
      </c>
      <c r="AA40" t="s">
        <v>235</v>
      </c>
    </row>
    <row r="41" spans="2:29" x14ac:dyDescent="0.25">
      <c r="B41" s="160"/>
      <c r="C41" s="153"/>
      <c r="D41" s="150"/>
      <c r="E41" s="160" t="s">
        <v>2355</v>
      </c>
      <c r="F41" s="153">
        <v>1</v>
      </c>
      <c r="G41" s="150"/>
      <c r="H41" s="160"/>
      <c r="I41" s="153"/>
      <c r="J41" s="150"/>
      <c r="K41" s="160" t="s">
        <v>1493</v>
      </c>
      <c r="L41" s="153">
        <v>0.2</v>
      </c>
      <c r="P41">
        <v>37</v>
      </c>
      <c r="Q41" s="158" t="s">
        <v>2349</v>
      </c>
      <c r="R41" s="159">
        <v>1.5</v>
      </c>
      <c r="U41" t="s">
        <v>2374</v>
      </c>
      <c r="W41" t="s">
        <v>1494</v>
      </c>
      <c r="X41" t="s">
        <v>227</v>
      </c>
      <c r="Y41" t="s">
        <v>2375</v>
      </c>
      <c r="AA41" t="s">
        <v>2368</v>
      </c>
    </row>
    <row r="42" spans="2:29" x14ac:dyDescent="0.25">
      <c r="B42" s="160"/>
      <c r="C42" s="153"/>
      <c r="D42" s="150"/>
      <c r="E42" s="160" t="s">
        <v>132</v>
      </c>
      <c r="F42" s="153">
        <v>0.8</v>
      </c>
      <c r="G42" s="150"/>
      <c r="H42" s="160"/>
      <c r="I42" s="153"/>
      <c r="J42" s="150"/>
      <c r="K42" s="160" t="s">
        <v>227</v>
      </c>
      <c r="L42" s="153">
        <v>0.15</v>
      </c>
      <c r="P42">
        <v>38</v>
      </c>
      <c r="Q42" s="158" t="s">
        <v>108</v>
      </c>
      <c r="R42" s="159">
        <v>1.6</v>
      </c>
      <c r="X42" t="s">
        <v>1494</v>
      </c>
      <c r="Y42" t="s">
        <v>2377</v>
      </c>
      <c r="AA42" t="s">
        <v>1497</v>
      </c>
    </row>
    <row r="43" spans="2:29" x14ac:dyDescent="0.25">
      <c r="B43" s="160"/>
      <c r="C43" s="153"/>
      <c r="D43" s="150"/>
      <c r="E43" s="160" t="s">
        <v>278</v>
      </c>
      <c r="F43" s="153">
        <v>0.7</v>
      </c>
      <c r="G43" s="150"/>
      <c r="H43" s="160"/>
      <c r="I43" s="153"/>
      <c r="J43" s="150"/>
      <c r="K43" s="160" t="s">
        <v>1494</v>
      </c>
      <c r="L43" s="153">
        <v>0.4</v>
      </c>
      <c r="P43">
        <v>39</v>
      </c>
      <c r="Q43" s="158" t="s">
        <v>1920</v>
      </c>
      <c r="R43" s="159">
        <v>1.6</v>
      </c>
      <c r="X43" t="s">
        <v>230</v>
      </c>
      <c r="Y43" t="s">
        <v>227</v>
      </c>
      <c r="AA43" t="s">
        <v>2421</v>
      </c>
    </row>
    <row r="44" spans="2:29" x14ac:dyDescent="0.25">
      <c r="B44" s="160"/>
      <c r="C44" s="153"/>
      <c r="D44" s="150"/>
      <c r="E44" s="160" t="s">
        <v>279</v>
      </c>
      <c r="F44" s="153">
        <v>0.6</v>
      </c>
      <c r="G44" s="150"/>
      <c r="H44" s="160"/>
      <c r="I44" s="153"/>
      <c r="J44" s="150"/>
      <c r="K44" s="160" t="s">
        <v>230</v>
      </c>
      <c r="L44" s="153">
        <v>0.1</v>
      </c>
      <c r="P44">
        <v>40</v>
      </c>
      <c r="Q44" s="158" t="s">
        <v>1921</v>
      </c>
      <c r="R44" s="159">
        <v>1.6</v>
      </c>
      <c r="X44" t="s">
        <v>2368</v>
      </c>
      <c r="Y44" t="s">
        <v>1494</v>
      </c>
      <c r="AA44" t="s">
        <v>2370</v>
      </c>
    </row>
    <row r="45" spans="2:29" x14ac:dyDescent="0.25">
      <c r="B45" s="160"/>
      <c r="C45" s="153"/>
      <c r="D45" s="150"/>
      <c r="E45" s="160" t="s">
        <v>1502</v>
      </c>
      <c r="F45" s="153">
        <v>0.27500000000000002</v>
      </c>
      <c r="G45" s="150"/>
      <c r="H45" s="160"/>
      <c r="I45" s="153"/>
      <c r="J45" s="150"/>
      <c r="K45" s="160" t="s">
        <v>235</v>
      </c>
      <c r="L45" s="153">
        <v>0.25</v>
      </c>
      <c r="P45">
        <v>41</v>
      </c>
      <c r="Q45" s="158" t="s">
        <v>1284</v>
      </c>
      <c r="R45" s="159">
        <v>1.8</v>
      </c>
      <c r="Y45" t="s">
        <v>1499</v>
      </c>
      <c r="AA45" t="s">
        <v>2371</v>
      </c>
    </row>
    <row r="46" spans="2:29" x14ac:dyDescent="0.25">
      <c r="B46" s="160"/>
      <c r="C46" s="153"/>
      <c r="D46" s="150"/>
      <c r="E46" s="160" t="s">
        <v>133</v>
      </c>
      <c r="F46" s="153">
        <v>0.45</v>
      </c>
      <c r="G46" s="150"/>
      <c r="H46" s="160"/>
      <c r="I46" s="153"/>
      <c r="J46" s="150"/>
      <c r="K46" s="160" t="s">
        <v>1495</v>
      </c>
      <c r="L46" s="153">
        <v>0.3</v>
      </c>
      <c r="P46">
        <v>42</v>
      </c>
      <c r="Q46" s="158" t="s">
        <v>1970</v>
      </c>
      <c r="R46" s="159">
        <v>1.8</v>
      </c>
      <c r="Y46" t="s">
        <v>2372</v>
      </c>
    </row>
    <row r="47" spans="2:29" x14ac:dyDescent="0.25">
      <c r="B47" s="160"/>
      <c r="C47" s="153"/>
      <c r="D47" s="150"/>
      <c r="E47" s="160" t="s">
        <v>280</v>
      </c>
      <c r="F47" s="153">
        <v>0.5</v>
      </c>
      <c r="G47" s="150"/>
      <c r="H47" s="160"/>
      <c r="I47" s="153"/>
      <c r="J47" s="150"/>
      <c r="K47" s="160" t="s">
        <v>2368</v>
      </c>
      <c r="L47" s="153">
        <v>0.4</v>
      </c>
      <c r="P47">
        <v>43</v>
      </c>
      <c r="Q47" s="158" t="s">
        <v>1922</v>
      </c>
      <c r="R47" s="159">
        <v>2</v>
      </c>
    </row>
    <row r="48" spans="2:29" x14ac:dyDescent="0.25">
      <c r="B48" s="160"/>
      <c r="C48" s="153"/>
      <c r="D48" s="150"/>
      <c r="E48" s="160" t="s">
        <v>281</v>
      </c>
      <c r="F48" s="153">
        <v>0.15</v>
      </c>
      <c r="G48" s="150"/>
      <c r="H48" s="160"/>
      <c r="I48" s="153"/>
      <c r="J48" s="150"/>
      <c r="K48" s="160" t="s">
        <v>2369</v>
      </c>
      <c r="L48" s="153">
        <v>0.45</v>
      </c>
      <c r="P48">
        <v>44</v>
      </c>
      <c r="Q48" s="158" t="s">
        <v>1971</v>
      </c>
      <c r="R48" s="159">
        <v>2</v>
      </c>
    </row>
    <row r="49" spans="2:18" x14ac:dyDescent="0.25">
      <c r="B49" s="160"/>
      <c r="C49" s="153"/>
      <c r="D49" s="150"/>
      <c r="E49" s="160" t="s">
        <v>282</v>
      </c>
      <c r="F49" s="153">
        <v>0.4</v>
      </c>
      <c r="G49" s="150"/>
      <c r="H49" s="160"/>
      <c r="I49" s="153"/>
      <c r="J49" s="150"/>
      <c r="K49" s="160" t="s">
        <v>243</v>
      </c>
      <c r="L49" s="153">
        <v>0.25</v>
      </c>
      <c r="P49">
        <v>45</v>
      </c>
      <c r="Q49" s="158" t="s">
        <v>1972</v>
      </c>
      <c r="R49" s="159">
        <v>2</v>
      </c>
    </row>
    <row r="50" spans="2:18" x14ac:dyDescent="0.25">
      <c r="B50" s="160"/>
      <c r="C50" s="153"/>
      <c r="D50" s="150"/>
      <c r="E50" s="160" t="s">
        <v>283</v>
      </c>
      <c r="F50" s="153">
        <v>0.375</v>
      </c>
      <c r="G50" s="150"/>
      <c r="H50" s="160"/>
      <c r="I50" s="153"/>
      <c r="J50" s="150"/>
      <c r="K50" s="160" t="s">
        <v>247</v>
      </c>
      <c r="L50" s="153">
        <v>0.375</v>
      </c>
      <c r="P50">
        <v>46</v>
      </c>
      <c r="Q50" s="158" t="s">
        <v>1385</v>
      </c>
      <c r="R50" s="159">
        <v>2.1</v>
      </c>
    </row>
    <row r="51" spans="2:18" x14ac:dyDescent="0.25">
      <c r="B51" s="160"/>
      <c r="C51" s="153"/>
      <c r="D51" s="150"/>
      <c r="E51" s="160" t="s">
        <v>285</v>
      </c>
      <c r="F51" s="153">
        <v>0.85</v>
      </c>
      <c r="G51" s="150"/>
      <c r="H51" s="160"/>
      <c r="I51" s="153"/>
      <c r="J51" s="150"/>
      <c r="K51" s="160" t="s">
        <v>1496</v>
      </c>
      <c r="L51" s="153">
        <v>0.35</v>
      </c>
      <c r="P51">
        <v>47</v>
      </c>
      <c r="Q51" s="158" t="s">
        <v>2350</v>
      </c>
      <c r="R51" s="159">
        <v>2.1</v>
      </c>
    </row>
    <row r="52" spans="2:18" x14ac:dyDescent="0.25">
      <c r="B52" s="160"/>
      <c r="C52" s="153"/>
      <c r="D52" s="150"/>
      <c r="E52" s="160" t="s">
        <v>1498</v>
      </c>
      <c r="F52" s="153">
        <v>0.45</v>
      </c>
      <c r="G52" s="150"/>
      <c r="H52" s="160"/>
      <c r="I52" s="153"/>
      <c r="J52" s="150"/>
      <c r="K52" s="160" t="s">
        <v>1497</v>
      </c>
      <c r="L52" s="153">
        <v>0.4</v>
      </c>
      <c r="P52">
        <v>48</v>
      </c>
      <c r="Q52" s="158" t="s">
        <v>1386</v>
      </c>
      <c r="R52" s="159">
        <v>2.15</v>
      </c>
    </row>
    <row r="53" spans="2:18" x14ac:dyDescent="0.25">
      <c r="B53" s="160"/>
      <c r="C53" s="153"/>
      <c r="D53" s="150"/>
      <c r="E53" s="160" t="s">
        <v>289</v>
      </c>
      <c r="F53" s="153">
        <v>0.35</v>
      </c>
      <c r="G53" s="150"/>
      <c r="H53" s="160"/>
      <c r="I53" s="153"/>
      <c r="J53" s="150"/>
      <c r="K53" s="160" t="s">
        <v>1883</v>
      </c>
      <c r="L53" s="153">
        <v>0.3</v>
      </c>
      <c r="P53">
        <v>49</v>
      </c>
      <c r="Q53" s="158" t="s">
        <v>109</v>
      </c>
      <c r="R53" s="159">
        <v>2.2000000000000002</v>
      </c>
    </row>
    <row r="54" spans="2:18" x14ac:dyDescent="0.25">
      <c r="B54" s="160"/>
      <c r="C54" s="153"/>
      <c r="D54" s="150"/>
      <c r="E54" s="160" t="s">
        <v>293</v>
      </c>
      <c r="F54" s="153">
        <v>0.1</v>
      </c>
      <c r="G54" s="150"/>
      <c r="H54" s="160"/>
      <c r="I54" s="153"/>
      <c r="J54" s="150"/>
      <c r="K54" s="160" t="s">
        <v>1499</v>
      </c>
      <c r="L54" s="153">
        <v>0.1</v>
      </c>
      <c r="P54">
        <v>50</v>
      </c>
      <c r="Q54" s="158" t="s">
        <v>1286</v>
      </c>
      <c r="R54" s="159">
        <v>2.2000000000000002</v>
      </c>
    </row>
    <row r="55" spans="2:18" x14ac:dyDescent="0.25">
      <c r="B55" s="160"/>
      <c r="C55" s="153"/>
      <c r="D55" s="150"/>
      <c r="E55" s="160" t="s">
        <v>295</v>
      </c>
      <c r="F55" s="153">
        <v>2.5000000000000001E-2</v>
      </c>
      <c r="G55" s="150"/>
      <c r="H55" s="160"/>
      <c r="I55" s="153"/>
      <c r="J55" s="150"/>
      <c r="K55" s="160" t="s">
        <v>2370</v>
      </c>
      <c r="L55" s="153">
        <v>0.27500000000000002</v>
      </c>
      <c r="Q55" s="158"/>
      <c r="R55" s="159"/>
    </row>
    <row r="56" spans="2:18" x14ac:dyDescent="0.25">
      <c r="B56" s="160"/>
      <c r="C56" s="153"/>
      <c r="D56" s="150"/>
      <c r="E56" s="160" t="s">
        <v>294</v>
      </c>
      <c r="F56" s="153">
        <v>0.125</v>
      </c>
      <c r="G56" s="150"/>
      <c r="H56" s="160"/>
      <c r="I56" s="153"/>
      <c r="J56" s="150"/>
      <c r="K56" s="160" t="s">
        <v>2371</v>
      </c>
      <c r="L56" s="153">
        <v>0.3</v>
      </c>
      <c r="Q56" s="158"/>
      <c r="R56" s="159"/>
    </row>
    <row r="57" spans="2:18" x14ac:dyDescent="0.25">
      <c r="B57" s="160"/>
      <c r="C57" s="153"/>
      <c r="D57" s="150"/>
      <c r="E57" s="160" t="s">
        <v>297</v>
      </c>
      <c r="F57" s="153">
        <v>0.15</v>
      </c>
      <c r="G57" s="150"/>
      <c r="H57" s="160"/>
      <c r="I57" s="153"/>
      <c r="J57" s="150"/>
      <c r="K57" s="160" t="s">
        <v>2372</v>
      </c>
      <c r="L57" s="153">
        <v>0.5</v>
      </c>
      <c r="Q57" s="158"/>
      <c r="R57" s="159"/>
    </row>
    <row r="58" spans="2:18" x14ac:dyDescent="0.25">
      <c r="B58" s="160"/>
      <c r="C58" s="153"/>
      <c r="D58" s="150"/>
      <c r="E58" s="160" t="s">
        <v>1877</v>
      </c>
      <c r="F58" s="153">
        <v>0.25</v>
      </c>
      <c r="G58" s="150"/>
      <c r="H58" s="160"/>
      <c r="I58" s="153"/>
      <c r="J58" s="150"/>
      <c r="K58" s="160" t="s">
        <v>417</v>
      </c>
      <c r="L58" s="153">
        <v>0.2</v>
      </c>
      <c r="Q58" s="158"/>
      <c r="R58" s="159"/>
    </row>
    <row r="59" spans="2:18" x14ac:dyDescent="0.25">
      <c r="B59" s="160"/>
      <c r="C59" s="153"/>
      <c r="D59" s="150"/>
      <c r="E59" s="160" t="s">
        <v>298</v>
      </c>
      <c r="F59" s="153">
        <v>7.4999999999999997E-2</v>
      </c>
      <c r="G59" s="150"/>
      <c r="H59" s="160"/>
      <c r="I59" s="153"/>
      <c r="J59" s="150"/>
      <c r="K59" s="160" t="s">
        <v>1884</v>
      </c>
      <c r="L59" s="153">
        <v>0.4</v>
      </c>
      <c r="Q59" s="158"/>
      <c r="R59" s="159"/>
    </row>
    <row r="60" spans="2:18" x14ac:dyDescent="0.25">
      <c r="B60" s="160"/>
      <c r="C60" s="153"/>
      <c r="D60" s="150"/>
      <c r="E60" s="160" t="s">
        <v>299</v>
      </c>
      <c r="F60" s="153">
        <v>0.3</v>
      </c>
      <c r="G60" s="150"/>
      <c r="H60" s="160"/>
      <c r="I60" s="153"/>
      <c r="J60" s="150"/>
      <c r="K60" s="160" t="s">
        <v>2373</v>
      </c>
      <c r="L60" s="153">
        <v>0.55000000000000004</v>
      </c>
      <c r="Q60" s="158"/>
      <c r="R60" s="159"/>
    </row>
    <row r="61" spans="2:18" x14ac:dyDescent="0.25">
      <c r="B61" s="160"/>
      <c r="C61" s="153"/>
      <c r="D61" s="150"/>
      <c r="E61" s="160" t="s">
        <v>300</v>
      </c>
      <c r="F61" s="153">
        <v>0.1</v>
      </c>
      <c r="G61" s="150"/>
      <c r="H61" s="160"/>
      <c r="I61" s="153"/>
      <c r="J61" s="150"/>
      <c r="K61" s="160" t="s">
        <v>2374</v>
      </c>
      <c r="L61" s="153">
        <v>0.6</v>
      </c>
      <c r="Q61" s="158"/>
      <c r="R61" s="159"/>
    </row>
    <row r="62" spans="2:18" x14ac:dyDescent="0.25">
      <c r="B62" s="160"/>
      <c r="C62" s="153"/>
      <c r="D62" s="150"/>
      <c r="E62" s="160" t="s">
        <v>2423</v>
      </c>
      <c r="F62" s="153">
        <v>0.17499999999999999</v>
      </c>
      <c r="G62" s="150"/>
      <c r="H62" s="160"/>
      <c r="I62" s="153"/>
      <c r="J62" s="150"/>
      <c r="K62" s="160" t="s">
        <v>1885</v>
      </c>
      <c r="L62" s="153">
        <v>0.45</v>
      </c>
      <c r="Q62" s="158"/>
      <c r="R62" s="159"/>
    </row>
    <row r="63" spans="2:18" x14ac:dyDescent="0.25">
      <c r="B63" s="160"/>
      <c r="C63" s="153"/>
      <c r="D63" s="150"/>
      <c r="E63" s="160" t="s">
        <v>305</v>
      </c>
      <c r="F63" s="153">
        <v>0.2</v>
      </c>
      <c r="G63" s="150"/>
      <c r="H63" s="160"/>
      <c r="I63" s="153"/>
      <c r="J63" s="150"/>
      <c r="K63" s="160" t="s">
        <v>2375</v>
      </c>
      <c r="L63" s="153">
        <v>0.25</v>
      </c>
      <c r="Q63" s="158"/>
      <c r="R63" s="159"/>
    </row>
    <row r="64" spans="2:18" x14ac:dyDescent="0.25">
      <c r="B64" s="160"/>
      <c r="C64" s="153"/>
      <c r="D64" s="150"/>
      <c r="E64" s="160" t="s">
        <v>1500</v>
      </c>
      <c r="F64" s="153">
        <v>0.55000000000000004</v>
      </c>
      <c r="G64" s="150"/>
      <c r="H64" s="160"/>
      <c r="I64" s="153"/>
      <c r="J64" s="150"/>
      <c r="K64" s="160" t="s">
        <v>2376</v>
      </c>
      <c r="L64" s="153">
        <v>0.7</v>
      </c>
      <c r="Q64" s="158"/>
      <c r="R64" s="159"/>
    </row>
    <row r="65" spans="2:18" x14ac:dyDescent="0.25">
      <c r="B65" s="160"/>
      <c r="C65" s="153"/>
      <c r="D65" s="150"/>
      <c r="E65" s="160" t="s">
        <v>1501</v>
      </c>
      <c r="F65" s="153">
        <v>0.05</v>
      </c>
      <c r="G65" s="150"/>
      <c r="H65" s="160"/>
      <c r="I65" s="153"/>
      <c r="J65" s="150"/>
      <c r="K65" s="160" t="s">
        <v>2377</v>
      </c>
      <c r="L65" s="153">
        <v>0.42499999999999999</v>
      </c>
      <c r="Q65" s="158"/>
      <c r="R65" s="159"/>
    </row>
    <row r="66" spans="2:18" x14ac:dyDescent="0.25">
      <c r="B66" s="160"/>
      <c r="C66" s="153"/>
      <c r="D66" s="150"/>
      <c r="E66" s="160" t="s">
        <v>1878</v>
      </c>
      <c r="F66" s="153">
        <v>1.25</v>
      </c>
      <c r="G66" s="150"/>
      <c r="H66" s="160"/>
      <c r="I66" s="153"/>
      <c r="J66" s="150"/>
      <c r="K66" s="160"/>
      <c r="L66" s="153"/>
      <c r="Q66" s="158"/>
      <c r="R66" s="159"/>
    </row>
    <row r="67" spans="2:18" x14ac:dyDescent="0.25">
      <c r="B67" s="160"/>
      <c r="C67" s="153"/>
      <c r="D67" s="150"/>
      <c r="E67" s="160" t="s">
        <v>1879</v>
      </c>
      <c r="F67" s="153">
        <v>1.1000000000000001</v>
      </c>
      <c r="G67" s="150"/>
      <c r="H67" s="160"/>
      <c r="I67" s="153"/>
      <c r="J67" s="150"/>
      <c r="K67" s="160"/>
      <c r="L67" s="153"/>
      <c r="Q67" s="158"/>
      <c r="R67" s="159"/>
    </row>
    <row r="68" spans="2:18" x14ac:dyDescent="0.25">
      <c r="B68" s="160"/>
      <c r="C68" s="153"/>
      <c r="D68" s="150"/>
      <c r="E68" s="160" t="s">
        <v>2356</v>
      </c>
      <c r="F68" s="153">
        <v>1.4</v>
      </c>
      <c r="G68" s="150"/>
      <c r="H68" s="160"/>
      <c r="I68" s="153"/>
      <c r="J68" s="150"/>
      <c r="K68" s="160"/>
      <c r="L68" s="153"/>
      <c r="Q68" s="158"/>
      <c r="R68" s="159"/>
    </row>
    <row r="69" spans="2:18" x14ac:dyDescent="0.25">
      <c r="B69" s="160"/>
      <c r="C69" s="153"/>
      <c r="D69" s="150"/>
      <c r="E69" s="160" t="s">
        <v>2357</v>
      </c>
      <c r="F69" s="153">
        <v>0.65</v>
      </c>
      <c r="G69" s="150"/>
      <c r="H69" s="160"/>
      <c r="I69" s="153"/>
      <c r="J69" s="150"/>
      <c r="K69" s="160"/>
      <c r="L69" s="153"/>
      <c r="Q69" s="158"/>
      <c r="R69" s="159"/>
    </row>
    <row r="70" spans="2:18" x14ac:dyDescent="0.25">
      <c r="B70" s="160"/>
      <c r="C70" s="153"/>
      <c r="D70" s="150"/>
      <c r="E70" s="160" t="s">
        <v>2424</v>
      </c>
      <c r="F70" s="153">
        <v>0.77500000000000002</v>
      </c>
      <c r="G70" s="150"/>
      <c r="H70" s="160"/>
      <c r="I70" s="153"/>
      <c r="J70" s="150"/>
      <c r="K70" s="160"/>
      <c r="L70" s="153"/>
      <c r="Q70" s="158"/>
      <c r="R70" s="159"/>
    </row>
    <row r="71" spans="2:18" x14ac:dyDescent="0.25">
      <c r="B71" s="160"/>
      <c r="C71" s="153"/>
      <c r="D71" s="150"/>
      <c r="E71" s="160" t="s">
        <v>2358</v>
      </c>
      <c r="F71" s="153">
        <v>0.95</v>
      </c>
      <c r="G71" s="150"/>
      <c r="H71" s="160"/>
      <c r="I71" s="153"/>
      <c r="J71" s="150"/>
      <c r="K71" s="160"/>
      <c r="L71" s="153"/>
      <c r="Q71" s="158"/>
      <c r="R71" s="159"/>
    </row>
    <row r="72" spans="2:18" x14ac:dyDescent="0.25">
      <c r="B72" s="160"/>
      <c r="C72" s="153"/>
      <c r="D72" s="150"/>
      <c r="E72" s="160" t="s">
        <v>2359</v>
      </c>
      <c r="F72" s="153">
        <v>0.75</v>
      </c>
      <c r="G72" s="150"/>
      <c r="H72" s="160"/>
      <c r="I72" s="153"/>
      <c r="J72" s="150"/>
      <c r="K72" s="160"/>
      <c r="L72" s="153"/>
      <c r="Q72" s="158"/>
      <c r="R72" s="159"/>
    </row>
    <row r="73" spans="2:18" x14ac:dyDescent="0.25">
      <c r="B73" s="160"/>
      <c r="C73" s="153"/>
      <c r="D73" s="150"/>
      <c r="E73" s="160"/>
      <c r="F73" s="153"/>
      <c r="G73" s="150"/>
      <c r="H73" s="160"/>
      <c r="I73" s="153"/>
      <c r="J73" s="150"/>
      <c r="K73" s="160"/>
      <c r="L73" s="153"/>
      <c r="Q73" s="158"/>
      <c r="R73" s="159"/>
    </row>
    <row r="74" spans="2:18" x14ac:dyDescent="0.25">
      <c r="B74" s="160"/>
      <c r="C74" s="153"/>
      <c r="D74" s="150"/>
      <c r="E74" s="160"/>
      <c r="F74" s="153"/>
      <c r="G74" s="150"/>
      <c r="H74" s="160"/>
      <c r="I74" s="153"/>
      <c r="J74" s="150"/>
      <c r="K74" s="160"/>
      <c r="L74" s="153"/>
      <c r="Q74" s="158"/>
      <c r="R74" s="159"/>
    </row>
    <row r="75" spans="2:18" x14ac:dyDescent="0.25">
      <c r="Q75" s="158"/>
      <c r="R75" s="159"/>
    </row>
    <row r="76" spans="2:18" x14ac:dyDescent="0.25">
      <c r="Q76" s="158"/>
      <c r="R76" s="159"/>
    </row>
    <row r="77" spans="2:18" x14ac:dyDescent="0.25">
      <c r="Q77" s="158"/>
      <c r="R77" s="159"/>
    </row>
    <row r="78" spans="2:18" ht="15.75" x14ac:dyDescent="0.25">
      <c r="B78" s="400" t="s">
        <v>2389</v>
      </c>
      <c r="C78" s="402"/>
      <c r="D78" s="402"/>
      <c r="E78" s="402"/>
      <c r="F78" s="402"/>
      <c r="G78" s="402"/>
      <c r="H78" s="402"/>
      <c r="I78" s="402"/>
      <c r="J78" s="402"/>
      <c r="K78" s="402"/>
      <c r="L78" s="401"/>
      <c r="Q78" s="158"/>
      <c r="R78" s="159"/>
    </row>
    <row r="79" spans="2:18" ht="15.75" x14ac:dyDescent="0.25">
      <c r="B79" s="402" t="s">
        <v>1472</v>
      </c>
      <c r="C79" s="402"/>
      <c r="D79" s="150"/>
      <c r="E79" s="402" t="s">
        <v>1473</v>
      </c>
      <c r="F79" s="402"/>
      <c r="G79" s="150"/>
      <c r="H79" s="402" t="s">
        <v>1474</v>
      </c>
      <c r="I79" s="402"/>
      <c r="J79" s="150"/>
      <c r="K79" s="402" t="s">
        <v>1475</v>
      </c>
      <c r="L79" s="402"/>
      <c r="Q79" s="158"/>
      <c r="R79" s="159"/>
    </row>
    <row r="80" spans="2:18" x14ac:dyDescent="0.25">
      <c r="B80" s="151" t="s">
        <v>1476</v>
      </c>
      <c r="C80" s="151" t="s">
        <v>1477</v>
      </c>
      <c r="D80" s="166"/>
      <c r="E80" s="151" t="s">
        <v>1476</v>
      </c>
      <c r="F80" s="151" t="s">
        <v>1477</v>
      </c>
      <c r="G80" s="166"/>
      <c r="H80" s="151" t="s">
        <v>1476</v>
      </c>
      <c r="I80" s="151" t="s">
        <v>1477</v>
      </c>
      <c r="J80" s="166"/>
      <c r="K80" s="151" t="s">
        <v>1476</v>
      </c>
      <c r="L80" s="151" t="s">
        <v>1477</v>
      </c>
      <c r="Q80" s="158"/>
      <c r="R80" s="159"/>
    </row>
    <row r="81" spans="2:18" x14ac:dyDescent="0.25">
      <c r="B81" s="160"/>
      <c r="C81" s="153"/>
      <c r="D81" s="150"/>
      <c r="E81" s="160"/>
      <c r="F81" s="153"/>
      <c r="G81" s="150"/>
      <c r="H81" s="160"/>
      <c r="I81" s="153"/>
      <c r="J81" s="150"/>
      <c r="K81" s="160"/>
      <c r="L81" s="153"/>
      <c r="Q81" s="158"/>
      <c r="R81" s="159"/>
    </row>
    <row r="82" spans="2:18" x14ac:dyDescent="0.25">
      <c r="B82" s="160" t="s">
        <v>223</v>
      </c>
      <c r="C82" s="153">
        <v>0.05</v>
      </c>
      <c r="D82" s="150"/>
      <c r="E82" s="160" t="s">
        <v>1492</v>
      </c>
      <c r="F82" s="153"/>
      <c r="G82" s="150"/>
      <c r="H82" s="160" t="s">
        <v>223</v>
      </c>
      <c r="I82" s="153">
        <v>0.05</v>
      </c>
      <c r="J82" s="150"/>
      <c r="K82" s="160" t="s">
        <v>1492</v>
      </c>
      <c r="L82" s="153"/>
      <c r="Q82" s="158"/>
      <c r="R82" s="159"/>
    </row>
    <row r="83" spans="2:18" x14ac:dyDescent="0.25">
      <c r="B83" s="160" t="s">
        <v>219</v>
      </c>
      <c r="C83" s="153">
        <v>0.05</v>
      </c>
      <c r="D83" s="150"/>
      <c r="E83" s="160"/>
      <c r="F83" s="153"/>
      <c r="G83" s="150"/>
      <c r="H83" s="160" t="s">
        <v>219</v>
      </c>
      <c r="I83" s="153">
        <v>0.05</v>
      </c>
      <c r="J83" s="150"/>
      <c r="K83" s="160"/>
      <c r="L83" s="153"/>
    </row>
    <row r="84" spans="2:18" x14ac:dyDescent="0.25">
      <c r="B84" s="160" t="s">
        <v>220</v>
      </c>
      <c r="C84" s="153">
        <v>0.1</v>
      </c>
      <c r="D84" s="150"/>
      <c r="E84" s="160"/>
      <c r="F84" s="153"/>
      <c r="G84" s="150"/>
      <c r="H84" s="160" t="s">
        <v>220</v>
      </c>
      <c r="I84" s="153">
        <v>0.1</v>
      </c>
      <c r="J84" s="150"/>
      <c r="K84" s="160"/>
      <c r="L84" s="153"/>
    </row>
    <row r="85" spans="2:18" x14ac:dyDescent="0.25">
      <c r="B85" s="160" t="s">
        <v>222</v>
      </c>
      <c r="C85" s="153">
        <v>0.2</v>
      </c>
      <c r="D85" s="150"/>
      <c r="E85" s="160"/>
      <c r="F85" s="153"/>
      <c r="G85" s="150"/>
      <c r="H85" s="160" t="s">
        <v>222</v>
      </c>
      <c r="I85" s="153">
        <v>0.2</v>
      </c>
      <c r="J85" s="150"/>
      <c r="K85" s="160"/>
      <c r="L85" s="153"/>
    </row>
    <row r="86" spans="2:18" x14ac:dyDescent="0.25">
      <c r="B86" s="160" t="s">
        <v>224</v>
      </c>
      <c r="C86" s="153">
        <v>0.4</v>
      </c>
      <c r="D86" s="150"/>
      <c r="E86" s="160"/>
      <c r="F86" s="153"/>
      <c r="G86" s="150"/>
      <c r="H86" s="160" t="s">
        <v>224</v>
      </c>
      <c r="I86" s="153">
        <v>0.4</v>
      </c>
      <c r="J86" s="150"/>
      <c r="K86" s="160"/>
      <c r="L86" s="153"/>
    </row>
    <row r="87" spans="2:18" x14ac:dyDescent="0.25">
      <c r="B87" s="160"/>
      <c r="C87" s="153"/>
      <c r="D87" s="150"/>
      <c r="E87" s="160"/>
      <c r="F87" s="153"/>
      <c r="G87" s="150"/>
      <c r="H87" s="160" t="s">
        <v>1899</v>
      </c>
      <c r="I87" s="153">
        <v>0.2</v>
      </c>
      <c r="J87" s="150"/>
      <c r="K87" s="160"/>
      <c r="L87" s="153"/>
    </row>
    <row r="88" spans="2:18" x14ac:dyDescent="0.25">
      <c r="B88" s="160"/>
      <c r="C88" s="153"/>
      <c r="D88" s="150"/>
      <c r="E88" s="160"/>
      <c r="F88" s="153"/>
      <c r="G88" s="150"/>
      <c r="H88" s="160"/>
      <c r="I88" s="153"/>
      <c r="J88" s="150"/>
      <c r="K88" s="160"/>
      <c r="L88" s="153"/>
    </row>
    <row r="89" spans="2:18" x14ac:dyDescent="0.25">
      <c r="B89" s="160"/>
      <c r="C89" s="153"/>
      <c r="D89" s="150"/>
      <c r="E89" s="160"/>
      <c r="F89" s="153"/>
      <c r="G89" s="150"/>
      <c r="H89" s="160"/>
      <c r="I89" s="153"/>
      <c r="J89" s="150"/>
      <c r="K89" s="160"/>
      <c r="L89" s="153"/>
    </row>
    <row r="90" spans="2:18" x14ac:dyDescent="0.25">
      <c r="B90" s="160"/>
      <c r="C90" s="153"/>
      <c r="D90" s="150"/>
      <c r="E90" s="160"/>
      <c r="F90" s="153"/>
      <c r="G90" s="150"/>
      <c r="H90" s="160"/>
      <c r="I90" s="153"/>
      <c r="J90" s="150"/>
      <c r="K90" s="160"/>
      <c r="L90" s="153"/>
    </row>
    <row r="91" spans="2:18" x14ac:dyDescent="0.25">
      <c r="B91" s="160"/>
      <c r="C91" s="153"/>
      <c r="D91" s="150"/>
      <c r="E91" s="160"/>
      <c r="F91" s="153"/>
      <c r="G91" s="150"/>
      <c r="H91" s="160"/>
      <c r="I91" s="153"/>
      <c r="J91" s="150"/>
      <c r="K91" s="160"/>
      <c r="L91" s="153"/>
    </row>
    <row r="92" spans="2:18" x14ac:dyDescent="0.25">
      <c r="B92" s="160"/>
      <c r="C92" s="153"/>
      <c r="D92" s="150"/>
      <c r="E92" s="160"/>
      <c r="F92" s="153"/>
      <c r="G92" s="150"/>
      <c r="H92" s="160"/>
      <c r="I92" s="153"/>
      <c r="J92" s="150"/>
      <c r="K92" s="160"/>
      <c r="L92" s="153"/>
    </row>
    <row r="93" spans="2:18" x14ac:dyDescent="0.25">
      <c r="B93" s="160"/>
      <c r="C93" s="153"/>
      <c r="D93" s="150"/>
      <c r="E93" s="160"/>
      <c r="F93" s="153"/>
      <c r="G93" s="150"/>
      <c r="H93" s="160"/>
      <c r="I93" s="153"/>
      <c r="J93" s="150"/>
      <c r="K93" s="160"/>
      <c r="L93" s="153"/>
    </row>
    <row r="94" spans="2:18" x14ac:dyDescent="0.25">
      <c r="B94" s="160"/>
      <c r="C94" s="153"/>
      <c r="D94" s="150"/>
      <c r="E94" s="160"/>
      <c r="F94" s="153"/>
      <c r="G94" s="150"/>
      <c r="H94" s="160"/>
      <c r="I94" s="153"/>
      <c r="J94" s="150"/>
      <c r="K94" s="160"/>
      <c r="L94" s="153"/>
    </row>
    <row r="95" spans="2:18" x14ac:dyDescent="0.25">
      <c r="B95" s="160"/>
      <c r="C95" s="153"/>
      <c r="D95" s="150"/>
      <c r="E95" s="160"/>
      <c r="F95" s="153"/>
      <c r="G95" s="150"/>
      <c r="H95" s="160"/>
      <c r="I95" s="153"/>
      <c r="J95" s="150"/>
      <c r="K95" s="160"/>
      <c r="L95" s="153"/>
    </row>
    <row r="96" spans="2:18" x14ac:dyDescent="0.25">
      <c r="B96" s="160"/>
      <c r="C96" s="153"/>
      <c r="D96" s="150"/>
      <c r="E96" s="160"/>
      <c r="F96" s="153"/>
      <c r="G96" s="150"/>
      <c r="H96" s="160"/>
      <c r="I96" s="153"/>
      <c r="J96" s="150"/>
      <c r="K96" s="160"/>
      <c r="L96" s="153"/>
    </row>
    <row r="97" spans="2:18" x14ac:dyDescent="0.25">
      <c r="B97" s="160"/>
      <c r="C97" s="153"/>
      <c r="D97" s="150"/>
      <c r="E97" s="160"/>
      <c r="F97" s="153"/>
      <c r="G97" s="150"/>
      <c r="H97" s="160"/>
      <c r="I97" s="153"/>
      <c r="J97" s="150"/>
      <c r="K97" s="160"/>
      <c r="L97" s="153"/>
    </row>
    <row r="98" spans="2:18" x14ac:dyDescent="0.25">
      <c r="B98" s="160"/>
      <c r="C98" s="153"/>
      <c r="D98" s="150"/>
      <c r="E98" s="160"/>
      <c r="F98" s="153"/>
      <c r="G98" s="150"/>
      <c r="H98" s="160"/>
      <c r="I98" s="153"/>
      <c r="J98" s="150"/>
      <c r="K98" s="160"/>
      <c r="L98" s="153"/>
    </row>
    <row r="99" spans="2:18" s="1" customFormat="1" x14ac:dyDescent="0.25">
      <c r="B99" s="3"/>
      <c r="C99"/>
      <c r="D99"/>
      <c r="E99" s="3"/>
      <c r="F99"/>
      <c r="G99"/>
      <c r="H99" s="3"/>
      <c r="I99"/>
      <c r="J99"/>
      <c r="K99" s="3"/>
      <c r="L99"/>
      <c r="M99"/>
      <c r="N99"/>
      <c r="O99"/>
      <c r="P99"/>
      <c r="R99" s="167"/>
    </row>
    <row r="102" spans="2:18" ht="15.75" x14ac:dyDescent="0.25">
      <c r="B102" s="400" t="s">
        <v>2391</v>
      </c>
      <c r="C102" s="402"/>
      <c r="D102" s="402"/>
      <c r="E102" s="402"/>
      <c r="F102" s="402"/>
      <c r="G102" s="402"/>
      <c r="H102" s="402"/>
      <c r="I102" s="402"/>
      <c r="J102" s="402"/>
      <c r="K102" s="402"/>
      <c r="L102" s="402"/>
      <c r="M102" s="402"/>
      <c r="N102" s="402"/>
      <c r="O102" s="402"/>
      <c r="P102" s="401"/>
    </row>
    <row r="103" spans="2:18" ht="15.75" x14ac:dyDescent="0.25">
      <c r="B103" s="402" t="s">
        <v>1472</v>
      </c>
      <c r="C103" s="402"/>
      <c r="D103" s="402"/>
      <c r="F103" s="402" t="s">
        <v>1473</v>
      </c>
      <c r="G103" s="402"/>
      <c r="H103" s="402"/>
      <c r="J103" s="402" t="s">
        <v>1474</v>
      </c>
      <c r="K103" s="402"/>
      <c r="L103" s="402"/>
      <c r="N103" s="402" t="s">
        <v>1475</v>
      </c>
      <c r="O103" s="402"/>
      <c r="P103" s="402"/>
    </row>
    <row r="104" spans="2:18" x14ac:dyDescent="0.25">
      <c r="B104" s="151" t="s">
        <v>1503</v>
      </c>
      <c r="C104" s="151" t="s">
        <v>1476</v>
      </c>
      <c r="D104" s="151" t="s">
        <v>1477</v>
      </c>
      <c r="E104" s="1"/>
      <c r="F104" s="151" t="s">
        <v>1503</v>
      </c>
      <c r="G104" s="151" t="s">
        <v>1476</v>
      </c>
      <c r="H104" s="151" t="s">
        <v>1477</v>
      </c>
      <c r="I104" s="1"/>
      <c r="J104" s="151" t="s">
        <v>1503</v>
      </c>
      <c r="K104" s="151" t="s">
        <v>1476</v>
      </c>
      <c r="L104" s="151" t="s">
        <v>1477</v>
      </c>
      <c r="M104" s="1"/>
      <c r="N104" s="151" t="s">
        <v>1503</v>
      </c>
      <c r="O104" s="151" t="s">
        <v>1476</v>
      </c>
      <c r="P104" s="151" t="s">
        <v>1477</v>
      </c>
    </row>
    <row r="105" spans="2:18" x14ac:dyDescent="0.25">
      <c r="B105" s="162"/>
      <c r="C105" s="156"/>
      <c r="D105" s="153"/>
      <c r="F105" s="155"/>
      <c r="G105" s="156"/>
      <c r="H105" s="164"/>
      <c r="J105" s="155"/>
      <c r="K105" s="165"/>
      <c r="L105" s="153"/>
      <c r="N105" s="155"/>
      <c r="O105" s="156"/>
      <c r="P105" s="153"/>
    </row>
    <row r="106" spans="2:18" x14ac:dyDescent="0.25">
      <c r="B106" s="162">
        <v>1</v>
      </c>
      <c r="C106" s="156" t="s">
        <v>410</v>
      </c>
      <c r="D106" s="153">
        <v>0.125</v>
      </c>
      <c r="F106" s="155">
        <v>1</v>
      </c>
      <c r="G106" s="156" t="s">
        <v>318</v>
      </c>
      <c r="H106" s="164">
        <v>0.125</v>
      </c>
      <c r="J106" s="155">
        <v>1</v>
      </c>
      <c r="K106" s="165" t="s">
        <v>410</v>
      </c>
      <c r="L106" s="153">
        <v>0.125</v>
      </c>
      <c r="N106" s="155">
        <v>1</v>
      </c>
      <c r="O106" s="156" t="s">
        <v>318</v>
      </c>
      <c r="P106" s="153">
        <v>0.125</v>
      </c>
    </row>
    <row r="107" spans="2:18" x14ac:dyDescent="0.25">
      <c r="B107" s="162">
        <v>2</v>
      </c>
      <c r="C107" s="156" t="s">
        <v>416</v>
      </c>
      <c r="D107" s="153">
        <v>0.2</v>
      </c>
      <c r="F107" s="155">
        <v>2</v>
      </c>
      <c r="G107" s="156" t="s">
        <v>323</v>
      </c>
      <c r="H107" s="164">
        <v>0.3</v>
      </c>
      <c r="J107" s="155">
        <v>2</v>
      </c>
      <c r="K107" s="165" t="s">
        <v>416</v>
      </c>
      <c r="L107" s="153">
        <v>0.2</v>
      </c>
      <c r="N107" s="155">
        <v>2</v>
      </c>
      <c r="O107" s="156" t="s">
        <v>323</v>
      </c>
      <c r="P107" s="153">
        <v>0.3</v>
      </c>
    </row>
    <row r="108" spans="2:18" x14ac:dyDescent="0.25">
      <c r="B108" s="162">
        <v>3</v>
      </c>
      <c r="C108" s="156" t="s">
        <v>424</v>
      </c>
      <c r="D108" s="153">
        <v>0.05</v>
      </c>
      <c r="F108" s="155">
        <v>3</v>
      </c>
      <c r="G108" s="156" t="s">
        <v>328</v>
      </c>
      <c r="H108" s="164">
        <v>0.4</v>
      </c>
      <c r="J108" s="155">
        <v>3</v>
      </c>
      <c r="K108" s="165" t="s">
        <v>424</v>
      </c>
      <c r="L108" s="153">
        <v>0.05</v>
      </c>
      <c r="N108" s="155">
        <v>3</v>
      </c>
      <c r="O108" s="156" t="s">
        <v>328</v>
      </c>
      <c r="P108" s="153">
        <v>0.4</v>
      </c>
    </row>
    <row r="109" spans="2:18" x14ac:dyDescent="0.25">
      <c r="B109" s="162">
        <v>4</v>
      </c>
      <c r="C109" s="156" t="s">
        <v>340</v>
      </c>
      <c r="D109" s="153">
        <v>0.1</v>
      </c>
      <c r="F109" s="155">
        <v>4</v>
      </c>
      <c r="G109" s="156" t="s">
        <v>330</v>
      </c>
      <c r="H109" s="164">
        <v>0.15</v>
      </c>
      <c r="J109" s="155">
        <v>4</v>
      </c>
      <c r="K109" s="165" t="s">
        <v>340</v>
      </c>
      <c r="L109" s="153">
        <v>0.1</v>
      </c>
      <c r="N109" s="155">
        <v>4</v>
      </c>
      <c r="O109" s="156" t="s">
        <v>330</v>
      </c>
      <c r="P109" s="153">
        <v>0.15</v>
      </c>
    </row>
    <row r="110" spans="2:18" x14ac:dyDescent="0.25">
      <c r="B110" s="162">
        <v>5</v>
      </c>
      <c r="C110" s="156" t="s">
        <v>420</v>
      </c>
      <c r="D110" s="153">
        <v>0.25</v>
      </c>
      <c r="F110" s="155">
        <v>5</v>
      </c>
      <c r="G110" s="156" t="s">
        <v>334</v>
      </c>
      <c r="H110" s="164">
        <v>0.32500000000000001</v>
      </c>
      <c r="J110" s="155">
        <v>5</v>
      </c>
      <c r="K110" s="165" t="s">
        <v>420</v>
      </c>
      <c r="L110" s="153">
        <v>0.25</v>
      </c>
      <c r="N110" s="155">
        <v>5</v>
      </c>
      <c r="O110" s="156" t="s">
        <v>334</v>
      </c>
      <c r="P110" s="153">
        <v>0.32500000000000001</v>
      </c>
    </row>
    <row r="111" spans="2:18" x14ac:dyDescent="0.25">
      <c r="B111" s="162">
        <v>6</v>
      </c>
      <c r="C111" s="156" t="s">
        <v>428</v>
      </c>
      <c r="D111" s="153">
        <v>0.17499999999999999</v>
      </c>
      <c r="F111" s="155">
        <v>6</v>
      </c>
      <c r="G111" s="156" t="s">
        <v>336</v>
      </c>
      <c r="H111" s="164">
        <v>0.42499999999999999</v>
      </c>
      <c r="J111" s="155">
        <v>6</v>
      </c>
      <c r="K111" s="165" t="s">
        <v>428</v>
      </c>
      <c r="L111" s="153">
        <v>0.17499999999999999</v>
      </c>
      <c r="N111" s="155">
        <v>6</v>
      </c>
      <c r="O111" s="156" t="s">
        <v>336</v>
      </c>
      <c r="P111" s="153">
        <v>0.42499999999999999</v>
      </c>
    </row>
    <row r="112" spans="2:18" x14ac:dyDescent="0.25">
      <c r="B112" s="162">
        <v>7</v>
      </c>
      <c r="C112" s="156" t="s">
        <v>430</v>
      </c>
      <c r="D112" s="153">
        <v>0.3</v>
      </c>
      <c r="F112" s="155">
        <v>7</v>
      </c>
      <c r="G112" s="156" t="s">
        <v>338</v>
      </c>
      <c r="H112" s="164">
        <v>0.5</v>
      </c>
      <c r="J112" s="155">
        <v>7</v>
      </c>
      <c r="K112" s="165" t="s">
        <v>430</v>
      </c>
      <c r="L112" s="153">
        <v>0.3</v>
      </c>
      <c r="N112" s="155">
        <v>7</v>
      </c>
      <c r="O112" s="156" t="s">
        <v>338</v>
      </c>
      <c r="P112" s="153">
        <v>0.5</v>
      </c>
    </row>
    <row r="113" spans="2:16" x14ac:dyDescent="0.25">
      <c r="B113" s="162"/>
      <c r="C113" s="156"/>
      <c r="D113" s="153"/>
      <c r="F113" s="155">
        <v>8</v>
      </c>
      <c r="G113" s="156" t="s">
        <v>1504</v>
      </c>
      <c r="H113" s="164">
        <v>0.05</v>
      </c>
      <c r="J113" s="155">
        <v>8</v>
      </c>
      <c r="K113" s="165" t="s">
        <v>318</v>
      </c>
      <c r="L113" s="153">
        <v>0.125</v>
      </c>
      <c r="N113" s="155">
        <v>8</v>
      </c>
      <c r="O113" s="156" t="s">
        <v>1504</v>
      </c>
      <c r="P113" s="153">
        <v>0.05</v>
      </c>
    </row>
    <row r="114" spans="2:16" x14ac:dyDescent="0.25">
      <c r="B114" s="162"/>
      <c r="C114" s="156"/>
      <c r="D114" s="153"/>
      <c r="F114" s="155">
        <v>9</v>
      </c>
      <c r="G114" s="156" t="s">
        <v>346</v>
      </c>
      <c r="H114" s="164">
        <v>7.4999999999999997E-2</v>
      </c>
      <c r="J114" s="155">
        <v>9</v>
      </c>
      <c r="K114" s="165" t="s">
        <v>323</v>
      </c>
      <c r="L114" s="153">
        <v>0.3</v>
      </c>
      <c r="N114" s="155">
        <v>9</v>
      </c>
      <c r="O114" s="156" t="s">
        <v>346</v>
      </c>
      <c r="P114" s="153">
        <v>7.4999999999999997E-2</v>
      </c>
    </row>
    <row r="115" spans="2:16" x14ac:dyDescent="0.25">
      <c r="B115" s="162"/>
      <c r="C115" s="156"/>
      <c r="D115" s="153"/>
      <c r="F115" s="155">
        <v>10</v>
      </c>
      <c r="G115" s="156" t="s">
        <v>2360</v>
      </c>
      <c r="H115" s="164">
        <v>0.1</v>
      </c>
      <c r="J115" s="155">
        <v>10</v>
      </c>
      <c r="K115" s="165" t="s">
        <v>328</v>
      </c>
      <c r="L115" s="153">
        <v>0.4</v>
      </c>
      <c r="N115" s="155">
        <v>10</v>
      </c>
      <c r="O115" s="156" t="s">
        <v>2360</v>
      </c>
      <c r="P115" s="153">
        <v>0.1</v>
      </c>
    </row>
    <row r="116" spans="2:16" x14ac:dyDescent="0.25">
      <c r="B116" s="162"/>
      <c r="C116" s="156"/>
      <c r="D116" s="153"/>
      <c r="F116" s="155">
        <v>11</v>
      </c>
      <c r="G116" s="156" t="s">
        <v>2361</v>
      </c>
      <c r="H116" s="164">
        <v>2.5000000000000001E-2</v>
      </c>
      <c r="J116" s="155">
        <v>11</v>
      </c>
      <c r="K116" s="165" t="s">
        <v>330</v>
      </c>
      <c r="L116" s="153">
        <v>0.15</v>
      </c>
      <c r="N116" s="155">
        <v>11</v>
      </c>
      <c r="O116" s="156" t="s">
        <v>2361</v>
      </c>
      <c r="P116" s="153">
        <v>2.5000000000000001E-2</v>
      </c>
    </row>
    <row r="117" spans="2:16" x14ac:dyDescent="0.25">
      <c r="B117" s="162"/>
      <c r="C117" s="156"/>
      <c r="D117" s="153"/>
      <c r="F117" s="155">
        <v>12</v>
      </c>
      <c r="G117" s="156" t="s">
        <v>348</v>
      </c>
      <c r="H117" s="164">
        <v>0.17499999999999999</v>
      </c>
      <c r="J117" s="155">
        <v>12</v>
      </c>
      <c r="K117" s="165" t="s">
        <v>334</v>
      </c>
      <c r="L117" s="153">
        <v>0.32500000000000001</v>
      </c>
      <c r="N117" s="155">
        <v>12</v>
      </c>
      <c r="O117" s="156" t="s">
        <v>348</v>
      </c>
      <c r="P117" s="153">
        <v>0.17499999999999999</v>
      </c>
    </row>
    <row r="118" spans="2:16" x14ac:dyDescent="0.25">
      <c r="B118" s="162"/>
      <c r="C118" s="156"/>
      <c r="D118" s="153"/>
      <c r="F118" s="155">
        <v>13</v>
      </c>
      <c r="G118" s="156" t="s">
        <v>1505</v>
      </c>
      <c r="H118" s="164">
        <v>0.45</v>
      </c>
      <c r="J118" s="155">
        <v>13</v>
      </c>
      <c r="K118" s="165" t="s">
        <v>336</v>
      </c>
      <c r="L118" s="153">
        <v>0.42499999999999999</v>
      </c>
      <c r="N118" s="155">
        <v>13</v>
      </c>
      <c r="O118" s="156" t="s">
        <v>1505</v>
      </c>
      <c r="P118" s="153">
        <v>0.45</v>
      </c>
    </row>
    <row r="119" spans="2:16" x14ac:dyDescent="0.25">
      <c r="B119" s="162"/>
      <c r="C119" s="156"/>
      <c r="D119" s="153"/>
      <c r="F119" s="155">
        <v>14</v>
      </c>
      <c r="G119" s="156" t="s">
        <v>367</v>
      </c>
      <c r="H119" s="164">
        <v>0.22500000000000001</v>
      </c>
      <c r="J119" s="155">
        <v>14</v>
      </c>
      <c r="K119" s="165" t="s">
        <v>338</v>
      </c>
      <c r="L119" s="153">
        <v>0.5</v>
      </c>
      <c r="N119" s="155">
        <v>14</v>
      </c>
      <c r="O119" s="156" t="s">
        <v>367</v>
      </c>
      <c r="P119" s="153">
        <v>0.22500000000000001</v>
      </c>
    </row>
    <row r="120" spans="2:16" x14ac:dyDescent="0.25">
      <c r="B120" s="162"/>
      <c r="C120" s="156"/>
      <c r="D120" s="153"/>
      <c r="F120" s="155">
        <v>15</v>
      </c>
      <c r="G120" s="156" t="s">
        <v>371</v>
      </c>
      <c r="H120" s="164">
        <v>0.375</v>
      </c>
      <c r="J120" s="155">
        <v>15</v>
      </c>
      <c r="K120" s="165" t="s">
        <v>1504</v>
      </c>
      <c r="L120" s="153">
        <v>0.05</v>
      </c>
      <c r="N120" s="155">
        <v>15</v>
      </c>
      <c r="O120" s="156" t="s">
        <v>371</v>
      </c>
      <c r="P120" s="153">
        <v>0.375</v>
      </c>
    </row>
    <row r="121" spans="2:16" x14ac:dyDescent="0.25">
      <c r="B121" s="162"/>
      <c r="C121" s="156"/>
      <c r="D121" s="153"/>
      <c r="F121" s="155">
        <v>16</v>
      </c>
      <c r="G121" s="156" t="s">
        <v>359</v>
      </c>
      <c r="H121" s="164">
        <v>0.15</v>
      </c>
      <c r="J121" s="155">
        <v>16</v>
      </c>
      <c r="K121" s="165" t="s">
        <v>346</v>
      </c>
      <c r="L121" s="153">
        <v>7.4999999999999997E-2</v>
      </c>
      <c r="N121" s="155">
        <v>16</v>
      </c>
      <c r="O121" s="156" t="s">
        <v>359</v>
      </c>
      <c r="P121" s="153">
        <v>0.15</v>
      </c>
    </row>
    <row r="122" spans="2:16" x14ac:dyDescent="0.25">
      <c r="B122" s="162"/>
      <c r="C122" s="156"/>
      <c r="D122" s="153"/>
      <c r="F122" s="155">
        <v>17</v>
      </c>
      <c r="G122" s="156" t="s">
        <v>350</v>
      </c>
      <c r="H122" s="164">
        <v>0.28000000000000003</v>
      </c>
      <c r="J122" s="155">
        <v>17</v>
      </c>
      <c r="K122" s="165" t="s">
        <v>2360</v>
      </c>
      <c r="L122" s="153">
        <v>0.1</v>
      </c>
      <c r="N122" s="155">
        <v>17</v>
      </c>
      <c r="O122" s="156" t="s">
        <v>350</v>
      </c>
      <c r="P122" s="153">
        <v>0.28000000000000003</v>
      </c>
    </row>
    <row r="123" spans="2:16" x14ac:dyDescent="0.25">
      <c r="B123" s="162"/>
      <c r="C123" s="156"/>
      <c r="D123" s="153"/>
      <c r="F123" s="155">
        <v>18</v>
      </c>
      <c r="G123" s="156" t="s">
        <v>369</v>
      </c>
      <c r="H123" s="164">
        <v>0.27500000000000002</v>
      </c>
      <c r="J123" s="155">
        <v>18</v>
      </c>
      <c r="K123" s="165" t="s">
        <v>2361</v>
      </c>
      <c r="L123" s="153">
        <v>2.5000000000000001E-2</v>
      </c>
      <c r="N123" s="155">
        <v>18</v>
      </c>
      <c r="O123" s="156" t="s">
        <v>369</v>
      </c>
      <c r="P123" s="153">
        <v>0.27500000000000002</v>
      </c>
    </row>
    <row r="124" spans="2:16" x14ac:dyDescent="0.25">
      <c r="B124" s="162"/>
      <c r="C124" s="156"/>
      <c r="D124" s="153"/>
      <c r="F124" s="155">
        <v>19</v>
      </c>
      <c r="G124" s="156" t="s">
        <v>569</v>
      </c>
      <c r="H124" s="164">
        <v>0.6</v>
      </c>
      <c r="J124" s="155">
        <v>19</v>
      </c>
      <c r="K124" s="165" t="s">
        <v>348</v>
      </c>
      <c r="L124" s="153">
        <v>0.17499999999999999</v>
      </c>
      <c r="N124" s="155">
        <v>19</v>
      </c>
      <c r="O124" s="156" t="s">
        <v>569</v>
      </c>
      <c r="P124" s="153">
        <v>0.6</v>
      </c>
    </row>
    <row r="125" spans="2:16" x14ac:dyDescent="0.25">
      <c r="B125" s="162"/>
      <c r="C125" s="156"/>
      <c r="D125" s="153"/>
      <c r="F125" s="155">
        <v>20</v>
      </c>
      <c r="G125" s="156" t="s">
        <v>381</v>
      </c>
      <c r="H125" s="164">
        <v>0.15</v>
      </c>
      <c r="J125" s="155">
        <v>20</v>
      </c>
      <c r="K125" s="165" t="s">
        <v>1505</v>
      </c>
      <c r="L125" s="153">
        <v>0.45</v>
      </c>
      <c r="N125" s="155">
        <v>20</v>
      </c>
      <c r="O125" s="156" t="s">
        <v>381</v>
      </c>
      <c r="P125" s="153">
        <v>0.15</v>
      </c>
    </row>
    <row r="126" spans="2:16" x14ac:dyDescent="0.25">
      <c r="B126" s="162"/>
      <c r="C126" s="156"/>
      <c r="D126" s="153"/>
      <c r="F126" s="155">
        <v>21</v>
      </c>
      <c r="G126" s="156" t="s">
        <v>379</v>
      </c>
      <c r="H126" s="164">
        <v>0.2</v>
      </c>
      <c r="J126" s="155">
        <v>21</v>
      </c>
      <c r="K126" s="165" t="s">
        <v>367</v>
      </c>
      <c r="L126" s="153">
        <v>0.22500000000000001</v>
      </c>
      <c r="N126" s="155">
        <v>21</v>
      </c>
      <c r="O126" s="156" t="s">
        <v>379</v>
      </c>
      <c r="P126" s="153">
        <v>0.2</v>
      </c>
    </row>
    <row r="127" spans="2:16" x14ac:dyDescent="0.25">
      <c r="B127" s="162"/>
      <c r="C127" s="156"/>
      <c r="D127" s="153"/>
      <c r="F127" s="155">
        <v>22</v>
      </c>
      <c r="G127" s="156" t="s">
        <v>2364</v>
      </c>
      <c r="H127" s="164">
        <v>0.27500000000000002</v>
      </c>
      <c r="J127" s="155">
        <v>22</v>
      </c>
      <c r="K127" s="165" t="s">
        <v>371</v>
      </c>
      <c r="L127" s="153">
        <v>0.375</v>
      </c>
      <c r="N127" s="155">
        <v>22</v>
      </c>
      <c r="O127" s="156" t="s">
        <v>2364</v>
      </c>
      <c r="P127" s="153">
        <v>0.27500000000000002</v>
      </c>
    </row>
    <row r="128" spans="2:16" x14ac:dyDescent="0.25">
      <c r="B128" s="162"/>
      <c r="C128" s="156"/>
      <c r="D128" s="153"/>
      <c r="F128" s="155">
        <v>23</v>
      </c>
      <c r="G128" s="156" t="s">
        <v>571</v>
      </c>
      <c r="H128" s="164">
        <v>0.25</v>
      </c>
      <c r="J128" s="155">
        <v>23</v>
      </c>
      <c r="K128" s="165" t="s">
        <v>359</v>
      </c>
      <c r="L128" s="153">
        <v>0.15</v>
      </c>
      <c r="N128" s="155">
        <v>23</v>
      </c>
      <c r="O128" s="156" t="s">
        <v>571</v>
      </c>
      <c r="P128" s="153">
        <v>0.25</v>
      </c>
    </row>
    <row r="129" spans="2:16" x14ac:dyDescent="0.25">
      <c r="B129" s="162"/>
      <c r="C129" s="156"/>
      <c r="D129" s="153"/>
      <c r="F129" s="155">
        <v>24</v>
      </c>
      <c r="G129" s="156" t="s">
        <v>391</v>
      </c>
      <c r="H129" s="164">
        <v>0.32500000000000001</v>
      </c>
      <c r="J129" s="155">
        <v>24</v>
      </c>
      <c r="K129" s="165" t="s">
        <v>350</v>
      </c>
      <c r="L129" s="153">
        <v>0.28000000000000003</v>
      </c>
      <c r="N129" s="155">
        <v>24</v>
      </c>
      <c r="O129" s="156" t="s">
        <v>391</v>
      </c>
      <c r="P129" s="153">
        <v>0.32500000000000001</v>
      </c>
    </row>
    <row r="130" spans="2:16" x14ac:dyDescent="0.25">
      <c r="B130" s="162"/>
      <c r="C130" s="156"/>
      <c r="D130" s="153"/>
      <c r="F130" s="155">
        <v>25</v>
      </c>
      <c r="G130" s="156" t="s">
        <v>389</v>
      </c>
      <c r="H130" s="164">
        <v>0.3</v>
      </c>
      <c r="J130" s="155">
        <v>25</v>
      </c>
      <c r="K130" s="165" t="s">
        <v>369</v>
      </c>
      <c r="L130" s="153">
        <v>0.27500000000000002</v>
      </c>
      <c r="N130" s="155">
        <v>25</v>
      </c>
      <c r="O130" s="156" t="s">
        <v>389</v>
      </c>
      <c r="P130" s="153">
        <v>0.3</v>
      </c>
    </row>
    <row r="131" spans="2:16" x14ac:dyDescent="0.25">
      <c r="B131" s="162"/>
      <c r="C131" s="156"/>
      <c r="D131" s="153"/>
      <c r="F131" s="155">
        <v>26</v>
      </c>
      <c r="G131" s="156" t="s">
        <v>426</v>
      </c>
      <c r="H131" s="164">
        <v>0.35</v>
      </c>
      <c r="J131" s="155">
        <v>26</v>
      </c>
      <c r="K131" s="165" t="s">
        <v>569</v>
      </c>
      <c r="L131" s="153">
        <v>0.6</v>
      </c>
      <c r="N131" s="155">
        <v>26</v>
      </c>
      <c r="O131" s="156" t="s">
        <v>426</v>
      </c>
      <c r="P131" s="153">
        <v>0.35</v>
      </c>
    </row>
    <row r="132" spans="2:16" x14ac:dyDescent="0.25">
      <c r="B132" s="162"/>
      <c r="C132" s="156"/>
      <c r="D132" s="153"/>
      <c r="F132" s="155">
        <v>27</v>
      </c>
      <c r="G132" s="156" t="s">
        <v>393</v>
      </c>
      <c r="H132" s="164">
        <v>0.8</v>
      </c>
      <c r="J132" s="155">
        <v>27</v>
      </c>
      <c r="K132" s="165" t="s">
        <v>381</v>
      </c>
      <c r="L132" s="153">
        <v>0.15</v>
      </c>
      <c r="N132" s="155">
        <v>27</v>
      </c>
      <c r="O132" s="156" t="s">
        <v>393</v>
      </c>
      <c r="P132" s="153">
        <v>0.8</v>
      </c>
    </row>
    <row r="133" spans="2:16" x14ac:dyDescent="0.25">
      <c r="B133" s="162"/>
      <c r="C133" s="156"/>
      <c r="D133" s="153"/>
      <c r="F133" s="155">
        <v>28</v>
      </c>
      <c r="G133" s="156" t="s">
        <v>395</v>
      </c>
      <c r="H133" s="164">
        <v>0.7</v>
      </c>
      <c r="J133" s="155">
        <v>28</v>
      </c>
      <c r="K133" s="165" t="s">
        <v>379</v>
      </c>
      <c r="L133" s="153">
        <v>0.2</v>
      </c>
      <c r="N133" s="155">
        <v>28</v>
      </c>
      <c r="O133" s="156" t="s">
        <v>395</v>
      </c>
      <c r="P133" s="153">
        <v>0.7</v>
      </c>
    </row>
    <row r="134" spans="2:16" x14ac:dyDescent="0.25">
      <c r="B134" s="162"/>
      <c r="C134" s="156"/>
      <c r="D134" s="153"/>
      <c r="F134" s="155">
        <v>29</v>
      </c>
      <c r="G134" s="156" t="s">
        <v>2365</v>
      </c>
      <c r="H134" s="164">
        <v>0.47499999999999998</v>
      </c>
      <c r="J134" s="155">
        <v>29</v>
      </c>
      <c r="K134" s="165" t="s">
        <v>2364</v>
      </c>
      <c r="L134" s="153">
        <v>0.27500000000000002</v>
      </c>
      <c r="N134" s="155">
        <v>29</v>
      </c>
      <c r="O134" s="156" t="s">
        <v>2365</v>
      </c>
      <c r="P134" s="153">
        <v>0.47499999999999998</v>
      </c>
    </row>
    <row r="135" spans="2:16" x14ac:dyDescent="0.25">
      <c r="B135" s="162"/>
      <c r="C135" s="156"/>
      <c r="D135" s="153"/>
      <c r="F135" s="155"/>
      <c r="G135" s="156"/>
      <c r="H135" s="164"/>
      <c r="J135" s="155">
        <v>30</v>
      </c>
      <c r="K135" s="165" t="s">
        <v>571</v>
      </c>
      <c r="L135" s="153">
        <v>0.25</v>
      </c>
      <c r="N135" s="155"/>
      <c r="O135" s="156"/>
      <c r="P135" s="153"/>
    </row>
    <row r="136" spans="2:16" x14ac:dyDescent="0.25">
      <c r="B136" s="162"/>
      <c r="C136" s="156"/>
      <c r="D136" s="153"/>
      <c r="F136" s="155"/>
      <c r="G136" s="156"/>
      <c r="H136" s="164"/>
      <c r="J136" s="155">
        <v>31</v>
      </c>
      <c r="K136" s="165" t="s">
        <v>391</v>
      </c>
      <c r="L136" s="153">
        <v>0.32500000000000001</v>
      </c>
      <c r="N136" s="155"/>
      <c r="O136" s="156"/>
      <c r="P136" s="153"/>
    </row>
    <row r="137" spans="2:16" x14ac:dyDescent="0.25">
      <c r="B137" s="162"/>
      <c r="C137" s="156"/>
      <c r="D137" s="153"/>
      <c r="F137" s="155"/>
      <c r="G137" s="156"/>
      <c r="H137" s="164"/>
      <c r="J137" s="155">
        <v>32</v>
      </c>
      <c r="K137" s="165" t="s">
        <v>389</v>
      </c>
      <c r="L137" s="153">
        <v>0.3</v>
      </c>
      <c r="N137" s="155"/>
      <c r="O137" s="156"/>
      <c r="P137" s="153"/>
    </row>
    <row r="138" spans="2:16" x14ac:dyDescent="0.25">
      <c r="B138" s="162"/>
      <c r="C138" s="156"/>
      <c r="D138" s="153"/>
      <c r="F138" s="155"/>
      <c r="G138" s="156"/>
      <c r="H138" s="164"/>
      <c r="J138" s="155">
        <v>33</v>
      </c>
      <c r="K138" s="165" t="s">
        <v>426</v>
      </c>
      <c r="L138" s="153">
        <v>0.35</v>
      </c>
      <c r="N138" s="155"/>
      <c r="O138" s="156"/>
      <c r="P138" s="153"/>
    </row>
    <row r="139" spans="2:16" x14ac:dyDescent="0.25">
      <c r="B139" s="162"/>
      <c r="C139" s="156"/>
      <c r="D139" s="153"/>
      <c r="F139" s="155"/>
      <c r="G139" s="156"/>
      <c r="H139" s="164"/>
      <c r="J139" s="155">
        <v>34</v>
      </c>
      <c r="K139" s="165" t="s">
        <v>393</v>
      </c>
      <c r="L139" s="153">
        <v>0.8</v>
      </c>
      <c r="N139" s="155"/>
      <c r="O139" s="156"/>
      <c r="P139" s="153"/>
    </row>
    <row r="140" spans="2:16" x14ac:dyDescent="0.25">
      <c r="B140" s="162"/>
      <c r="C140" s="156"/>
      <c r="D140" s="153"/>
      <c r="F140" s="155"/>
      <c r="G140" s="156"/>
      <c r="H140" s="164"/>
      <c r="J140" s="155">
        <v>35</v>
      </c>
      <c r="K140" s="165" t="s">
        <v>395</v>
      </c>
      <c r="L140" s="153">
        <v>0.7</v>
      </c>
      <c r="N140" s="155"/>
      <c r="O140" s="156"/>
      <c r="P140" s="153"/>
    </row>
    <row r="141" spans="2:16" x14ac:dyDescent="0.25">
      <c r="B141" s="162"/>
      <c r="C141" s="156"/>
      <c r="D141" s="153"/>
      <c r="F141" s="155"/>
      <c r="G141" s="156"/>
      <c r="H141" s="164"/>
      <c r="J141" s="155">
        <v>36</v>
      </c>
      <c r="K141" s="165" t="s">
        <v>2365</v>
      </c>
      <c r="L141" s="153">
        <v>0.47499999999999998</v>
      </c>
      <c r="N141" s="155"/>
      <c r="O141" s="156"/>
      <c r="P141" s="153"/>
    </row>
    <row r="142" spans="2:16" x14ac:dyDescent="0.25">
      <c r="B142" s="162"/>
      <c r="C142" s="156"/>
      <c r="D142" s="153"/>
      <c r="F142" s="155"/>
      <c r="G142" s="156"/>
      <c r="H142" s="164"/>
      <c r="J142" s="155"/>
      <c r="K142" s="165"/>
      <c r="L142" s="153"/>
      <c r="N142" s="155"/>
      <c r="O142" s="156"/>
      <c r="P142" s="153"/>
    </row>
    <row r="143" spans="2:16" x14ac:dyDescent="0.25">
      <c r="B143" s="162"/>
      <c r="C143" s="156"/>
      <c r="D143" s="153"/>
      <c r="F143" s="155"/>
      <c r="G143" s="156"/>
      <c r="H143" s="164"/>
      <c r="J143" s="155"/>
      <c r="K143" s="165"/>
      <c r="L143" s="153"/>
      <c r="N143" s="155"/>
      <c r="O143" s="156"/>
      <c r="P143" s="153"/>
    </row>
    <row r="144" spans="2:16" x14ac:dyDescent="0.25">
      <c r="B144" s="162"/>
      <c r="C144" s="156"/>
      <c r="D144" s="153"/>
      <c r="F144" s="155"/>
      <c r="G144" s="156"/>
      <c r="H144" s="164"/>
      <c r="J144" s="155"/>
      <c r="K144" s="165"/>
      <c r="L144" s="153"/>
      <c r="N144" s="155"/>
      <c r="O144" s="156"/>
      <c r="P144" s="153"/>
    </row>
    <row r="145" spans="2:18" s="1" customFormat="1" x14ac:dyDescent="0.25">
      <c r="B145" s="3"/>
      <c r="C145"/>
      <c r="D145"/>
      <c r="E145" s="3"/>
      <c r="F145"/>
      <c r="G145"/>
      <c r="H145" s="3"/>
      <c r="I145"/>
      <c r="J145"/>
      <c r="K145" s="3"/>
      <c r="L145"/>
      <c r="M145"/>
      <c r="N145"/>
      <c r="O145"/>
      <c r="P145"/>
      <c r="R145" s="167"/>
    </row>
    <row r="148" spans="2:18" ht="15.75" x14ac:dyDescent="0.25">
      <c r="B148" s="400" t="s">
        <v>2392</v>
      </c>
      <c r="C148" s="402"/>
      <c r="D148" s="402"/>
      <c r="E148" s="402"/>
      <c r="F148" s="402"/>
      <c r="G148" s="402"/>
      <c r="H148" s="402"/>
      <c r="I148" s="402"/>
      <c r="J148" s="402"/>
      <c r="K148" s="402"/>
      <c r="L148" s="402"/>
      <c r="M148" s="402"/>
      <c r="N148" s="402"/>
      <c r="O148" s="402"/>
      <c r="P148" s="401"/>
    </row>
    <row r="149" spans="2:18" ht="15.75" x14ac:dyDescent="0.25">
      <c r="B149" s="402" t="s">
        <v>1472</v>
      </c>
      <c r="C149" s="402"/>
      <c r="D149" s="402"/>
      <c r="F149" s="402" t="s">
        <v>1473</v>
      </c>
      <c r="G149" s="402"/>
      <c r="H149" s="402"/>
      <c r="J149" s="402" t="s">
        <v>1474</v>
      </c>
      <c r="K149" s="402"/>
      <c r="L149" s="402"/>
      <c r="N149" s="402" t="s">
        <v>1475</v>
      </c>
      <c r="O149" s="402"/>
      <c r="P149" s="402"/>
    </row>
    <row r="150" spans="2:18" x14ac:dyDescent="0.25">
      <c r="B150" s="151" t="s">
        <v>1503</v>
      </c>
      <c r="C150" s="151" t="s">
        <v>1476</v>
      </c>
      <c r="D150" s="151" t="s">
        <v>1477</v>
      </c>
      <c r="E150" s="1"/>
      <c r="F150" s="151" t="s">
        <v>1503</v>
      </c>
      <c r="G150" s="151" t="s">
        <v>1476</v>
      </c>
      <c r="H150" s="151" t="s">
        <v>1477</v>
      </c>
      <c r="I150" s="1"/>
      <c r="J150" s="151" t="s">
        <v>1503</v>
      </c>
      <c r="K150" s="151" t="s">
        <v>1476</v>
      </c>
      <c r="L150" s="151" t="s">
        <v>1477</v>
      </c>
      <c r="M150" s="1"/>
      <c r="N150" s="151" t="s">
        <v>1503</v>
      </c>
      <c r="O150" s="151" t="s">
        <v>1476</v>
      </c>
      <c r="P150" s="151" t="s">
        <v>1477</v>
      </c>
    </row>
    <row r="151" spans="2:18" x14ac:dyDescent="0.25">
      <c r="B151" s="162"/>
      <c r="C151" s="156"/>
      <c r="D151" s="153"/>
      <c r="F151" s="155"/>
      <c r="G151" s="156"/>
      <c r="H151" s="164"/>
      <c r="J151" s="155"/>
      <c r="K151" s="165"/>
      <c r="L151" s="153"/>
      <c r="N151" s="155"/>
      <c r="O151" s="156"/>
      <c r="P151" s="153"/>
    </row>
    <row r="152" spans="2:18" x14ac:dyDescent="0.25">
      <c r="B152" s="162">
        <v>1</v>
      </c>
      <c r="C152" s="156" t="s">
        <v>411</v>
      </c>
      <c r="D152" s="272">
        <v>6.25E-2</v>
      </c>
      <c r="F152" s="155">
        <v>1</v>
      </c>
      <c r="G152" s="156" t="s">
        <v>319</v>
      </c>
      <c r="H152" s="194">
        <v>6.2E-2</v>
      </c>
      <c r="J152" s="155">
        <v>1</v>
      </c>
      <c r="K152" s="165" t="s">
        <v>411</v>
      </c>
      <c r="L152" s="153">
        <v>6.25E-2</v>
      </c>
      <c r="M152" s="233"/>
      <c r="N152" s="155">
        <v>1</v>
      </c>
      <c r="O152" s="156" t="s">
        <v>319</v>
      </c>
      <c r="P152" s="153">
        <v>6.2E-2</v>
      </c>
    </row>
    <row r="153" spans="2:18" x14ac:dyDescent="0.25">
      <c r="B153" s="162">
        <v>2</v>
      </c>
      <c r="C153" s="156" t="s">
        <v>417</v>
      </c>
      <c r="D153" s="272">
        <v>0.1</v>
      </c>
      <c r="F153" s="155">
        <v>2</v>
      </c>
      <c r="G153" s="156" t="s">
        <v>325</v>
      </c>
      <c r="H153" s="194">
        <v>0.1</v>
      </c>
      <c r="J153" s="155">
        <v>2</v>
      </c>
      <c r="K153" s="165" t="s">
        <v>417</v>
      </c>
      <c r="L153" s="153">
        <v>0.1</v>
      </c>
      <c r="M153" s="233"/>
      <c r="N153" s="155">
        <v>2</v>
      </c>
      <c r="O153" s="156" t="s">
        <v>325</v>
      </c>
      <c r="P153" s="153">
        <v>0.1</v>
      </c>
    </row>
    <row r="154" spans="2:18" x14ac:dyDescent="0.25">
      <c r="B154" s="162">
        <v>3</v>
      </c>
      <c r="C154" s="156" t="s">
        <v>425</v>
      </c>
      <c r="D154" s="272">
        <v>2.5000000000000001E-2</v>
      </c>
      <c r="F154" s="155">
        <v>3</v>
      </c>
      <c r="G154" s="156" t="s">
        <v>329</v>
      </c>
      <c r="H154" s="194">
        <v>0.2</v>
      </c>
      <c r="J154" s="155">
        <v>3</v>
      </c>
      <c r="K154" s="165" t="s">
        <v>425</v>
      </c>
      <c r="L154" s="153">
        <v>2.5000000000000001E-2</v>
      </c>
      <c r="M154" s="233"/>
      <c r="N154" s="155">
        <v>3</v>
      </c>
      <c r="O154" s="156" t="s">
        <v>329</v>
      </c>
      <c r="P154" s="153">
        <v>0.2</v>
      </c>
    </row>
    <row r="155" spans="2:18" x14ac:dyDescent="0.25">
      <c r="B155" s="162">
        <v>4</v>
      </c>
      <c r="C155" s="156" t="s">
        <v>341</v>
      </c>
      <c r="D155" s="272">
        <v>0.05</v>
      </c>
      <c r="F155" s="155">
        <v>4</v>
      </c>
      <c r="G155" s="156" t="s">
        <v>331</v>
      </c>
      <c r="H155" s="194">
        <v>7.4999999999999997E-2</v>
      </c>
      <c r="J155" s="155">
        <v>4</v>
      </c>
      <c r="K155" s="165" t="s">
        <v>341</v>
      </c>
      <c r="L155" s="153">
        <v>0.05</v>
      </c>
      <c r="M155" s="233"/>
      <c r="N155" s="155">
        <v>4</v>
      </c>
      <c r="O155" s="156" t="s">
        <v>331</v>
      </c>
      <c r="P155" s="153">
        <v>7.4999999999999997E-2</v>
      </c>
    </row>
    <row r="156" spans="2:18" x14ac:dyDescent="0.25">
      <c r="B156" s="162">
        <v>5</v>
      </c>
      <c r="C156" s="156" t="s">
        <v>421</v>
      </c>
      <c r="D156" s="272">
        <v>0.125</v>
      </c>
      <c r="F156" s="155">
        <v>5</v>
      </c>
      <c r="G156" s="156" t="s">
        <v>335</v>
      </c>
      <c r="H156" s="194">
        <v>0.16200000000000001</v>
      </c>
      <c r="J156" s="155">
        <v>5</v>
      </c>
      <c r="K156" s="165" t="s">
        <v>421</v>
      </c>
      <c r="L156" s="153">
        <v>0.125</v>
      </c>
      <c r="M156" s="233"/>
      <c r="N156" s="155">
        <v>5</v>
      </c>
      <c r="O156" s="156" t="s">
        <v>335</v>
      </c>
      <c r="P156" s="153">
        <v>0.16200000000000001</v>
      </c>
    </row>
    <row r="157" spans="2:18" x14ac:dyDescent="0.25">
      <c r="B157" s="162">
        <v>6</v>
      </c>
      <c r="C157" s="156" t="s">
        <v>429</v>
      </c>
      <c r="D157" s="272">
        <v>8.6999999999999994E-2</v>
      </c>
      <c r="F157" s="155">
        <v>6</v>
      </c>
      <c r="G157" s="156" t="s">
        <v>337</v>
      </c>
      <c r="H157" s="194">
        <v>0.21199999999999999</v>
      </c>
      <c r="J157" s="155">
        <v>6</v>
      </c>
      <c r="K157" s="165" t="s">
        <v>429</v>
      </c>
      <c r="L157" s="153">
        <v>8.6999999999999994E-2</v>
      </c>
      <c r="M157" s="233"/>
      <c r="N157" s="155">
        <v>6</v>
      </c>
      <c r="O157" s="156" t="s">
        <v>337</v>
      </c>
      <c r="P157" s="153">
        <v>0.21199999999999999</v>
      </c>
    </row>
    <row r="158" spans="2:18" x14ac:dyDescent="0.25">
      <c r="B158" s="162">
        <v>7</v>
      </c>
      <c r="C158" s="156" t="s">
        <v>431</v>
      </c>
      <c r="D158" s="272">
        <v>0.15</v>
      </c>
      <c r="F158" s="155">
        <v>7</v>
      </c>
      <c r="G158" s="156" t="s">
        <v>339</v>
      </c>
      <c r="H158" s="194">
        <v>0.25</v>
      </c>
      <c r="J158" s="155">
        <v>7</v>
      </c>
      <c r="K158" s="165" t="s">
        <v>431</v>
      </c>
      <c r="L158" s="153">
        <v>0.15</v>
      </c>
      <c r="M158" s="233"/>
      <c r="N158" s="155">
        <v>7</v>
      </c>
      <c r="O158" s="156" t="s">
        <v>339</v>
      </c>
      <c r="P158" s="153">
        <v>0.25</v>
      </c>
    </row>
    <row r="159" spans="2:18" x14ac:dyDescent="0.25">
      <c r="B159" s="162"/>
      <c r="C159" s="156"/>
      <c r="D159" s="272"/>
      <c r="F159" s="155">
        <v>8</v>
      </c>
      <c r="G159" s="156" t="s">
        <v>1506</v>
      </c>
      <c r="H159" s="194">
        <v>2.5000000000000001E-2</v>
      </c>
      <c r="J159" s="155">
        <v>8</v>
      </c>
      <c r="K159" s="165" t="s">
        <v>319</v>
      </c>
      <c r="L159" s="153">
        <v>6.2E-2</v>
      </c>
      <c r="M159" s="233"/>
      <c r="N159" s="155">
        <v>8</v>
      </c>
      <c r="O159" s="156" t="s">
        <v>1506</v>
      </c>
      <c r="P159" s="153">
        <v>2.5000000000000001E-2</v>
      </c>
    </row>
    <row r="160" spans="2:18" x14ac:dyDescent="0.25">
      <c r="B160" s="162"/>
      <c r="C160" s="156"/>
      <c r="D160" s="272"/>
      <c r="F160" s="155">
        <v>9</v>
      </c>
      <c r="G160" s="156" t="s">
        <v>347</v>
      </c>
      <c r="H160" s="194">
        <v>3.6999999999999998E-2</v>
      </c>
      <c r="J160" s="155">
        <v>9</v>
      </c>
      <c r="K160" s="165" t="s">
        <v>325</v>
      </c>
      <c r="L160" s="153">
        <v>0.1</v>
      </c>
      <c r="M160" s="233"/>
      <c r="N160" s="155">
        <v>9</v>
      </c>
      <c r="O160" s="156" t="s">
        <v>347</v>
      </c>
      <c r="P160" s="153">
        <v>3.6999999999999998E-2</v>
      </c>
    </row>
    <row r="161" spans="2:16" x14ac:dyDescent="0.25">
      <c r="B161" s="162"/>
      <c r="C161" s="156"/>
      <c r="D161" s="272"/>
      <c r="F161" s="155">
        <v>10</v>
      </c>
      <c r="G161" s="156" t="s">
        <v>2362</v>
      </c>
      <c r="H161" s="194">
        <v>0.05</v>
      </c>
      <c r="J161" s="155">
        <v>10</v>
      </c>
      <c r="K161" s="165" t="s">
        <v>329</v>
      </c>
      <c r="L161" s="153">
        <v>0.2</v>
      </c>
      <c r="M161" s="233"/>
      <c r="N161" s="155">
        <v>10</v>
      </c>
      <c r="O161" s="156" t="s">
        <v>2362</v>
      </c>
      <c r="P161" s="153">
        <v>0.05</v>
      </c>
    </row>
    <row r="162" spans="2:16" x14ac:dyDescent="0.25">
      <c r="B162" s="162"/>
      <c r="C162" s="156"/>
      <c r="D162" s="272"/>
      <c r="F162" s="155">
        <v>11</v>
      </c>
      <c r="G162" s="156" t="s">
        <v>2363</v>
      </c>
      <c r="H162" s="194">
        <v>1.2E-2</v>
      </c>
      <c r="J162" s="155">
        <v>11</v>
      </c>
      <c r="K162" s="165" t="s">
        <v>331</v>
      </c>
      <c r="L162" s="153">
        <v>7.4999999999999997E-2</v>
      </c>
      <c r="M162" s="233"/>
      <c r="N162" s="155">
        <v>11</v>
      </c>
      <c r="O162" s="156" t="s">
        <v>2363</v>
      </c>
      <c r="P162" s="153">
        <v>1.2E-2</v>
      </c>
    </row>
    <row r="163" spans="2:16" x14ac:dyDescent="0.25">
      <c r="B163" s="162"/>
      <c r="C163" s="156"/>
      <c r="D163" s="272"/>
      <c r="F163" s="155">
        <v>12</v>
      </c>
      <c r="G163" s="156" t="s">
        <v>349</v>
      </c>
      <c r="H163" s="194">
        <v>8.6999999999999994E-2</v>
      </c>
      <c r="J163" s="155">
        <v>12</v>
      </c>
      <c r="K163" s="165" t="s">
        <v>335</v>
      </c>
      <c r="L163" s="153">
        <v>0.16200000000000001</v>
      </c>
      <c r="M163" s="233"/>
      <c r="N163" s="155">
        <v>12</v>
      </c>
      <c r="O163" s="156" t="s">
        <v>349</v>
      </c>
      <c r="P163" s="153">
        <v>8.6999999999999994E-2</v>
      </c>
    </row>
    <row r="164" spans="2:16" x14ac:dyDescent="0.25">
      <c r="B164" s="162"/>
      <c r="C164" s="156"/>
      <c r="D164" s="272"/>
      <c r="F164" s="155">
        <v>13</v>
      </c>
      <c r="G164" s="156" t="s">
        <v>1507</v>
      </c>
      <c r="H164" s="194">
        <v>0.22500000000000001</v>
      </c>
      <c r="J164" s="155">
        <v>13</v>
      </c>
      <c r="K164" s="165" t="s">
        <v>337</v>
      </c>
      <c r="L164" s="153">
        <v>0.21199999999999999</v>
      </c>
      <c r="M164" s="233"/>
      <c r="N164" s="155">
        <v>13</v>
      </c>
      <c r="O164" s="156" t="s">
        <v>1507</v>
      </c>
      <c r="P164" s="153">
        <v>0.22500000000000001</v>
      </c>
    </row>
    <row r="165" spans="2:16" x14ac:dyDescent="0.25">
      <c r="B165" s="162"/>
      <c r="C165" s="156"/>
      <c r="D165" s="272"/>
      <c r="F165" s="155">
        <v>14</v>
      </c>
      <c r="G165" s="156" t="s">
        <v>368</v>
      </c>
      <c r="H165" s="194">
        <v>0.112</v>
      </c>
      <c r="J165" s="155">
        <v>14</v>
      </c>
      <c r="K165" s="165" t="s">
        <v>339</v>
      </c>
      <c r="L165" s="153">
        <v>0.25</v>
      </c>
      <c r="M165" s="233"/>
      <c r="N165" s="155">
        <v>14</v>
      </c>
      <c r="O165" s="156" t="s">
        <v>368</v>
      </c>
      <c r="P165" s="153">
        <v>0.112</v>
      </c>
    </row>
    <row r="166" spans="2:16" x14ac:dyDescent="0.25">
      <c r="B166" s="162"/>
      <c r="C166" s="156"/>
      <c r="D166" s="272"/>
      <c r="F166" s="155">
        <v>15</v>
      </c>
      <c r="G166" s="156" t="s">
        <v>372</v>
      </c>
      <c r="H166" s="194">
        <v>0.187</v>
      </c>
      <c r="J166" s="155">
        <v>15</v>
      </c>
      <c r="K166" s="165" t="s">
        <v>1506</v>
      </c>
      <c r="L166" s="153">
        <v>2.5000000000000001E-2</v>
      </c>
      <c r="M166" s="233"/>
      <c r="N166" s="155">
        <v>15</v>
      </c>
      <c r="O166" s="156" t="s">
        <v>372</v>
      </c>
      <c r="P166" s="153">
        <v>0.187</v>
      </c>
    </row>
    <row r="167" spans="2:16" x14ac:dyDescent="0.25">
      <c r="B167" s="162"/>
      <c r="C167" s="156"/>
      <c r="D167" s="272"/>
      <c r="F167" s="155">
        <v>16</v>
      </c>
      <c r="G167" s="156" t="s">
        <v>360</v>
      </c>
      <c r="H167" s="194">
        <v>7.4999999999999997E-2</v>
      </c>
      <c r="J167" s="155">
        <v>16</v>
      </c>
      <c r="K167" s="165" t="s">
        <v>347</v>
      </c>
      <c r="L167" s="153">
        <v>3.6999999999999998E-2</v>
      </c>
      <c r="M167" s="233"/>
      <c r="N167" s="155">
        <v>16</v>
      </c>
      <c r="O167" s="156" t="s">
        <v>360</v>
      </c>
      <c r="P167" s="153">
        <v>7.4999999999999997E-2</v>
      </c>
    </row>
    <row r="168" spans="2:16" x14ac:dyDescent="0.25">
      <c r="B168" s="162"/>
      <c r="C168" s="156"/>
      <c r="D168" s="272"/>
      <c r="F168" s="155">
        <v>17</v>
      </c>
      <c r="G168" s="156" t="s">
        <v>574</v>
      </c>
      <c r="H168" s="194">
        <v>0.14000000000000001</v>
      </c>
      <c r="J168" s="155">
        <v>17</v>
      </c>
      <c r="K168" s="165" t="s">
        <v>2362</v>
      </c>
      <c r="L168" s="153">
        <v>0.05</v>
      </c>
      <c r="M168" s="233"/>
      <c r="N168" s="155">
        <v>17</v>
      </c>
      <c r="O168" s="156" t="s">
        <v>574</v>
      </c>
      <c r="P168" s="153">
        <v>0.14000000000000001</v>
      </c>
    </row>
    <row r="169" spans="2:16" x14ac:dyDescent="0.25">
      <c r="B169" s="162"/>
      <c r="C169" s="156"/>
      <c r="D169" s="272"/>
      <c r="F169" s="155">
        <v>18</v>
      </c>
      <c r="G169" s="156" t="s">
        <v>370</v>
      </c>
      <c r="H169" s="194">
        <v>0.13700000000000001</v>
      </c>
      <c r="J169" s="155">
        <v>18</v>
      </c>
      <c r="K169" s="165" t="s">
        <v>2363</v>
      </c>
      <c r="L169" s="153">
        <v>1.2E-2</v>
      </c>
      <c r="M169" s="233"/>
      <c r="N169" s="155">
        <v>18</v>
      </c>
      <c r="O169" s="156" t="s">
        <v>370</v>
      </c>
      <c r="P169" s="153">
        <v>0.13700000000000001</v>
      </c>
    </row>
    <row r="170" spans="2:16" x14ac:dyDescent="0.25">
      <c r="B170" s="162"/>
      <c r="C170" s="156"/>
      <c r="D170" s="272"/>
      <c r="F170" s="155">
        <v>19</v>
      </c>
      <c r="G170" s="156" t="s">
        <v>570</v>
      </c>
      <c r="H170" s="194">
        <v>0.3</v>
      </c>
      <c r="J170" s="155">
        <v>19</v>
      </c>
      <c r="K170" s="165" t="s">
        <v>349</v>
      </c>
      <c r="L170" s="153">
        <v>8.6999999999999994E-2</v>
      </c>
      <c r="M170" s="233"/>
      <c r="N170" s="155">
        <v>19</v>
      </c>
      <c r="O170" s="156" t="s">
        <v>570</v>
      </c>
      <c r="P170" s="153">
        <v>0.3</v>
      </c>
    </row>
    <row r="171" spans="2:16" x14ac:dyDescent="0.25">
      <c r="B171" s="162"/>
      <c r="C171" s="156"/>
      <c r="D171" s="272"/>
      <c r="F171" s="155">
        <v>20</v>
      </c>
      <c r="G171" s="156" t="s">
        <v>382</v>
      </c>
      <c r="H171" s="194">
        <v>7.4999999999999997E-2</v>
      </c>
      <c r="J171" s="155">
        <v>20</v>
      </c>
      <c r="K171" s="165" t="s">
        <v>1507</v>
      </c>
      <c r="L171" s="153">
        <v>0.22500000000000001</v>
      </c>
      <c r="M171" s="233"/>
      <c r="N171" s="155">
        <v>20</v>
      </c>
      <c r="O171" s="156" t="s">
        <v>382</v>
      </c>
      <c r="P171" s="153">
        <v>7.4999999999999997E-2</v>
      </c>
    </row>
    <row r="172" spans="2:16" x14ac:dyDescent="0.25">
      <c r="B172" s="162"/>
      <c r="C172" s="156"/>
      <c r="D172" s="272"/>
      <c r="F172" s="155">
        <v>21</v>
      </c>
      <c r="G172" s="156" t="s">
        <v>380</v>
      </c>
      <c r="H172" s="194">
        <v>0.1</v>
      </c>
      <c r="J172" s="155">
        <v>21</v>
      </c>
      <c r="K172" s="165" t="s">
        <v>368</v>
      </c>
      <c r="L172" s="153">
        <v>0.112</v>
      </c>
      <c r="M172" s="233"/>
      <c r="N172" s="155">
        <v>21</v>
      </c>
      <c r="O172" s="156" t="s">
        <v>380</v>
      </c>
      <c r="P172" s="153">
        <v>0.1</v>
      </c>
    </row>
    <row r="173" spans="2:16" x14ac:dyDescent="0.25">
      <c r="B173" s="162"/>
      <c r="C173" s="156"/>
      <c r="D173" s="272"/>
      <c r="F173" s="155">
        <v>22</v>
      </c>
      <c r="G173" s="156" t="s">
        <v>2366</v>
      </c>
      <c r="H173" s="194">
        <v>0.13700000000000001</v>
      </c>
      <c r="J173" s="155">
        <v>22</v>
      </c>
      <c r="K173" s="165" t="s">
        <v>372</v>
      </c>
      <c r="L173" s="153">
        <v>0.187</v>
      </c>
      <c r="M173" s="233"/>
      <c r="N173" s="155">
        <v>22</v>
      </c>
      <c r="O173" s="156" t="s">
        <v>2366</v>
      </c>
      <c r="P173" s="153">
        <v>0.13700000000000001</v>
      </c>
    </row>
    <row r="174" spans="2:16" x14ac:dyDescent="0.25">
      <c r="B174" s="162"/>
      <c r="C174" s="156"/>
      <c r="D174" s="272"/>
      <c r="F174" s="155">
        <v>23</v>
      </c>
      <c r="G174" s="156" t="s">
        <v>572</v>
      </c>
      <c r="H174" s="194">
        <v>0.125</v>
      </c>
      <c r="J174" s="155">
        <v>23</v>
      </c>
      <c r="K174" s="165" t="s">
        <v>360</v>
      </c>
      <c r="L174" s="153">
        <v>7.4999999999999997E-2</v>
      </c>
      <c r="M174" s="233"/>
      <c r="N174" s="155">
        <v>23</v>
      </c>
      <c r="O174" s="156" t="s">
        <v>572</v>
      </c>
      <c r="P174" s="153">
        <v>0.125</v>
      </c>
    </row>
    <row r="175" spans="2:16" x14ac:dyDescent="0.25">
      <c r="B175" s="162"/>
      <c r="C175" s="156"/>
      <c r="D175" s="272"/>
      <c r="F175" s="155">
        <v>24</v>
      </c>
      <c r="G175" s="156" t="s">
        <v>392</v>
      </c>
      <c r="H175" s="194">
        <v>0.16200000000000001</v>
      </c>
      <c r="J175" s="155">
        <v>24</v>
      </c>
      <c r="K175" s="165" t="s">
        <v>574</v>
      </c>
      <c r="L175" s="153">
        <v>0.14000000000000001</v>
      </c>
      <c r="M175" s="233"/>
      <c r="N175" s="155">
        <v>24</v>
      </c>
      <c r="O175" s="156" t="s">
        <v>392</v>
      </c>
      <c r="P175" s="153">
        <v>0.16200000000000001</v>
      </c>
    </row>
    <row r="176" spans="2:16" x14ac:dyDescent="0.25">
      <c r="B176" s="162"/>
      <c r="C176" s="156"/>
      <c r="D176" s="272"/>
      <c r="F176" s="155">
        <v>25</v>
      </c>
      <c r="G176" s="156" t="s">
        <v>390</v>
      </c>
      <c r="H176" s="164">
        <v>0.17499999999999999</v>
      </c>
      <c r="J176" s="155">
        <v>25</v>
      </c>
      <c r="K176" s="165" t="s">
        <v>370</v>
      </c>
      <c r="L176" s="153">
        <v>0.13700000000000001</v>
      </c>
      <c r="M176" s="233"/>
      <c r="N176" s="155">
        <v>25</v>
      </c>
      <c r="O176" s="156" t="s">
        <v>390</v>
      </c>
      <c r="P176" s="153">
        <v>0.17499999999999999</v>
      </c>
    </row>
    <row r="177" spans="2:18" x14ac:dyDescent="0.25">
      <c r="B177" s="162"/>
      <c r="C177" s="156"/>
      <c r="D177" s="272"/>
      <c r="F177" s="155">
        <v>26</v>
      </c>
      <c r="G177" s="156" t="s">
        <v>427</v>
      </c>
      <c r="H177" s="164">
        <v>0.17499999999999999</v>
      </c>
      <c r="J177" s="155">
        <v>26</v>
      </c>
      <c r="K177" s="165" t="s">
        <v>570</v>
      </c>
      <c r="L177" s="153">
        <v>0.3</v>
      </c>
      <c r="M177" s="233"/>
      <c r="N177" s="155">
        <v>26</v>
      </c>
      <c r="O177" s="156" t="s">
        <v>427</v>
      </c>
      <c r="P177" s="153">
        <v>0.17499999999999999</v>
      </c>
    </row>
    <row r="178" spans="2:18" x14ac:dyDescent="0.25">
      <c r="B178" s="162"/>
      <c r="C178" s="156"/>
      <c r="D178" s="272"/>
      <c r="F178" s="155">
        <v>27</v>
      </c>
      <c r="G178" s="156" t="s">
        <v>394</v>
      </c>
      <c r="H178" s="164">
        <v>0.4</v>
      </c>
      <c r="J178" s="155">
        <v>27</v>
      </c>
      <c r="K178" s="165" t="s">
        <v>382</v>
      </c>
      <c r="L178" s="153">
        <v>7.4999999999999997E-2</v>
      </c>
      <c r="M178" s="233"/>
      <c r="N178" s="155">
        <v>27</v>
      </c>
      <c r="O178" s="156" t="s">
        <v>394</v>
      </c>
      <c r="P178" s="153">
        <v>0.4</v>
      </c>
    </row>
    <row r="179" spans="2:18" x14ac:dyDescent="0.25">
      <c r="B179" s="162"/>
      <c r="C179" s="156"/>
      <c r="D179" s="272"/>
      <c r="F179" s="155">
        <v>28</v>
      </c>
      <c r="G179" s="156" t="s">
        <v>396</v>
      </c>
      <c r="H179" s="164">
        <v>0.35</v>
      </c>
      <c r="J179" s="155">
        <v>28</v>
      </c>
      <c r="K179" s="165" t="s">
        <v>380</v>
      </c>
      <c r="L179" s="153">
        <v>0.1</v>
      </c>
      <c r="M179" s="233"/>
      <c r="N179" s="155">
        <v>28</v>
      </c>
      <c r="O179" s="156" t="s">
        <v>396</v>
      </c>
      <c r="P179" s="153">
        <v>0.35</v>
      </c>
    </row>
    <row r="180" spans="2:18" x14ac:dyDescent="0.25">
      <c r="B180" s="162"/>
      <c r="C180" s="156"/>
      <c r="D180" s="272"/>
      <c r="F180" s="155">
        <v>29</v>
      </c>
      <c r="G180" s="156" t="s">
        <v>2367</v>
      </c>
      <c r="H180" s="164">
        <v>0.23799999999999999</v>
      </c>
      <c r="J180" s="155">
        <v>29</v>
      </c>
      <c r="K180" s="165" t="s">
        <v>2366</v>
      </c>
      <c r="L180" s="153">
        <v>0.13700000000000001</v>
      </c>
      <c r="M180" s="233"/>
      <c r="N180" s="155">
        <v>29</v>
      </c>
      <c r="O180" s="156" t="s">
        <v>2367</v>
      </c>
      <c r="P180" s="153">
        <v>0.23799999999999999</v>
      </c>
    </row>
    <row r="181" spans="2:18" x14ac:dyDescent="0.25">
      <c r="B181" s="162"/>
      <c r="C181" s="156"/>
      <c r="D181" s="272"/>
      <c r="F181" s="155"/>
      <c r="G181" s="156"/>
      <c r="H181" s="164"/>
      <c r="J181" s="155">
        <v>30</v>
      </c>
      <c r="K181" s="165" t="s">
        <v>572</v>
      </c>
      <c r="L181" s="153">
        <v>0.125</v>
      </c>
      <c r="M181" s="233"/>
      <c r="N181" s="155"/>
      <c r="O181" s="156"/>
      <c r="P181" s="153"/>
    </row>
    <row r="182" spans="2:18" x14ac:dyDescent="0.25">
      <c r="B182" s="162"/>
      <c r="C182" s="156"/>
      <c r="D182" s="272"/>
      <c r="F182" s="155"/>
      <c r="G182" s="156"/>
      <c r="H182" s="164"/>
      <c r="J182" s="155">
        <v>31</v>
      </c>
      <c r="K182" s="165" t="s">
        <v>392</v>
      </c>
      <c r="L182" s="153">
        <v>0.16200000000000001</v>
      </c>
      <c r="M182" s="233"/>
      <c r="N182" s="155"/>
      <c r="O182" s="156"/>
      <c r="P182" s="153"/>
    </row>
    <row r="183" spans="2:18" x14ac:dyDescent="0.25">
      <c r="B183" s="162"/>
      <c r="C183" s="156"/>
      <c r="D183" s="272"/>
      <c r="F183" s="155"/>
      <c r="G183" s="156"/>
      <c r="H183" s="164"/>
      <c r="J183" s="155">
        <v>32</v>
      </c>
      <c r="K183" s="165" t="s">
        <v>390</v>
      </c>
      <c r="L183" s="153">
        <v>0.17499999999999999</v>
      </c>
      <c r="N183" s="155"/>
      <c r="O183" s="156"/>
      <c r="P183" s="153"/>
    </row>
    <row r="184" spans="2:18" x14ac:dyDescent="0.25">
      <c r="B184" s="162"/>
      <c r="C184" s="156"/>
      <c r="D184" s="272"/>
      <c r="F184" s="155"/>
      <c r="G184" s="156"/>
      <c r="H184" s="164"/>
      <c r="J184" s="155">
        <v>33</v>
      </c>
      <c r="K184" s="165" t="s">
        <v>427</v>
      </c>
      <c r="L184" s="153">
        <v>0.17499999999999999</v>
      </c>
      <c r="N184" s="155"/>
      <c r="O184" s="156"/>
      <c r="P184" s="153"/>
    </row>
    <row r="185" spans="2:18" x14ac:dyDescent="0.25">
      <c r="B185" s="162"/>
      <c r="C185" s="156"/>
      <c r="D185" s="272"/>
      <c r="F185" s="155"/>
      <c r="G185" s="156"/>
      <c r="H185" s="164"/>
      <c r="J185" s="155">
        <v>34</v>
      </c>
      <c r="K185" s="165" t="s">
        <v>394</v>
      </c>
      <c r="L185" s="153">
        <v>0.4</v>
      </c>
      <c r="N185" s="155"/>
      <c r="O185" s="156"/>
      <c r="P185" s="153"/>
    </row>
    <row r="186" spans="2:18" x14ac:dyDescent="0.25">
      <c r="B186" s="162"/>
      <c r="C186" s="156"/>
      <c r="D186" s="272"/>
      <c r="F186" s="155"/>
      <c r="G186" s="156"/>
      <c r="H186" s="164"/>
      <c r="J186" s="155">
        <v>35</v>
      </c>
      <c r="K186" s="165" t="s">
        <v>396</v>
      </c>
      <c r="L186" s="153">
        <v>0.35</v>
      </c>
      <c r="N186" s="155"/>
      <c r="O186" s="156"/>
      <c r="P186" s="153"/>
    </row>
    <row r="187" spans="2:18" x14ac:dyDescent="0.25">
      <c r="B187" s="162"/>
      <c r="C187" s="156"/>
      <c r="D187" s="272"/>
      <c r="F187" s="155"/>
      <c r="G187" s="156"/>
      <c r="H187" s="164"/>
      <c r="J187" s="155">
        <v>36</v>
      </c>
      <c r="K187" s="165" t="s">
        <v>2367</v>
      </c>
      <c r="L187" s="153">
        <v>0.23799999999999999</v>
      </c>
      <c r="N187" s="155"/>
      <c r="O187" s="156"/>
      <c r="P187" s="153"/>
    </row>
    <row r="188" spans="2:18" x14ac:dyDescent="0.25">
      <c r="B188" s="162"/>
      <c r="C188" s="156"/>
      <c r="D188" s="272"/>
      <c r="F188" s="155"/>
      <c r="G188" s="156"/>
      <c r="H188" s="164"/>
      <c r="J188" s="155"/>
      <c r="K188" s="165"/>
      <c r="L188" s="153"/>
      <c r="N188" s="155"/>
      <c r="O188" s="156"/>
      <c r="P188" s="153"/>
    </row>
    <row r="189" spans="2:18" x14ac:dyDescent="0.25">
      <c r="B189" s="162"/>
      <c r="C189" s="156"/>
      <c r="D189" s="272"/>
      <c r="F189" s="155"/>
      <c r="G189" s="156"/>
      <c r="H189" s="164"/>
      <c r="J189" s="155"/>
      <c r="K189" s="165"/>
      <c r="L189" s="153"/>
      <c r="N189" s="155"/>
      <c r="O189" s="156"/>
      <c r="P189" s="153"/>
    </row>
    <row r="190" spans="2:18" x14ac:dyDescent="0.25">
      <c r="B190" s="162"/>
      <c r="C190" s="156"/>
      <c r="D190" s="272"/>
      <c r="F190" s="155"/>
      <c r="G190" s="156"/>
      <c r="H190" s="164"/>
      <c r="J190" s="155"/>
      <c r="K190" s="165"/>
      <c r="L190" s="153"/>
      <c r="N190" s="155"/>
      <c r="O190" s="156"/>
      <c r="P190" s="153"/>
    </row>
    <row r="192" spans="2:18" s="1" customFormat="1" x14ac:dyDescent="0.25">
      <c r="B192" s="3"/>
      <c r="C192"/>
      <c r="D192"/>
      <c r="E192" s="3"/>
      <c r="F192"/>
      <c r="G192"/>
      <c r="H192" s="3"/>
      <c r="I192"/>
      <c r="J192"/>
      <c r="K192" s="3"/>
      <c r="L192"/>
      <c r="M192"/>
      <c r="N192"/>
      <c r="O192"/>
      <c r="P192"/>
      <c r="R192" s="167"/>
    </row>
    <row r="195" spans="2:16" ht="15.75" x14ac:dyDescent="0.25">
      <c r="B195" s="400" t="s">
        <v>2393</v>
      </c>
      <c r="C195" s="402"/>
      <c r="D195" s="402"/>
      <c r="E195" s="402"/>
      <c r="F195" s="402"/>
      <c r="G195" s="402"/>
      <c r="H195" s="402"/>
      <c r="I195" s="402"/>
      <c r="J195" s="402"/>
      <c r="K195" s="402"/>
      <c r="L195" s="401"/>
    </row>
    <row r="196" spans="2:16" ht="15.75" x14ac:dyDescent="0.25">
      <c r="B196" s="402" t="s">
        <v>1472</v>
      </c>
      <c r="C196" s="402"/>
      <c r="D196" s="150"/>
      <c r="E196" s="402" t="s">
        <v>1473</v>
      </c>
      <c r="F196" s="402"/>
      <c r="G196" s="150"/>
      <c r="H196" s="402" t="s">
        <v>1474</v>
      </c>
      <c r="I196" s="402"/>
      <c r="J196" s="150"/>
      <c r="K196" s="402" t="s">
        <v>1475</v>
      </c>
      <c r="L196" s="402"/>
    </row>
    <row r="197" spans="2:16" x14ac:dyDescent="0.25">
      <c r="B197" s="151" t="s">
        <v>1476</v>
      </c>
      <c r="C197" s="151" t="s">
        <v>1477</v>
      </c>
      <c r="D197" s="166"/>
      <c r="E197" s="151" t="s">
        <v>1476</v>
      </c>
      <c r="F197" s="151" t="s">
        <v>1477</v>
      </c>
      <c r="G197" s="166"/>
      <c r="H197" s="151" t="s">
        <v>1476</v>
      </c>
      <c r="I197" s="151" t="s">
        <v>1477</v>
      </c>
      <c r="J197" s="166"/>
      <c r="K197" s="151" t="s">
        <v>1476</v>
      </c>
      <c r="L197" s="151" t="s">
        <v>1477</v>
      </c>
      <c r="M197" s="1"/>
      <c r="N197" s="1"/>
      <c r="O197" s="1"/>
      <c r="P197" s="1"/>
    </row>
    <row r="198" spans="2:16" x14ac:dyDescent="0.25">
      <c r="B198" s="160"/>
      <c r="C198" s="153"/>
      <c r="D198" s="150"/>
      <c r="E198" s="160"/>
      <c r="F198" s="153"/>
      <c r="G198" s="150"/>
      <c r="H198" s="160"/>
      <c r="I198" s="153"/>
      <c r="J198" s="150"/>
      <c r="K198" s="160"/>
      <c r="L198" s="153"/>
    </row>
    <row r="199" spans="2:16" x14ac:dyDescent="0.25">
      <c r="B199" s="160" t="s">
        <v>1492</v>
      </c>
      <c r="C199" s="153"/>
      <c r="D199" s="150"/>
      <c r="E199" s="160" t="s">
        <v>1528</v>
      </c>
      <c r="F199" s="153">
        <v>0.05</v>
      </c>
      <c r="G199" s="150"/>
      <c r="H199" s="160" t="s">
        <v>1509</v>
      </c>
      <c r="I199" s="153">
        <v>0.2</v>
      </c>
      <c r="J199" s="150"/>
      <c r="K199" s="160" t="s">
        <v>1510</v>
      </c>
      <c r="L199" s="153">
        <v>0.2</v>
      </c>
    </row>
    <row r="200" spans="2:16" x14ac:dyDescent="0.25">
      <c r="B200" s="160"/>
      <c r="C200" s="153"/>
      <c r="D200" s="150"/>
      <c r="E200" s="160" t="s">
        <v>1529</v>
      </c>
      <c r="F200" s="153">
        <v>0.1</v>
      </c>
      <c r="G200" s="150"/>
      <c r="H200" s="160" t="s">
        <v>1511</v>
      </c>
      <c r="I200" s="153">
        <v>0.3</v>
      </c>
      <c r="J200" s="150"/>
      <c r="K200" s="160" t="s">
        <v>1512</v>
      </c>
      <c r="L200" s="153">
        <v>0.3</v>
      </c>
    </row>
    <row r="201" spans="2:16" x14ac:dyDescent="0.25">
      <c r="B201" s="160"/>
      <c r="C201" s="153"/>
      <c r="D201" s="150"/>
      <c r="E201" s="160" t="s">
        <v>1530</v>
      </c>
      <c r="F201" s="153">
        <v>0.15</v>
      </c>
      <c r="G201" s="150"/>
      <c r="H201" s="160" t="s">
        <v>1514</v>
      </c>
      <c r="I201" s="153">
        <v>0.4</v>
      </c>
      <c r="J201" s="150"/>
      <c r="K201" s="160" t="s">
        <v>1515</v>
      </c>
      <c r="L201" s="153">
        <v>0.5</v>
      </c>
    </row>
    <row r="202" spans="2:16" x14ac:dyDescent="0.25">
      <c r="B202" s="160"/>
      <c r="C202" s="153"/>
      <c r="D202" s="150"/>
      <c r="E202" s="160" t="s">
        <v>1508</v>
      </c>
      <c r="F202" s="153">
        <v>0.1</v>
      </c>
      <c r="G202" s="150"/>
      <c r="H202" s="160" t="s">
        <v>1517</v>
      </c>
      <c r="I202" s="153">
        <v>0.3</v>
      </c>
      <c r="J202" s="150"/>
      <c r="K202" s="160" t="s">
        <v>2378</v>
      </c>
      <c r="L202" s="153">
        <v>0.7</v>
      </c>
    </row>
    <row r="203" spans="2:16" x14ac:dyDescent="0.25">
      <c r="B203" s="160"/>
      <c r="C203" s="153"/>
      <c r="D203" s="150"/>
      <c r="E203" s="160" t="s">
        <v>482</v>
      </c>
      <c r="F203" s="153">
        <v>0.2</v>
      </c>
      <c r="G203" s="150"/>
      <c r="H203" s="160" t="s">
        <v>1519</v>
      </c>
      <c r="I203" s="153">
        <v>0.4</v>
      </c>
      <c r="J203" s="150"/>
      <c r="K203" s="160" t="s">
        <v>2379</v>
      </c>
      <c r="L203" s="153">
        <v>0.1</v>
      </c>
    </row>
    <row r="204" spans="2:16" x14ac:dyDescent="0.25">
      <c r="B204" s="160"/>
      <c r="C204" s="153"/>
      <c r="D204" s="150"/>
      <c r="E204" s="160" t="s">
        <v>1513</v>
      </c>
      <c r="F204" s="153">
        <v>0.3</v>
      </c>
      <c r="G204" s="150"/>
      <c r="H204" s="160" t="s">
        <v>1522</v>
      </c>
      <c r="I204" s="153">
        <v>0.5</v>
      </c>
      <c r="J204" s="150"/>
      <c r="K204" s="160" t="s">
        <v>1520</v>
      </c>
      <c r="L204" s="153">
        <v>0.2</v>
      </c>
    </row>
    <row r="205" spans="2:16" x14ac:dyDescent="0.25">
      <c r="B205" s="160"/>
      <c r="C205" s="153"/>
      <c r="D205" s="150"/>
      <c r="E205" s="160" t="s">
        <v>1516</v>
      </c>
      <c r="F205" s="153">
        <v>0.125</v>
      </c>
      <c r="G205" s="150"/>
      <c r="H205" s="160" t="s">
        <v>1900</v>
      </c>
      <c r="I205" s="153">
        <v>0.4</v>
      </c>
      <c r="J205" s="150"/>
      <c r="K205" s="160" t="s">
        <v>1523</v>
      </c>
      <c r="L205" s="153">
        <v>0.3</v>
      </c>
    </row>
    <row r="206" spans="2:16" x14ac:dyDescent="0.25">
      <c r="B206" s="160"/>
      <c r="C206" s="153"/>
      <c r="D206" s="150"/>
      <c r="E206" s="160" t="s">
        <v>1518</v>
      </c>
      <c r="F206" s="153">
        <v>0.22500000000000001</v>
      </c>
      <c r="G206" s="150"/>
      <c r="H206" s="160" t="s">
        <v>1525</v>
      </c>
      <c r="I206" s="153">
        <v>0.4</v>
      </c>
      <c r="J206" s="150"/>
      <c r="K206" s="160" t="s">
        <v>2380</v>
      </c>
      <c r="L206" s="153">
        <v>0.5</v>
      </c>
    </row>
    <row r="207" spans="2:16" x14ac:dyDescent="0.25">
      <c r="B207" s="160"/>
      <c r="C207" s="153"/>
      <c r="D207" s="150"/>
      <c r="E207" s="160" t="s">
        <v>1521</v>
      </c>
      <c r="F207" s="153">
        <v>0.32500000000000001</v>
      </c>
      <c r="G207" s="150"/>
      <c r="H207" s="160" t="s">
        <v>1901</v>
      </c>
      <c r="I207" s="153">
        <v>0.25</v>
      </c>
      <c r="J207" s="150"/>
      <c r="K207" s="160" t="s">
        <v>2381</v>
      </c>
      <c r="L207" s="153">
        <v>0.7</v>
      </c>
    </row>
    <row r="208" spans="2:16" x14ac:dyDescent="0.25">
      <c r="B208" s="160"/>
      <c r="C208" s="153"/>
      <c r="D208" s="150"/>
      <c r="E208" s="160" t="s">
        <v>1880</v>
      </c>
      <c r="F208" s="153">
        <v>0.42499999999999999</v>
      </c>
      <c r="G208" s="150"/>
      <c r="H208" s="160" t="s">
        <v>1902</v>
      </c>
      <c r="I208" s="153">
        <v>0.35</v>
      </c>
      <c r="J208" s="150"/>
      <c r="K208" s="160" t="s">
        <v>2382</v>
      </c>
      <c r="L208" s="153">
        <v>0.3</v>
      </c>
    </row>
    <row r="209" spans="2:18" x14ac:dyDescent="0.25">
      <c r="B209" s="160"/>
      <c r="C209" s="153"/>
      <c r="D209" s="150"/>
      <c r="E209" s="160" t="s">
        <v>1524</v>
      </c>
      <c r="F209" s="153">
        <v>0.15</v>
      </c>
      <c r="G209" s="150"/>
      <c r="H209" s="160"/>
      <c r="I209" s="153"/>
      <c r="J209" s="150"/>
      <c r="K209" s="160" t="s">
        <v>2383</v>
      </c>
      <c r="L209" s="153">
        <v>0.4</v>
      </c>
    </row>
    <row r="210" spans="2:18" x14ac:dyDescent="0.25">
      <c r="B210" s="160"/>
      <c r="C210" s="153"/>
      <c r="D210" s="150"/>
      <c r="E210" s="160" t="s">
        <v>484</v>
      </c>
      <c r="F210" s="153">
        <v>0.25</v>
      </c>
      <c r="G210" s="150"/>
      <c r="H210" s="160"/>
      <c r="I210" s="153"/>
      <c r="J210" s="150"/>
      <c r="K210" s="160" t="s">
        <v>2384</v>
      </c>
      <c r="L210" s="153">
        <v>0.6</v>
      </c>
    </row>
    <row r="211" spans="2:18" x14ac:dyDescent="0.25">
      <c r="B211" s="160"/>
      <c r="C211" s="153"/>
      <c r="D211" s="150"/>
      <c r="E211" s="160" t="s">
        <v>1526</v>
      </c>
      <c r="F211" s="153">
        <v>0.35</v>
      </c>
      <c r="G211" s="150"/>
      <c r="H211" s="160"/>
      <c r="I211" s="153"/>
      <c r="J211" s="150"/>
      <c r="K211" s="160" t="s">
        <v>2385</v>
      </c>
      <c r="L211" s="153">
        <v>0.35</v>
      </c>
    </row>
    <row r="212" spans="2:18" x14ac:dyDescent="0.25">
      <c r="B212" s="160"/>
      <c r="C212" s="153"/>
      <c r="D212" s="150"/>
      <c r="E212" s="160" t="s">
        <v>1401</v>
      </c>
      <c r="F212" s="153">
        <v>0.45</v>
      </c>
      <c r="G212" s="150"/>
      <c r="H212" s="160"/>
      <c r="I212" s="153"/>
      <c r="J212" s="150"/>
      <c r="K212" s="160" t="s">
        <v>2386</v>
      </c>
      <c r="L212" s="153">
        <v>0.45</v>
      </c>
    </row>
    <row r="213" spans="2:18" x14ac:dyDescent="0.25">
      <c r="B213" s="160"/>
      <c r="C213" s="153"/>
      <c r="D213" s="150"/>
      <c r="E213" s="160" t="s">
        <v>553</v>
      </c>
      <c r="F213" s="153">
        <v>0.4</v>
      </c>
      <c r="G213" s="150"/>
      <c r="H213" s="160"/>
      <c r="I213" s="153"/>
      <c r="J213" s="150"/>
      <c r="K213" s="160" t="s">
        <v>2387</v>
      </c>
      <c r="L213" s="153">
        <v>0.7</v>
      </c>
    </row>
    <row r="214" spans="2:18" x14ac:dyDescent="0.25">
      <c r="B214" s="160"/>
      <c r="C214" s="153"/>
      <c r="D214" s="150"/>
      <c r="E214" s="160" t="s">
        <v>1527</v>
      </c>
      <c r="F214" s="153">
        <v>0.5</v>
      </c>
      <c r="G214" s="150"/>
      <c r="H214" s="160"/>
      <c r="I214" s="153"/>
      <c r="J214" s="150"/>
      <c r="K214" s="160"/>
      <c r="L214" s="153"/>
    </row>
    <row r="215" spans="2:18" x14ac:dyDescent="0.25">
      <c r="B215" s="160"/>
      <c r="C215" s="153"/>
      <c r="D215" s="150"/>
      <c r="E215" s="160" t="s">
        <v>485</v>
      </c>
      <c r="F215" s="153">
        <v>0.8</v>
      </c>
      <c r="G215" s="150"/>
      <c r="H215" s="160"/>
      <c r="I215" s="153"/>
      <c r="J215" s="150"/>
      <c r="K215" s="160"/>
      <c r="L215" s="153"/>
    </row>
    <row r="216" spans="2:18" x14ac:dyDescent="0.25">
      <c r="B216" s="160"/>
      <c r="C216" s="153"/>
      <c r="D216" s="150"/>
      <c r="E216" s="160"/>
      <c r="F216" s="153"/>
      <c r="G216" s="150"/>
      <c r="H216" s="160"/>
      <c r="I216" s="153"/>
      <c r="J216" s="150"/>
      <c r="K216" s="160"/>
      <c r="L216" s="153"/>
    </row>
    <row r="217" spans="2:18" x14ac:dyDescent="0.25">
      <c r="B217" s="160"/>
      <c r="C217" s="153"/>
      <c r="D217" s="150"/>
      <c r="E217" s="160"/>
      <c r="F217" s="153"/>
      <c r="G217" s="150"/>
      <c r="H217" s="160"/>
      <c r="I217" s="153"/>
      <c r="J217" s="150"/>
      <c r="K217" s="160"/>
      <c r="L217" s="153"/>
    </row>
    <row r="218" spans="2:18" x14ac:dyDescent="0.25">
      <c r="B218" s="160"/>
      <c r="C218" s="153"/>
      <c r="D218" s="150"/>
      <c r="E218" s="160"/>
      <c r="F218" s="153"/>
      <c r="G218" s="150"/>
      <c r="H218" s="160"/>
      <c r="I218" s="153"/>
      <c r="J218" s="150"/>
      <c r="K218" s="160"/>
      <c r="L218" s="153"/>
    </row>
    <row r="219" spans="2:18" x14ac:dyDescent="0.25">
      <c r="B219" s="160"/>
      <c r="C219" s="153"/>
      <c r="D219" s="150"/>
      <c r="E219" s="160"/>
      <c r="F219" s="153"/>
      <c r="G219" s="150"/>
      <c r="H219" s="160"/>
      <c r="I219" s="153"/>
      <c r="J219" s="150"/>
      <c r="K219" s="160"/>
      <c r="L219" s="153"/>
    </row>
    <row r="220" spans="2:18" x14ac:dyDescent="0.25">
      <c r="B220" s="160"/>
      <c r="C220" s="153"/>
      <c r="D220" s="150"/>
      <c r="E220" s="160"/>
      <c r="F220" s="153"/>
      <c r="G220" s="150"/>
      <c r="H220" s="160"/>
      <c r="I220" s="153"/>
      <c r="J220" s="150"/>
      <c r="K220" s="160"/>
      <c r="L220" s="153"/>
    </row>
    <row r="221" spans="2:18" s="1" customFormat="1" x14ac:dyDescent="0.25">
      <c r="B221" s="3"/>
      <c r="C221"/>
      <c r="D221"/>
      <c r="E221" s="3"/>
      <c r="F221"/>
      <c r="G221"/>
      <c r="H221" s="3"/>
      <c r="I221"/>
      <c r="J221"/>
      <c r="K221" s="3"/>
      <c r="L221"/>
      <c r="M221"/>
      <c r="N221"/>
      <c r="O221"/>
      <c r="P221"/>
      <c r="R221" s="167"/>
    </row>
    <row r="224" spans="2:18" ht="15.75" x14ac:dyDescent="0.25">
      <c r="B224" s="400" t="s">
        <v>2394</v>
      </c>
      <c r="C224" s="402"/>
      <c r="D224" s="402"/>
      <c r="E224" s="402"/>
      <c r="F224" s="402"/>
      <c r="G224" s="402"/>
      <c r="H224" s="402"/>
      <c r="I224" s="402"/>
      <c r="J224" s="402"/>
      <c r="K224" s="402"/>
      <c r="L224" s="401"/>
    </row>
    <row r="225" spans="2:16" ht="15.75" x14ac:dyDescent="0.25">
      <c r="B225" s="402" t="s">
        <v>1472</v>
      </c>
      <c r="C225" s="402"/>
      <c r="D225" s="150"/>
      <c r="E225" s="402" t="s">
        <v>1473</v>
      </c>
      <c r="F225" s="402"/>
      <c r="G225" s="150"/>
      <c r="H225" s="402" t="s">
        <v>1474</v>
      </c>
      <c r="I225" s="402"/>
      <c r="J225" s="150"/>
      <c r="K225" s="402" t="s">
        <v>1475</v>
      </c>
      <c r="L225" s="402"/>
    </row>
    <row r="226" spans="2:16" x14ac:dyDescent="0.25">
      <c r="B226" s="151" t="s">
        <v>1476</v>
      </c>
      <c r="C226" s="151" t="s">
        <v>1477</v>
      </c>
      <c r="D226" s="166"/>
      <c r="E226" s="151" t="s">
        <v>1476</v>
      </c>
      <c r="F226" s="151" t="s">
        <v>1477</v>
      </c>
      <c r="G226" s="166"/>
      <c r="H226" s="151" t="s">
        <v>1476</v>
      </c>
      <c r="I226" s="151" t="s">
        <v>1477</v>
      </c>
      <c r="J226" s="166"/>
      <c r="K226" s="151" t="s">
        <v>1476</v>
      </c>
      <c r="L226" s="151" t="s">
        <v>1477</v>
      </c>
      <c r="M226" s="1"/>
      <c r="N226" s="1"/>
      <c r="O226" s="1"/>
      <c r="P226" s="1"/>
    </row>
    <row r="227" spans="2:16" x14ac:dyDescent="0.25">
      <c r="B227" s="160"/>
      <c r="C227" s="153"/>
      <c r="D227" s="150"/>
      <c r="E227" s="160"/>
      <c r="F227" s="153"/>
      <c r="G227" s="150"/>
      <c r="H227" s="160"/>
      <c r="I227" s="153"/>
      <c r="J227" s="150"/>
      <c r="K227" s="160"/>
      <c r="L227" s="153"/>
    </row>
    <row r="228" spans="2:16" x14ac:dyDescent="0.25">
      <c r="B228" s="160" t="s">
        <v>1593</v>
      </c>
      <c r="C228" s="153">
        <v>2.5000000000000001E-2</v>
      </c>
      <c r="D228" s="150"/>
      <c r="E228" s="160" t="s">
        <v>1492</v>
      </c>
      <c r="F228" s="153"/>
      <c r="G228" s="150"/>
      <c r="H228" s="160" t="s">
        <v>1531</v>
      </c>
      <c r="I228" s="153">
        <v>0.05</v>
      </c>
      <c r="J228" s="150"/>
      <c r="K228" s="160" t="s">
        <v>1492</v>
      </c>
      <c r="L228" s="153"/>
    </row>
    <row r="229" spans="2:16" x14ac:dyDescent="0.25">
      <c r="B229" s="160" t="s">
        <v>435</v>
      </c>
      <c r="C229" s="153">
        <v>0.05</v>
      </c>
      <c r="D229" s="150"/>
      <c r="E229" s="160"/>
      <c r="F229" s="153"/>
      <c r="G229" s="150"/>
      <c r="H229" s="160" t="s">
        <v>1533</v>
      </c>
      <c r="I229" s="153">
        <v>0.1</v>
      </c>
      <c r="J229" s="150"/>
      <c r="K229" s="160"/>
      <c r="L229" s="153"/>
    </row>
    <row r="230" spans="2:16" x14ac:dyDescent="0.25">
      <c r="B230" s="160" t="s">
        <v>1594</v>
      </c>
      <c r="C230" s="153">
        <v>0.1</v>
      </c>
      <c r="D230" s="150"/>
      <c r="E230" s="160"/>
      <c r="F230" s="153"/>
      <c r="G230" s="150"/>
      <c r="H230" s="160" t="s">
        <v>1534</v>
      </c>
      <c r="I230" s="153">
        <v>0.2</v>
      </c>
      <c r="J230" s="150"/>
      <c r="K230" s="160"/>
      <c r="L230" s="153"/>
    </row>
    <row r="231" spans="2:16" x14ac:dyDescent="0.25">
      <c r="B231" s="160" t="s">
        <v>437</v>
      </c>
      <c r="C231" s="153">
        <v>0.2</v>
      </c>
      <c r="D231" s="150"/>
      <c r="E231" s="160"/>
      <c r="F231" s="153"/>
      <c r="G231" s="150"/>
      <c r="H231" s="160" t="s">
        <v>1536</v>
      </c>
      <c r="I231" s="153">
        <v>0.3</v>
      </c>
      <c r="J231" s="150"/>
      <c r="K231" s="160"/>
      <c r="L231" s="153"/>
    </row>
    <row r="232" spans="2:16" x14ac:dyDescent="0.25">
      <c r="B232" s="160" t="s">
        <v>1595</v>
      </c>
      <c r="C232" s="153">
        <v>0.25</v>
      </c>
      <c r="D232" s="150"/>
      <c r="E232" s="160"/>
      <c r="F232" s="153"/>
      <c r="G232" s="150"/>
      <c r="H232" s="160" t="s">
        <v>1537</v>
      </c>
      <c r="I232" s="153">
        <v>0.4</v>
      </c>
      <c r="J232" s="150"/>
      <c r="K232" s="160"/>
      <c r="L232" s="153"/>
    </row>
    <row r="233" spans="2:16" x14ac:dyDescent="0.25">
      <c r="B233" s="160" t="s">
        <v>1373</v>
      </c>
      <c r="C233" s="153">
        <v>0.35</v>
      </c>
      <c r="D233" s="150"/>
      <c r="E233" s="160"/>
      <c r="F233" s="153"/>
      <c r="G233" s="150"/>
      <c r="H233" s="160" t="s">
        <v>1539</v>
      </c>
      <c r="I233" s="153">
        <v>0.5</v>
      </c>
      <c r="J233" s="150"/>
      <c r="K233" s="160"/>
      <c r="L233" s="153"/>
    </row>
    <row r="234" spans="2:16" x14ac:dyDescent="0.25">
      <c r="B234" s="160" t="s">
        <v>446</v>
      </c>
      <c r="C234" s="153">
        <v>0.4</v>
      </c>
      <c r="D234" s="150"/>
      <c r="E234" s="160"/>
      <c r="F234" s="153"/>
      <c r="G234" s="150"/>
      <c r="H234" s="160" t="s">
        <v>1903</v>
      </c>
      <c r="I234" s="153">
        <v>0.1</v>
      </c>
      <c r="J234" s="150"/>
      <c r="K234" s="160"/>
      <c r="L234" s="153"/>
    </row>
    <row r="235" spans="2:16" x14ac:dyDescent="0.25">
      <c r="B235" s="160" t="s">
        <v>1563</v>
      </c>
      <c r="C235" s="153">
        <v>0.7</v>
      </c>
      <c r="D235" s="150"/>
      <c r="E235" s="160"/>
      <c r="F235" s="153"/>
      <c r="G235" s="150"/>
      <c r="H235" s="160" t="s">
        <v>1542</v>
      </c>
      <c r="I235" s="153">
        <v>0.15</v>
      </c>
      <c r="J235" s="150"/>
      <c r="K235" s="160"/>
      <c r="L235" s="153"/>
    </row>
    <row r="236" spans="2:16" x14ac:dyDescent="0.25">
      <c r="B236" s="160" t="s">
        <v>448</v>
      </c>
      <c r="C236" s="153">
        <v>1.1000000000000001</v>
      </c>
      <c r="D236" s="150"/>
      <c r="E236" s="160"/>
      <c r="F236" s="153"/>
      <c r="G236" s="150"/>
      <c r="H236" s="160" t="s">
        <v>1544</v>
      </c>
      <c r="I236" s="153">
        <v>0.2</v>
      </c>
      <c r="J236" s="150"/>
      <c r="K236" s="160"/>
      <c r="L236" s="153"/>
    </row>
    <row r="237" spans="2:16" x14ac:dyDescent="0.25">
      <c r="B237" s="160" t="s">
        <v>2352</v>
      </c>
      <c r="C237" s="153">
        <v>7.4999999999999997E-2</v>
      </c>
      <c r="D237" s="150"/>
      <c r="E237" s="160"/>
      <c r="F237" s="153"/>
      <c r="G237" s="150"/>
      <c r="H237" s="160" t="s">
        <v>1546</v>
      </c>
      <c r="I237" s="153">
        <v>0.3</v>
      </c>
      <c r="J237" s="150"/>
      <c r="K237" s="160"/>
      <c r="L237" s="153"/>
    </row>
    <row r="238" spans="2:16" x14ac:dyDescent="0.25">
      <c r="B238" s="160" t="s">
        <v>1532</v>
      </c>
      <c r="C238" s="153">
        <v>0.1</v>
      </c>
      <c r="D238" s="150"/>
      <c r="E238" s="160"/>
      <c r="F238" s="153"/>
      <c r="G238" s="150"/>
      <c r="H238" s="160" t="s">
        <v>1548</v>
      </c>
      <c r="I238" s="153">
        <v>0.25</v>
      </c>
      <c r="J238" s="150"/>
      <c r="K238" s="160"/>
      <c r="L238" s="153"/>
    </row>
    <row r="239" spans="2:16" x14ac:dyDescent="0.25">
      <c r="B239" s="160" t="s">
        <v>1309</v>
      </c>
      <c r="C239" s="153">
        <v>0.15</v>
      </c>
      <c r="D239" s="150"/>
      <c r="E239" s="160"/>
      <c r="F239" s="153"/>
      <c r="G239" s="150"/>
      <c r="H239" s="160" t="s">
        <v>1550</v>
      </c>
      <c r="I239" s="153">
        <v>0.35</v>
      </c>
      <c r="J239" s="150"/>
      <c r="K239" s="160"/>
      <c r="L239" s="153"/>
    </row>
    <row r="240" spans="2:16" x14ac:dyDescent="0.25">
      <c r="B240" s="160" t="s">
        <v>1535</v>
      </c>
      <c r="C240" s="153">
        <v>0.25</v>
      </c>
      <c r="D240" s="150"/>
      <c r="E240" s="160"/>
      <c r="F240" s="153"/>
      <c r="G240" s="150"/>
      <c r="H240" s="160" t="s">
        <v>1551</v>
      </c>
      <c r="I240" s="153">
        <v>0.45</v>
      </c>
      <c r="J240" s="150"/>
      <c r="K240" s="160"/>
      <c r="L240" s="153"/>
    </row>
    <row r="241" spans="2:12" x14ac:dyDescent="0.25">
      <c r="B241" s="160" t="s">
        <v>1860</v>
      </c>
      <c r="C241" s="153">
        <v>0.3</v>
      </c>
      <c r="D241" s="150"/>
      <c r="E241" s="160"/>
      <c r="F241" s="153"/>
      <c r="G241" s="150"/>
      <c r="H241" s="160" t="s">
        <v>1553</v>
      </c>
      <c r="I241" s="153">
        <v>0.55000000000000004</v>
      </c>
      <c r="J241" s="150"/>
      <c r="K241" s="160"/>
      <c r="L241" s="153"/>
    </row>
    <row r="242" spans="2:12" x14ac:dyDescent="0.25">
      <c r="B242" s="160" t="s">
        <v>440</v>
      </c>
      <c r="C242" s="153">
        <v>0.3</v>
      </c>
      <c r="D242" s="150"/>
      <c r="E242" s="160"/>
      <c r="F242" s="153"/>
      <c r="G242" s="150"/>
      <c r="H242" s="160" t="s">
        <v>1555</v>
      </c>
      <c r="I242" s="153">
        <v>0.35</v>
      </c>
      <c r="J242" s="150"/>
      <c r="K242" s="160"/>
      <c r="L242" s="153"/>
    </row>
    <row r="243" spans="2:12" x14ac:dyDescent="0.25">
      <c r="B243" s="160" t="s">
        <v>1538</v>
      </c>
      <c r="C243" s="153">
        <v>0.4</v>
      </c>
      <c r="D243" s="150"/>
      <c r="E243" s="160"/>
      <c r="F243" s="153"/>
      <c r="G243" s="150"/>
      <c r="H243" s="160" t="s">
        <v>1557</v>
      </c>
      <c r="I243" s="153">
        <v>0.55000000000000004</v>
      </c>
      <c r="J243" s="150"/>
      <c r="K243" s="160"/>
      <c r="L243" s="153"/>
    </row>
    <row r="244" spans="2:12" x14ac:dyDescent="0.25">
      <c r="B244" s="160" t="s">
        <v>1540</v>
      </c>
      <c r="C244" s="153">
        <v>0.5</v>
      </c>
      <c r="D244" s="150"/>
      <c r="E244" s="160"/>
      <c r="F244" s="153"/>
      <c r="G244" s="150"/>
      <c r="H244" s="160" t="s">
        <v>1560</v>
      </c>
      <c r="I244" s="153">
        <v>0.1</v>
      </c>
      <c r="J244" s="150"/>
      <c r="K244" s="160"/>
      <c r="L244" s="153"/>
    </row>
    <row r="245" spans="2:12" x14ac:dyDescent="0.25">
      <c r="B245" s="160" t="s">
        <v>1541</v>
      </c>
      <c r="C245" s="153">
        <v>0.6</v>
      </c>
      <c r="D245" s="150"/>
      <c r="E245" s="160"/>
      <c r="F245" s="153"/>
      <c r="G245" s="150"/>
      <c r="H245" s="160" t="s">
        <v>1561</v>
      </c>
      <c r="I245" s="153">
        <v>0.15</v>
      </c>
      <c r="J245" s="150"/>
      <c r="K245" s="160"/>
      <c r="L245" s="153"/>
    </row>
    <row r="246" spans="2:12" x14ac:dyDescent="0.25">
      <c r="B246" s="160" t="s">
        <v>1577</v>
      </c>
      <c r="C246" s="153">
        <v>0.45</v>
      </c>
      <c r="D246" s="150"/>
      <c r="E246" s="160"/>
      <c r="F246" s="153"/>
      <c r="G246" s="150"/>
      <c r="H246" s="160" t="s">
        <v>1562</v>
      </c>
      <c r="I246" s="153">
        <v>0.2</v>
      </c>
      <c r="J246" s="150"/>
      <c r="K246" s="160"/>
      <c r="L246" s="153"/>
    </row>
    <row r="247" spans="2:12" x14ac:dyDescent="0.25">
      <c r="B247" s="160" t="s">
        <v>1579</v>
      </c>
      <c r="C247" s="153">
        <v>0.55000000000000004</v>
      </c>
      <c r="D247" s="150"/>
      <c r="E247" s="160"/>
      <c r="F247" s="153"/>
      <c r="G247" s="150"/>
      <c r="H247" s="160" t="s">
        <v>299</v>
      </c>
      <c r="I247" s="153">
        <v>0.1</v>
      </c>
      <c r="J247" s="150"/>
      <c r="K247" s="160"/>
      <c r="L247" s="153"/>
    </row>
    <row r="248" spans="2:12" x14ac:dyDescent="0.25">
      <c r="B248" s="160" t="s">
        <v>455</v>
      </c>
      <c r="C248" s="153">
        <v>0.5</v>
      </c>
      <c r="D248" s="150"/>
      <c r="E248" s="160"/>
      <c r="F248" s="153"/>
      <c r="G248" s="150"/>
      <c r="H248" s="160" t="s">
        <v>1564</v>
      </c>
      <c r="I248" s="153">
        <v>0.15</v>
      </c>
      <c r="J248" s="150"/>
      <c r="K248" s="160"/>
      <c r="L248" s="153"/>
    </row>
    <row r="249" spans="2:12" x14ac:dyDescent="0.25">
      <c r="B249" s="160" t="s">
        <v>1862</v>
      </c>
      <c r="C249" s="153">
        <v>0.6</v>
      </c>
      <c r="D249" s="150"/>
      <c r="E249" s="160"/>
      <c r="F249" s="153"/>
      <c r="G249" s="150"/>
      <c r="H249" s="160" t="s">
        <v>1565</v>
      </c>
      <c r="I249" s="153">
        <v>0.2</v>
      </c>
      <c r="J249" s="150"/>
      <c r="K249" s="160"/>
      <c r="L249" s="153"/>
    </row>
    <row r="250" spans="2:12" x14ac:dyDescent="0.25">
      <c r="B250" s="160" t="s">
        <v>1580</v>
      </c>
      <c r="C250" s="153">
        <v>0.55000000000000004</v>
      </c>
      <c r="D250" s="150"/>
      <c r="E250" s="160"/>
      <c r="F250" s="153"/>
      <c r="G250" s="150"/>
      <c r="H250" s="160" t="s">
        <v>2276</v>
      </c>
      <c r="I250" s="153">
        <v>0.3</v>
      </c>
      <c r="J250" s="150"/>
      <c r="K250" s="160"/>
      <c r="L250" s="153"/>
    </row>
    <row r="251" spans="2:12" x14ac:dyDescent="0.25">
      <c r="B251" s="160" t="s">
        <v>457</v>
      </c>
      <c r="C251" s="153">
        <v>0.7</v>
      </c>
      <c r="D251" s="150"/>
      <c r="E251" s="160"/>
      <c r="F251" s="153"/>
      <c r="G251" s="150"/>
      <c r="H251" s="160" t="s">
        <v>1570</v>
      </c>
      <c r="I251" s="153">
        <v>0.4</v>
      </c>
      <c r="J251" s="150"/>
      <c r="K251" s="160"/>
      <c r="L251" s="153"/>
    </row>
    <row r="252" spans="2:12" x14ac:dyDescent="0.25">
      <c r="B252" s="160" t="s">
        <v>1587</v>
      </c>
      <c r="C252" s="153">
        <v>0.6</v>
      </c>
      <c r="D252" s="150"/>
      <c r="E252" s="160"/>
      <c r="F252" s="153"/>
      <c r="G252" s="150"/>
      <c r="H252" s="160" t="s">
        <v>1572</v>
      </c>
      <c r="I252" s="153">
        <v>0.5</v>
      </c>
      <c r="J252" s="150"/>
      <c r="K252" s="160"/>
      <c r="L252" s="153"/>
    </row>
    <row r="253" spans="2:12" x14ac:dyDescent="0.25">
      <c r="B253" s="160" t="s">
        <v>1869</v>
      </c>
      <c r="C253" s="153">
        <v>0.7</v>
      </c>
      <c r="D253" s="150"/>
      <c r="E253" s="160"/>
      <c r="F253" s="153"/>
      <c r="G253" s="150"/>
      <c r="H253" s="160" t="s">
        <v>1573</v>
      </c>
      <c r="I253" s="153">
        <v>0.6</v>
      </c>
      <c r="J253" s="150"/>
      <c r="K253" s="160"/>
      <c r="L253" s="153"/>
    </row>
    <row r="254" spans="2:12" x14ac:dyDescent="0.25">
      <c r="B254" s="160" t="s">
        <v>1588</v>
      </c>
      <c r="C254" s="153">
        <v>0.625</v>
      </c>
      <c r="D254" s="150"/>
      <c r="E254" s="160"/>
      <c r="F254" s="153"/>
      <c r="G254" s="150"/>
      <c r="H254" s="160" t="s">
        <v>1574</v>
      </c>
      <c r="I254" s="153">
        <v>0.4</v>
      </c>
      <c r="J254" s="150"/>
      <c r="K254" s="160"/>
      <c r="L254" s="153"/>
    </row>
    <row r="255" spans="2:12" x14ac:dyDescent="0.25">
      <c r="B255" s="160" t="s">
        <v>1870</v>
      </c>
      <c r="C255" s="153">
        <v>0.75</v>
      </c>
      <c r="D255" s="150"/>
      <c r="E255" s="160"/>
      <c r="F255" s="153"/>
      <c r="G255" s="150"/>
      <c r="H255" s="160" t="s">
        <v>1575</v>
      </c>
      <c r="I255" s="153">
        <v>0.5</v>
      </c>
      <c r="J255" s="150"/>
      <c r="K255" s="160"/>
      <c r="L255" s="153"/>
    </row>
    <row r="256" spans="2:12" x14ac:dyDescent="0.25">
      <c r="B256" s="160" t="s">
        <v>1589</v>
      </c>
      <c r="C256" s="153">
        <v>0.9</v>
      </c>
      <c r="D256" s="150"/>
      <c r="E256" s="160"/>
      <c r="F256" s="153"/>
      <c r="G256" s="150"/>
      <c r="H256" s="160" t="s">
        <v>1576</v>
      </c>
      <c r="I256" s="153">
        <v>0.6</v>
      </c>
      <c r="J256" s="150"/>
      <c r="K256" s="160"/>
      <c r="L256" s="153"/>
    </row>
    <row r="257" spans="2:12" x14ac:dyDescent="0.25">
      <c r="B257" s="160" t="s">
        <v>1590</v>
      </c>
      <c r="C257" s="153">
        <v>1.1000000000000001</v>
      </c>
      <c r="D257" s="150"/>
      <c r="E257" s="160"/>
      <c r="F257" s="153"/>
      <c r="G257" s="150"/>
      <c r="H257" s="160" t="s">
        <v>1578</v>
      </c>
      <c r="I257" s="153">
        <v>0.7</v>
      </c>
      <c r="J257" s="150"/>
      <c r="K257" s="160"/>
      <c r="L257" s="153"/>
    </row>
    <row r="258" spans="2:12" x14ac:dyDescent="0.25">
      <c r="B258" s="160" t="s">
        <v>1591</v>
      </c>
      <c r="C258" s="153">
        <v>1.25</v>
      </c>
      <c r="D258" s="150"/>
      <c r="E258" s="160"/>
      <c r="F258" s="153"/>
      <c r="G258" s="150"/>
      <c r="H258" s="160" t="s">
        <v>1904</v>
      </c>
      <c r="I258" s="153">
        <v>0.75</v>
      </c>
      <c r="J258" s="150"/>
      <c r="K258" s="160"/>
      <c r="L258" s="153"/>
    </row>
    <row r="259" spans="2:12" x14ac:dyDescent="0.25">
      <c r="B259" s="160" t="s">
        <v>1592</v>
      </c>
      <c r="C259" s="153">
        <v>1.5</v>
      </c>
      <c r="D259" s="150"/>
      <c r="E259" s="160"/>
      <c r="F259" s="153"/>
      <c r="G259" s="150"/>
      <c r="H259" s="160" t="s">
        <v>1905</v>
      </c>
      <c r="I259" s="153">
        <v>0.9</v>
      </c>
      <c r="J259" s="150"/>
      <c r="K259" s="160"/>
      <c r="L259" s="153"/>
    </row>
    <row r="260" spans="2:12" x14ac:dyDescent="0.25">
      <c r="B260" s="160" t="s">
        <v>1543</v>
      </c>
      <c r="C260" s="153">
        <v>0.65</v>
      </c>
      <c r="D260" s="150"/>
      <c r="E260" s="160"/>
      <c r="F260" s="153"/>
      <c r="G260" s="150"/>
      <c r="H260" s="160" t="s">
        <v>1906</v>
      </c>
      <c r="I260" s="153">
        <v>1.05</v>
      </c>
      <c r="J260" s="150"/>
      <c r="K260" s="160"/>
      <c r="L260" s="153"/>
    </row>
    <row r="261" spans="2:12" x14ac:dyDescent="0.25">
      <c r="B261" s="160" t="s">
        <v>1545</v>
      </c>
      <c r="C261" s="153">
        <v>0.75</v>
      </c>
      <c r="D261" s="150"/>
      <c r="E261" s="160"/>
      <c r="F261" s="153"/>
      <c r="G261" s="150"/>
      <c r="H261" s="160" t="s">
        <v>2408</v>
      </c>
      <c r="I261" s="153">
        <v>0.2</v>
      </c>
      <c r="J261" s="150"/>
      <c r="K261" s="160"/>
      <c r="L261" s="153"/>
    </row>
    <row r="262" spans="2:12" x14ac:dyDescent="0.25">
      <c r="B262" s="160" t="s">
        <v>1547</v>
      </c>
      <c r="C262" s="153">
        <v>1</v>
      </c>
      <c r="D262" s="150"/>
      <c r="E262" s="160"/>
      <c r="F262" s="153"/>
      <c r="G262" s="150"/>
      <c r="H262" s="160"/>
      <c r="I262" s="153"/>
      <c r="J262" s="150"/>
      <c r="K262" s="160"/>
      <c r="L262" s="153"/>
    </row>
    <row r="263" spans="2:12" x14ac:dyDescent="0.25">
      <c r="B263" s="160" t="s">
        <v>1549</v>
      </c>
      <c r="C263" s="153">
        <v>1.1000000000000001</v>
      </c>
      <c r="D263" s="150"/>
      <c r="E263" s="160"/>
      <c r="F263" s="153"/>
      <c r="G263" s="150"/>
      <c r="H263" s="160"/>
      <c r="I263" s="153"/>
      <c r="J263" s="150"/>
      <c r="K263" s="160"/>
      <c r="L263" s="153"/>
    </row>
    <row r="264" spans="2:12" x14ac:dyDescent="0.25">
      <c r="B264" s="160" t="s">
        <v>1581</v>
      </c>
      <c r="C264" s="153">
        <v>0.67500000000000004</v>
      </c>
      <c r="D264" s="150"/>
      <c r="E264" s="160"/>
      <c r="F264" s="153"/>
      <c r="G264" s="150"/>
      <c r="H264" s="160"/>
      <c r="I264" s="153"/>
      <c r="J264" s="150"/>
      <c r="K264" s="160"/>
      <c r="L264" s="153"/>
    </row>
    <row r="265" spans="2:12" x14ac:dyDescent="0.25">
      <c r="B265" s="160" t="s">
        <v>1863</v>
      </c>
      <c r="C265" s="153">
        <v>0.77500000000000002</v>
      </c>
      <c r="D265" s="150"/>
      <c r="E265" s="160"/>
      <c r="F265" s="153"/>
      <c r="G265" s="150"/>
      <c r="H265" s="160"/>
      <c r="I265" s="153"/>
      <c r="J265" s="150"/>
      <c r="K265" s="160"/>
      <c r="L265" s="153"/>
    </row>
    <row r="266" spans="2:12" x14ac:dyDescent="0.25">
      <c r="B266" s="160" t="s">
        <v>1582</v>
      </c>
      <c r="C266" s="153">
        <v>1.2</v>
      </c>
      <c r="D266" s="150"/>
      <c r="E266" s="160"/>
      <c r="F266" s="153"/>
      <c r="G266" s="150"/>
      <c r="H266" s="160"/>
      <c r="I266" s="153"/>
      <c r="J266" s="150"/>
      <c r="K266" s="160"/>
      <c r="L266" s="153"/>
    </row>
    <row r="267" spans="2:12" x14ac:dyDescent="0.25">
      <c r="B267" s="160" t="s">
        <v>1864</v>
      </c>
      <c r="C267" s="153">
        <v>1.3</v>
      </c>
      <c r="D267" s="150"/>
      <c r="E267" s="160"/>
      <c r="F267" s="153"/>
      <c r="G267" s="150"/>
      <c r="H267" s="160"/>
      <c r="I267" s="153"/>
      <c r="J267" s="150"/>
      <c r="K267" s="160"/>
      <c r="L267" s="153"/>
    </row>
    <row r="268" spans="2:12" x14ac:dyDescent="0.25">
      <c r="B268" s="160" t="s">
        <v>2353</v>
      </c>
      <c r="C268" s="153">
        <v>1.4</v>
      </c>
      <c r="D268" s="150"/>
      <c r="E268" s="160"/>
      <c r="F268" s="153"/>
      <c r="G268" s="150"/>
      <c r="H268" s="160"/>
      <c r="I268" s="153"/>
      <c r="J268" s="150"/>
      <c r="K268" s="160"/>
      <c r="L268" s="153"/>
    </row>
    <row r="269" spans="2:12" x14ac:dyDescent="0.25">
      <c r="B269" s="160" t="s">
        <v>1583</v>
      </c>
      <c r="C269" s="153">
        <v>0.8</v>
      </c>
      <c r="D269" s="150"/>
      <c r="E269" s="160"/>
      <c r="F269" s="153"/>
      <c r="G269" s="150"/>
      <c r="H269" s="160"/>
      <c r="I269" s="153"/>
      <c r="J269" s="150"/>
      <c r="K269" s="160"/>
      <c r="L269" s="153"/>
    </row>
    <row r="270" spans="2:12" x14ac:dyDescent="0.25">
      <c r="B270" s="160" t="s">
        <v>1584</v>
      </c>
      <c r="C270" s="153">
        <v>0.97499999999999998</v>
      </c>
      <c r="D270" s="150"/>
      <c r="E270" s="160"/>
      <c r="F270" s="153"/>
      <c r="G270" s="150"/>
      <c r="H270" s="160"/>
      <c r="I270" s="153"/>
      <c r="J270" s="150"/>
      <c r="K270" s="160"/>
      <c r="L270" s="153"/>
    </row>
    <row r="271" spans="2:12" x14ac:dyDescent="0.25">
      <c r="B271" s="160" t="s">
        <v>442</v>
      </c>
      <c r="C271" s="153">
        <v>0.9</v>
      </c>
      <c r="D271" s="150"/>
      <c r="E271" s="160"/>
      <c r="F271" s="153"/>
      <c r="G271" s="150"/>
      <c r="H271" s="160"/>
      <c r="I271" s="153"/>
      <c r="J271" s="150"/>
      <c r="K271" s="160"/>
      <c r="L271" s="153"/>
    </row>
    <row r="272" spans="2:12" x14ac:dyDescent="0.25">
      <c r="B272" s="160" t="s">
        <v>1552</v>
      </c>
      <c r="C272" s="153">
        <v>1.7</v>
      </c>
      <c r="D272" s="150"/>
      <c r="E272" s="160"/>
      <c r="F272" s="153"/>
      <c r="G272" s="150"/>
      <c r="H272" s="160"/>
      <c r="I272" s="153"/>
      <c r="J272" s="150"/>
      <c r="K272" s="160"/>
      <c r="L272" s="153"/>
    </row>
    <row r="273" spans="2:12" x14ac:dyDescent="0.25">
      <c r="B273" s="160" t="s">
        <v>1554</v>
      </c>
      <c r="C273" s="153">
        <v>1.1000000000000001</v>
      </c>
      <c r="D273" s="150"/>
      <c r="E273" s="160"/>
      <c r="F273" s="153"/>
      <c r="G273" s="150"/>
      <c r="H273" s="160"/>
      <c r="I273" s="153"/>
      <c r="J273" s="150"/>
      <c r="K273" s="160"/>
      <c r="L273" s="153"/>
    </row>
    <row r="274" spans="2:12" x14ac:dyDescent="0.25">
      <c r="B274" s="160" t="s">
        <v>1556</v>
      </c>
      <c r="C274" s="153">
        <v>1.8</v>
      </c>
      <c r="D274" s="150"/>
      <c r="E274" s="160"/>
      <c r="F274" s="153"/>
      <c r="G274" s="150"/>
      <c r="H274" s="160"/>
      <c r="I274" s="153"/>
      <c r="J274" s="150"/>
      <c r="K274" s="160"/>
      <c r="L274" s="153"/>
    </row>
    <row r="275" spans="2:12" x14ac:dyDescent="0.25">
      <c r="B275" s="160" t="s">
        <v>1585</v>
      </c>
      <c r="C275" s="153">
        <v>1.2</v>
      </c>
      <c r="D275" s="150"/>
      <c r="E275" s="160"/>
      <c r="F275" s="153"/>
      <c r="G275" s="150"/>
      <c r="H275" s="160"/>
      <c r="I275" s="153"/>
      <c r="J275" s="150"/>
      <c r="K275" s="160"/>
      <c r="L275" s="153"/>
    </row>
    <row r="276" spans="2:12" x14ac:dyDescent="0.25">
      <c r="B276" s="160" t="s">
        <v>1865</v>
      </c>
      <c r="C276" s="153">
        <v>1.3</v>
      </c>
      <c r="D276" s="150"/>
      <c r="E276" s="160"/>
      <c r="F276" s="153"/>
      <c r="G276" s="150"/>
      <c r="H276" s="160"/>
      <c r="I276" s="153"/>
      <c r="J276" s="150"/>
      <c r="K276" s="160"/>
      <c r="L276" s="153"/>
    </row>
    <row r="277" spans="2:12" x14ac:dyDescent="0.25">
      <c r="B277" s="160" t="s">
        <v>1586</v>
      </c>
      <c r="C277" s="153">
        <v>1.75</v>
      </c>
      <c r="D277" s="150"/>
      <c r="E277" s="160"/>
      <c r="F277" s="153"/>
      <c r="G277" s="150"/>
      <c r="H277" s="160"/>
      <c r="I277" s="153"/>
      <c r="J277" s="150"/>
      <c r="K277" s="160"/>
      <c r="L277" s="153"/>
    </row>
    <row r="278" spans="2:12" x14ac:dyDescent="0.25">
      <c r="B278" s="160" t="s">
        <v>1866</v>
      </c>
      <c r="C278" s="153">
        <v>1.85</v>
      </c>
      <c r="D278" s="150"/>
      <c r="E278" s="160"/>
      <c r="F278" s="153"/>
      <c r="G278" s="150"/>
      <c r="H278" s="160"/>
      <c r="I278" s="153"/>
      <c r="J278" s="150"/>
      <c r="K278" s="160"/>
      <c r="L278" s="153"/>
    </row>
    <row r="279" spans="2:12" x14ac:dyDescent="0.25">
      <c r="B279" s="160" t="s">
        <v>460</v>
      </c>
      <c r="C279" s="153">
        <v>1.6</v>
      </c>
      <c r="D279" s="150"/>
      <c r="E279" s="160"/>
      <c r="F279" s="153"/>
      <c r="G279" s="150"/>
      <c r="H279" s="160"/>
      <c r="I279" s="153"/>
      <c r="J279" s="150"/>
      <c r="K279" s="160"/>
      <c r="L279" s="153"/>
    </row>
    <row r="280" spans="2:12" x14ac:dyDescent="0.25">
      <c r="B280" s="160" t="s">
        <v>1867</v>
      </c>
      <c r="C280" s="153">
        <v>2.1</v>
      </c>
      <c r="D280" s="150"/>
      <c r="E280" s="160"/>
      <c r="F280" s="153"/>
      <c r="G280" s="150"/>
      <c r="H280" s="160"/>
      <c r="I280" s="153"/>
      <c r="J280" s="150"/>
      <c r="K280" s="160"/>
      <c r="L280" s="153"/>
    </row>
    <row r="281" spans="2:12" x14ac:dyDescent="0.25">
      <c r="B281" s="160" t="s">
        <v>1868</v>
      </c>
      <c r="C281" s="153">
        <v>2.2000000000000002</v>
      </c>
      <c r="D281" s="150"/>
      <c r="E281" s="160"/>
      <c r="F281" s="153"/>
      <c r="G281" s="150"/>
      <c r="H281" s="160"/>
      <c r="I281" s="153"/>
      <c r="J281" s="150"/>
      <c r="K281" s="160"/>
      <c r="L281" s="153"/>
    </row>
    <row r="282" spans="2:12" x14ac:dyDescent="0.25">
      <c r="B282" s="160" t="s">
        <v>1558</v>
      </c>
      <c r="C282" s="153">
        <v>1.2</v>
      </c>
      <c r="D282" s="150"/>
      <c r="E282" s="160"/>
      <c r="F282" s="153"/>
      <c r="G282" s="150"/>
      <c r="H282" s="160"/>
      <c r="I282" s="153"/>
      <c r="J282" s="150"/>
      <c r="K282" s="160"/>
      <c r="L282" s="153"/>
    </row>
    <row r="283" spans="2:12" x14ac:dyDescent="0.25">
      <c r="B283" s="160" t="s">
        <v>1559</v>
      </c>
      <c r="C283" s="153">
        <v>1.3</v>
      </c>
      <c r="D283" s="150"/>
      <c r="E283" s="160"/>
      <c r="F283" s="153"/>
      <c r="G283" s="150"/>
      <c r="H283" s="160"/>
      <c r="I283" s="153"/>
      <c r="J283" s="150"/>
      <c r="K283" s="160"/>
      <c r="L283" s="153"/>
    </row>
    <row r="284" spans="2:12" x14ac:dyDescent="0.25">
      <c r="B284" s="160" t="s">
        <v>444</v>
      </c>
      <c r="C284" s="153">
        <v>2</v>
      </c>
      <c r="D284" s="150"/>
      <c r="E284" s="160"/>
      <c r="F284" s="153"/>
      <c r="G284" s="150"/>
      <c r="H284" s="160"/>
      <c r="I284" s="153"/>
      <c r="J284" s="150"/>
      <c r="K284" s="160"/>
      <c r="L284" s="153"/>
    </row>
    <row r="285" spans="2:12" x14ac:dyDescent="0.25">
      <c r="B285" s="160" t="s">
        <v>2354</v>
      </c>
      <c r="C285" s="153">
        <v>1.2</v>
      </c>
      <c r="D285" s="150"/>
      <c r="E285" s="160"/>
      <c r="F285" s="153"/>
      <c r="G285" s="150"/>
      <c r="H285" s="160"/>
      <c r="I285" s="153"/>
      <c r="J285" s="150"/>
      <c r="K285" s="160"/>
      <c r="L285" s="153"/>
    </row>
    <row r="286" spans="2:12" x14ac:dyDescent="0.25">
      <c r="B286" s="160" t="s">
        <v>629</v>
      </c>
      <c r="C286" s="153">
        <v>0.1</v>
      </c>
      <c r="D286" s="150"/>
      <c r="E286" s="160"/>
      <c r="F286" s="153"/>
      <c r="G286" s="150"/>
      <c r="H286" s="160"/>
      <c r="I286" s="153"/>
      <c r="J286" s="150"/>
      <c r="K286" s="160"/>
      <c r="L286" s="153"/>
    </row>
    <row r="287" spans="2:12" x14ac:dyDescent="0.25">
      <c r="B287" s="160" t="s">
        <v>1566</v>
      </c>
      <c r="C287" s="153">
        <v>0.15</v>
      </c>
      <c r="D287" s="150"/>
      <c r="E287" s="160"/>
      <c r="F287" s="153"/>
      <c r="G287" s="150"/>
      <c r="H287" s="160"/>
      <c r="I287" s="153"/>
      <c r="J287" s="150"/>
      <c r="K287" s="160"/>
      <c r="L287" s="153"/>
    </row>
    <row r="288" spans="2:12" x14ac:dyDescent="0.25">
      <c r="B288" s="160" t="s">
        <v>1567</v>
      </c>
      <c r="C288" s="153">
        <v>0.17499999999999999</v>
      </c>
      <c r="D288" s="150"/>
      <c r="E288" s="160"/>
      <c r="F288" s="153"/>
      <c r="G288" s="150"/>
      <c r="H288" s="160"/>
      <c r="I288" s="153"/>
      <c r="J288" s="150"/>
      <c r="K288" s="160"/>
      <c r="L288" s="153"/>
    </row>
    <row r="289" spans="2:18" x14ac:dyDescent="0.25">
      <c r="B289" s="160" t="s">
        <v>1635</v>
      </c>
      <c r="C289" s="153">
        <v>0.1</v>
      </c>
      <c r="D289" s="150"/>
      <c r="E289" s="160"/>
      <c r="F289" s="153"/>
      <c r="G289" s="150"/>
      <c r="H289" s="160"/>
      <c r="I289" s="153"/>
      <c r="J289" s="150"/>
      <c r="K289" s="160"/>
      <c r="L289" s="153"/>
    </row>
    <row r="290" spans="2:18" x14ac:dyDescent="0.25">
      <c r="B290" s="160" t="s">
        <v>1568</v>
      </c>
      <c r="C290" s="153">
        <v>0.15</v>
      </c>
      <c r="D290" s="150"/>
      <c r="E290" s="160"/>
      <c r="F290" s="153"/>
      <c r="G290" s="150"/>
      <c r="H290" s="160"/>
      <c r="I290" s="153"/>
      <c r="J290" s="150"/>
      <c r="K290" s="160"/>
      <c r="L290" s="153"/>
    </row>
    <row r="291" spans="2:18" x14ac:dyDescent="0.25">
      <c r="B291" s="160" t="s">
        <v>1569</v>
      </c>
      <c r="C291" s="153">
        <v>0.17499999999999999</v>
      </c>
      <c r="D291" s="150"/>
      <c r="E291" s="160"/>
      <c r="F291" s="153"/>
      <c r="G291" s="150"/>
      <c r="H291" s="160"/>
      <c r="I291" s="153"/>
      <c r="J291" s="150"/>
      <c r="K291" s="160"/>
      <c r="L291" s="153"/>
    </row>
    <row r="292" spans="2:18" x14ac:dyDescent="0.25">
      <c r="B292" s="160" t="s">
        <v>1861</v>
      </c>
      <c r="C292" s="153">
        <v>0.125</v>
      </c>
      <c r="D292" s="150"/>
      <c r="E292" s="160"/>
      <c r="F292" s="153"/>
      <c r="G292" s="150"/>
      <c r="H292" s="160"/>
      <c r="I292" s="153"/>
      <c r="J292" s="150"/>
      <c r="K292" s="160"/>
      <c r="L292" s="153"/>
    </row>
    <row r="293" spans="2:18" x14ac:dyDescent="0.25">
      <c r="B293" s="160" t="s">
        <v>1571</v>
      </c>
      <c r="C293" s="153">
        <v>0.4</v>
      </c>
      <c r="D293" s="150"/>
      <c r="E293" s="160"/>
      <c r="F293" s="153"/>
      <c r="G293" s="150"/>
      <c r="H293" s="160"/>
      <c r="I293" s="153"/>
      <c r="J293" s="150"/>
      <c r="K293" s="160"/>
      <c r="L293" s="153"/>
    </row>
    <row r="294" spans="2:18" x14ac:dyDescent="0.25">
      <c r="B294" s="160"/>
      <c r="C294" s="153"/>
      <c r="D294" s="150"/>
      <c r="E294" s="160"/>
      <c r="F294" s="153"/>
      <c r="G294" s="150"/>
      <c r="H294" s="160"/>
      <c r="I294" s="153"/>
      <c r="J294" s="150"/>
      <c r="K294" s="160"/>
      <c r="L294" s="153"/>
    </row>
    <row r="295" spans="2:18" x14ac:dyDescent="0.25">
      <c r="B295" s="160"/>
      <c r="C295" s="153"/>
      <c r="D295" s="150"/>
      <c r="E295" s="160"/>
      <c r="F295" s="153"/>
      <c r="G295" s="150"/>
      <c r="H295" s="160"/>
      <c r="I295" s="153"/>
      <c r="J295" s="150"/>
      <c r="K295" s="160"/>
      <c r="L295" s="153"/>
    </row>
    <row r="296" spans="2:18" x14ac:dyDescent="0.25">
      <c r="B296" s="160"/>
      <c r="C296" s="153"/>
      <c r="D296" s="150"/>
      <c r="E296" s="160"/>
      <c r="F296" s="153"/>
      <c r="G296" s="150"/>
      <c r="H296" s="160"/>
      <c r="I296" s="153"/>
      <c r="J296" s="150"/>
      <c r="K296" s="160"/>
      <c r="L296" s="153"/>
    </row>
    <row r="297" spans="2:18" s="1" customFormat="1" x14ac:dyDescent="0.25">
      <c r="B297" s="3"/>
      <c r="C297"/>
      <c r="D297"/>
      <c r="E297" s="3"/>
      <c r="F297"/>
      <c r="G297"/>
      <c r="H297" s="3"/>
      <c r="I297"/>
      <c r="J297"/>
      <c r="K297" s="3"/>
      <c r="L297"/>
      <c r="M297"/>
      <c r="N297"/>
      <c r="O297"/>
      <c r="P297"/>
      <c r="R297" s="167"/>
    </row>
    <row r="300" spans="2:18" ht="15.75" x14ac:dyDescent="0.25">
      <c r="B300" s="400" t="s">
        <v>2395</v>
      </c>
      <c r="C300" s="402"/>
      <c r="D300" s="402"/>
      <c r="E300" s="402"/>
      <c r="F300" s="402"/>
      <c r="G300" s="402"/>
      <c r="H300" s="402"/>
      <c r="I300" s="402"/>
      <c r="J300" s="402"/>
      <c r="K300" s="402"/>
      <c r="L300" s="401"/>
    </row>
    <row r="301" spans="2:18" ht="15.75" x14ac:dyDescent="0.25">
      <c r="B301" s="402" t="s">
        <v>1472</v>
      </c>
      <c r="C301" s="402"/>
      <c r="D301" s="150"/>
      <c r="E301" s="402" t="s">
        <v>1473</v>
      </c>
      <c r="F301" s="402"/>
      <c r="G301" s="150"/>
      <c r="H301" s="402" t="s">
        <v>1474</v>
      </c>
      <c r="I301" s="402"/>
      <c r="J301" s="150"/>
      <c r="K301" s="402" t="s">
        <v>1475</v>
      </c>
      <c r="L301" s="402"/>
    </row>
    <row r="302" spans="2:18" x14ac:dyDescent="0.25">
      <c r="B302" s="151" t="s">
        <v>1476</v>
      </c>
      <c r="C302" s="151" t="s">
        <v>1477</v>
      </c>
      <c r="D302" s="166"/>
      <c r="E302" s="151" t="s">
        <v>1476</v>
      </c>
      <c r="F302" s="151" t="s">
        <v>1477</v>
      </c>
      <c r="G302" s="166"/>
      <c r="H302" s="151" t="s">
        <v>1476</v>
      </c>
      <c r="I302" s="151" t="s">
        <v>1477</v>
      </c>
      <c r="J302" s="166"/>
      <c r="K302" s="151" t="s">
        <v>1476</v>
      </c>
      <c r="L302" s="151" t="s">
        <v>1477</v>
      </c>
      <c r="M302" s="1"/>
      <c r="N302" s="1"/>
      <c r="O302" s="1"/>
      <c r="P302" s="1"/>
    </row>
    <row r="303" spans="2:18" x14ac:dyDescent="0.25">
      <c r="B303" s="160"/>
      <c r="C303" s="153"/>
      <c r="D303" s="150"/>
      <c r="E303" s="160"/>
      <c r="F303" s="153"/>
      <c r="G303" s="150"/>
      <c r="H303" s="160"/>
      <c r="I303" s="153"/>
      <c r="J303" s="150"/>
      <c r="K303" s="160"/>
      <c r="L303" s="153"/>
    </row>
    <row r="304" spans="2:18" x14ac:dyDescent="0.25">
      <c r="B304" s="160" t="s">
        <v>1596</v>
      </c>
      <c r="C304" s="153">
        <v>0.2</v>
      </c>
      <c r="D304" s="150"/>
      <c r="E304" s="160" t="s">
        <v>1596</v>
      </c>
      <c r="F304" s="153">
        <v>0.2</v>
      </c>
      <c r="G304" s="150"/>
      <c r="H304" s="160" t="s">
        <v>1871</v>
      </c>
      <c r="I304" s="153">
        <v>0.05</v>
      </c>
      <c r="J304" s="150"/>
      <c r="K304" s="160" t="s">
        <v>1596</v>
      </c>
      <c r="L304" s="153">
        <v>0.3</v>
      </c>
    </row>
    <row r="305" spans="2:12" x14ac:dyDescent="0.25">
      <c r="B305" s="160" t="s">
        <v>1871</v>
      </c>
      <c r="C305" s="153">
        <v>0.05</v>
      </c>
      <c r="D305" s="150"/>
      <c r="E305" s="160" t="s">
        <v>1871</v>
      </c>
      <c r="F305" s="153">
        <v>0.05</v>
      </c>
      <c r="G305" s="150"/>
      <c r="H305" s="160" t="s">
        <v>1596</v>
      </c>
      <c r="I305" s="153">
        <v>0.3</v>
      </c>
      <c r="J305" s="150"/>
      <c r="K305" s="160" t="s">
        <v>1871</v>
      </c>
      <c r="L305" s="153">
        <v>0.05</v>
      </c>
    </row>
    <row r="306" spans="2:12" x14ac:dyDescent="0.25">
      <c r="B306" s="160" t="s">
        <v>1598</v>
      </c>
      <c r="C306" s="153">
        <v>0.1</v>
      </c>
      <c r="D306" s="150"/>
      <c r="E306" s="160" t="s">
        <v>1608</v>
      </c>
      <c r="F306" s="153">
        <v>0.1</v>
      </c>
      <c r="G306" s="150"/>
      <c r="H306" s="160" t="s">
        <v>1603</v>
      </c>
      <c r="I306" s="153">
        <v>0.17499999999999999</v>
      </c>
      <c r="J306" s="150"/>
      <c r="K306" s="160" t="s">
        <v>1600</v>
      </c>
      <c r="L306" s="153">
        <v>1</v>
      </c>
    </row>
    <row r="307" spans="2:12" x14ac:dyDescent="0.25">
      <c r="B307" s="160" t="s">
        <v>1767</v>
      </c>
      <c r="C307" s="153">
        <v>0.1</v>
      </c>
      <c r="D307" s="150"/>
      <c r="E307" s="160" t="s">
        <v>1881</v>
      </c>
      <c r="F307" s="153">
        <v>0.2</v>
      </c>
      <c r="G307" s="150"/>
      <c r="H307" s="160" t="s">
        <v>147</v>
      </c>
      <c r="I307" s="153">
        <v>0.1</v>
      </c>
      <c r="J307" s="150"/>
      <c r="K307" s="160" t="s">
        <v>1887</v>
      </c>
      <c r="L307" s="153">
        <v>0.15</v>
      </c>
    </row>
    <row r="308" spans="2:12" x14ac:dyDescent="0.25">
      <c r="B308" s="160" t="s">
        <v>1601</v>
      </c>
      <c r="C308" s="153">
        <v>0.15</v>
      </c>
      <c r="D308" s="150"/>
      <c r="E308" s="160" t="s">
        <v>1882</v>
      </c>
      <c r="F308" s="153">
        <v>0.1</v>
      </c>
      <c r="G308" s="150"/>
      <c r="H308" s="160" t="s">
        <v>1908</v>
      </c>
      <c r="I308" s="153">
        <v>0.125</v>
      </c>
      <c r="J308" s="150"/>
      <c r="K308" s="160" t="s">
        <v>1888</v>
      </c>
      <c r="L308" s="153">
        <v>0.5</v>
      </c>
    </row>
    <row r="309" spans="2:12" x14ac:dyDescent="0.25">
      <c r="B309" s="160" t="s">
        <v>1604</v>
      </c>
      <c r="C309" s="153">
        <v>0.2</v>
      </c>
      <c r="D309" s="150"/>
      <c r="E309" s="160" t="s">
        <v>1607</v>
      </c>
      <c r="F309" s="153">
        <v>0.1</v>
      </c>
      <c r="G309" s="150"/>
      <c r="H309" s="160" t="s">
        <v>1608</v>
      </c>
      <c r="I309" s="153">
        <v>7.4999999999999997E-2</v>
      </c>
      <c r="J309" s="150"/>
      <c r="K309" s="160" t="s">
        <v>1610</v>
      </c>
      <c r="L309" s="153">
        <v>0.2</v>
      </c>
    </row>
    <row r="310" spans="2:12" x14ac:dyDescent="0.25">
      <c r="B310" s="160" t="s">
        <v>1872</v>
      </c>
      <c r="C310" s="153">
        <v>0.35</v>
      </c>
      <c r="D310" s="150"/>
      <c r="E310" s="160" t="s">
        <v>1605</v>
      </c>
      <c r="F310" s="153">
        <v>0.27500000000000002</v>
      </c>
      <c r="G310" s="150"/>
      <c r="H310" s="160" t="s">
        <v>1909</v>
      </c>
      <c r="I310" s="153">
        <v>0.15</v>
      </c>
      <c r="J310" s="150"/>
      <c r="K310" s="160" t="s">
        <v>1612</v>
      </c>
      <c r="L310" s="153">
        <v>0.1</v>
      </c>
    </row>
    <row r="311" spans="2:12" x14ac:dyDescent="0.25">
      <c r="B311" s="160" t="s">
        <v>1873</v>
      </c>
      <c r="C311" s="153">
        <v>0.8</v>
      </c>
      <c r="D311" s="150"/>
      <c r="E311" s="160" t="s">
        <v>1609</v>
      </c>
      <c r="F311" s="153">
        <v>0.7</v>
      </c>
      <c r="G311" s="150"/>
      <c r="H311" s="160" t="s">
        <v>1611</v>
      </c>
      <c r="I311" s="153">
        <v>0.25</v>
      </c>
      <c r="J311" s="150"/>
      <c r="K311" s="160" t="s">
        <v>2396</v>
      </c>
      <c r="L311" s="153">
        <v>0.3</v>
      </c>
    </row>
    <row r="312" spans="2:12" x14ac:dyDescent="0.25">
      <c r="B312" s="160" t="s">
        <v>1874</v>
      </c>
      <c r="C312" s="153">
        <v>0.6</v>
      </c>
      <c r="D312" s="150"/>
      <c r="E312" s="160" t="s">
        <v>1602</v>
      </c>
      <c r="F312" s="153">
        <v>0.5</v>
      </c>
      <c r="G312" s="150"/>
      <c r="H312" s="160" t="s">
        <v>1606</v>
      </c>
      <c r="I312" s="153">
        <v>0.2</v>
      </c>
      <c r="J312" s="150"/>
      <c r="K312" s="160" t="s">
        <v>2397</v>
      </c>
      <c r="L312" s="153">
        <v>0.125</v>
      </c>
    </row>
    <row r="313" spans="2:12" x14ac:dyDescent="0.25">
      <c r="B313" s="160" t="s">
        <v>400</v>
      </c>
      <c r="C313" s="153">
        <v>7.4999999999999997E-2</v>
      </c>
      <c r="D313" s="150"/>
      <c r="E313" s="160"/>
      <c r="F313" s="153"/>
      <c r="G313" s="150"/>
      <c r="H313" s="160" t="s">
        <v>2409</v>
      </c>
      <c r="I313" s="153">
        <v>0.15</v>
      </c>
      <c r="J313" s="150"/>
      <c r="K313" s="160" t="s">
        <v>141</v>
      </c>
      <c r="L313" s="153">
        <v>0.17499999999999999</v>
      </c>
    </row>
    <row r="314" spans="2:12" x14ac:dyDescent="0.25">
      <c r="B314" s="160"/>
      <c r="C314" s="153"/>
      <c r="D314" s="150"/>
      <c r="E314" s="160"/>
      <c r="F314" s="153"/>
      <c r="G314" s="150"/>
      <c r="H314" s="160" t="s">
        <v>2410</v>
      </c>
      <c r="I314" s="153">
        <v>1.1000000000000001</v>
      </c>
      <c r="J314" s="150"/>
      <c r="K314" s="160" t="s">
        <v>1615</v>
      </c>
      <c r="L314" s="153">
        <v>0.22500000000000001</v>
      </c>
    </row>
    <row r="315" spans="2:12" x14ac:dyDescent="0.25">
      <c r="B315" s="160"/>
      <c r="C315" s="153"/>
      <c r="D315" s="150"/>
      <c r="E315" s="160"/>
      <c r="F315" s="153"/>
      <c r="G315" s="150"/>
      <c r="H315" s="160" t="s">
        <v>2411</v>
      </c>
      <c r="I315" s="153">
        <v>0.9</v>
      </c>
      <c r="J315" s="150"/>
      <c r="K315" s="160" t="s">
        <v>1616</v>
      </c>
      <c r="L315" s="153">
        <v>0.1</v>
      </c>
    </row>
    <row r="316" spans="2:12" x14ac:dyDescent="0.25">
      <c r="B316" s="160"/>
      <c r="C316" s="153"/>
      <c r="D316" s="150"/>
      <c r="E316" s="160"/>
      <c r="F316" s="153"/>
      <c r="G316" s="150"/>
      <c r="H316" s="160" t="s">
        <v>1597</v>
      </c>
      <c r="I316" s="153">
        <v>0.27500000000000002</v>
      </c>
      <c r="J316" s="150"/>
      <c r="K316" s="160" t="s">
        <v>1893</v>
      </c>
      <c r="L316" s="153">
        <v>0.4</v>
      </c>
    </row>
    <row r="317" spans="2:12" x14ac:dyDescent="0.25">
      <c r="B317" s="160"/>
      <c r="C317" s="153"/>
      <c r="D317" s="150"/>
      <c r="E317" s="160"/>
      <c r="F317" s="153"/>
      <c r="G317" s="150"/>
      <c r="H317" s="160" t="s">
        <v>1599</v>
      </c>
      <c r="I317" s="153">
        <v>0.22500000000000001</v>
      </c>
      <c r="J317" s="150"/>
      <c r="K317" s="160" t="s">
        <v>2398</v>
      </c>
      <c r="L317" s="153">
        <v>0.6</v>
      </c>
    </row>
    <row r="318" spans="2:12" x14ac:dyDescent="0.25">
      <c r="B318" s="160"/>
      <c r="C318" s="153"/>
      <c r="D318" s="150"/>
      <c r="E318" s="160"/>
      <c r="F318" s="153"/>
      <c r="G318" s="150"/>
      <c r="H318" s="160" t="s">
        <v>1613</v>
      </c>
      <c r="I318" s="153">
        <v>0.4</v>
      </c>
      <c r="J318" s="150"/>
      <c r="K318" s="160" t="s">
        <v>1889</v>
      </c>
      <c r="L318" s="153">
        <v>0.05</v>
      </c>
    </row>
    <row r="319" spans="2:12" x14ac:dyDescent="0.25">
      <c r="B319" s="160"/>
      <c r="C319" s="153"/>
      <c r="D319" s="150"/>
      <c r="E319" s="160"/>
      <c r="F319" s="153"/>
      <c r="G319" s="150"/>
      <c r="H319" s="160" t="s">
        <v>1907</v>
      </c>
      <c r="I319" s="153">
        <v>0.7</v>
      </c>
      <c r="J319" s="150"/>
      <c r="K319" s="160" t="s">
        <v>1886</v>
      </c>
      <c r="L319" s="153">
        <v>0.1</v>
      </c>
    </row>
    <row r="320" spans="2:12" x14ac:dyDescent="0.25">
      <c r="B320" s="160"/>
      <c r="C320" s="153"/>
      <c r="D320" s="150"/>
      <c r="E320" s="160"/>
      <c r="F320" s="153"/>
      <c r="G320" s="150"/>
      <c r="H320" s="160" t="s">
        <v>2412</v>
      </c>
      <c r="I320" s="153">
        <v>1</v>
      </c>
      <c r="J320" s="150"/>
      <c r="K320" s="160" t="s">
        <v>1614</v>
      </c>
      <c r="L320" s="153">
        <v>0.1</v>
      </c>
    </row>
    <row r="321" spans="2:12" x14ac:dyDescent="0.25">
      <c r="B321" s="160"/>
      <c r="C321" s="153"/>
      <c r="D321" s="150"/>
      <c r="E321" s="160"/>
      <c r="F321" s="153"/>
      <c r="G321" s="150"/>
      <c r="H321" s="160" t="s">
        <v>2413</v>
      </c>
      <c r="I321" s="153">
        <v>0.5</v>
      </c>
      <c r="J321" s="150"/>
      <c r="K321" s="160" t="s">
        <v>1890</v>
      </c>
      <c r="L321" s="153">
        <v>0.15</v>
      </c>
    </row>
    <row r="322" spans="2:12" x14ac:dyDescent="0.25">
      <c r="B322" s="160"/>
      <c r="C322" s="153"/>
      <c r="D322" s="150"/>
      <c r="E322" s="160"/>
      <c r="F322" s="153"/>
      <c r="G322" s="150"/>
      <c r="H322" s="160"/>
      <c r="I322" s="153"/>
      <c r="J322" s="150"/>
      <c r="K322" s="160" t="s">
        <v>2399</v>
      </c>
      <c r="L322" s="153">
        <v>0.3</v>
      </c>
    </row>
    <row r="323" spans="2:12" x14ac:dyDescent="0.25">
      <c r="B323" s="160"/>
      <c r="C323" s="153"/>
      <c r="D323" s="150"/>
      <c r="E323" s="160"/>
      <c r="F323" s="153"/>
      <c r="G323" s="150"/>
      <c r="H323" s="160"/>
      <c r="I323" s="153"/>
      <c r="J323" s="150"/>
      <c r="K323" s="160" t="s">
        <v>2400</v>
      </c>
      <c r="L323" s="153">
        <v>0.4</v>
      </c>
    </row>
    <row r="324" spans="2:12" x14ac:dyDescent="0.25">
      <c r="B324" s="160"/>
      <c r="C324" s="153"/>
      <c r="D324" s="150"/>
      <c r="E324" s="160"/>
      <c r="F324" s="153"/>
      <c r="G324" s="150"/>
      <c r="H324" s="160"/>
      <c r="I324" s="153"/>
      <c r="J324" s="150"/>
      <c r="K324" s="160" t="s">
        <v>1891</v>
      </c>
      <c r="L324" s="153">
        <v>0.35</v>
      </c>
    </row>
    <row r="325" spans="2:12" x14ac:dyDescent="0.25">
      <c r="B325" s="160"/>
      <c r="C325" s="153"/>
      <c r="D325" s="150"/>
      <c r="E325" s="160"/>
      <c r="F325" s="153"/>
      <c r="G325" s="150"/>
      <c r="H325" s="160"/>
      <c r="I325" s="153"/>
      <c r="J325" s="150"/>
      <c r="K325" s="160" t="s">
        <v>2401</v>
      </c>
      <c r="L325" s="153">
        <v>0.15</v>
      </c>
    </row>
    <row r="326" spans="2:12" x14ac:dyDescent="0.25">
      <c r="B326" s="160"/>
      <c r="C326" s="153"/>
      <c r="D326" s="150"/>
      <c r="E326" s="160"/>
      <c r="F326" s="153"/>
      <c r="G326" s="150"/>
      <c r="H326" s="160"/>
      <c r="I326" s="153"/>
      <c r="J326" s="150"/>
      <c r="K326" s="160" t="s">
        <v>2402</v>
      </c>
      <c r="L326" s="153">
        <v>0.32500000000000001</v>
      </c>
    </row>
    <row r="327" spans="2:12" x14ac:dyDescent="0.25">
      <c r="B327" s="160"/>
      <c r="C327" s="153"/>
      <c r="D327" s="150"/>
      <c r="E327" s="160"/>
      <c r="F327" s="153"/>
      <c r="G327" s="150"/>
      <c r="H327" s="160"/>
      <c r="I327" s="153"/>
      <c r="J327" s="150"/>
      <c r="K327" s="160" t="s">
        <v>1609</v>
      </c>
      <c r="L327" s="153">
        <v>0.25</v>
      </c>
    </row>
    <row r="328" spans="2:12" x14ac:dyDescent="0.25">
      <c r="B328" s="160"/>
      <c r="C328" s="153"/>
      <c r="D328" s="150"/>
      <c r="E328" s="160"/>
      <c r="F328" s="153"/>
      <c r="G328" s="150"/>
      <c r="H328" s="160"/>
      <c r="I328" s="153"/>
      <c r="J328" s="150"/>
      <c r="K328" s="160" t="s">
        <v>2403</v>
      </c>
      <c r="L328" s="153">
        <v>0.15</v>
      </c>
    </row>
    <row r="329" spans="2:12" x14ac:dyDescent="0.25">
      <c r="B329" s="160"/>
      <c r="C329" s="153"/>
      <c r="D329" s="150"/>
      <c r="E329" s="160"/>
      <c r="F329" s="153"/>
      <c r="G329" s="150"/>
      <c r="H329" s="160"/>
      <c r="I329" s="153"/>
      <c r="J329" s="150"/>
      <c r="K329" s="160" t="s">
        <v>2404</v>
      </c>
      <c r="L329" s="153">
        <v>0.27500000000000002</v>
      </c>
    </row>
    <row r="330" spans="2:12" x14ac:dyDescent="0.25">
      <c r="B330" s="160"/>
      <c r="C330" s="153"/>
      <c r="D330" s="150"/>
      <c r="E330" s="160"/>
      <c r="F330" s="153"/>
      <c r="G330" s="150"/>
      <c r="H330" s="160"/>
      <c r="I330" s="153"/>
      <c r="J330" s="150"/>
      <c r="K330" s="160" t="s">
        <v>1617</v>
      </c>
      <c r="L330" s="153">
        <v>0.05</v>
      </c>
    </row>
    <row r="331" spans="2:12" x14ac:dyDescent="0.25">
      <c r="B331" s="160"/>
      <c r="C331" s="153"/>
      <c r="D331" s="150"/>
      <c r="E331" s="160"/>
      <c r="F331" s="153"/>
      <c r="G331" s="150"/>
      <c r="H331" s="160"/>
      <c r="I331" s="153"/>
      <c r="J331" s="150"/>
      <c r="K331" s="160" t="s">
        <v>1892</v>
      </c>
      <c r="L331" s="153">
        <v>0.15</v>
      </c>
    </row>
    <row r="332" spans="2:12" x14ac:dyDescent="0.25">
      <c r="B332" s="160"/>
      <c r="C332" s="153"/>
      <c r="D332" s="150"/>
      <c r="E332" s="160"/>
      <c r="F332" s="153"/>
      <c r="G332" s="150"/>
      <c r="H332" s="160"/>
      <c r="I332" s="153"/>
      <c r="J332" s="150"/>
      <c r="K332" s="160"/>
      <c r="L332" s="153"/>
    </row>
    <row r="336" spans="2:12" ht="15.75" x14ac:dyDescent="0.25">
      <c r="B336" s="400" t="s">
        <v>1621</v>
      </c>
      <c r="C336" s="402"/>
      <c r="D336" s="401"/>
    </row>
    <row r="337" spans="2:4" ht="26.25" x14ac:dyDescent="0.25">
      <c r="B337" s="163" t="s">
        <v>1618</v>
      </c>
      <c r="C337" s="157" t="s">
        <v>1619</v>
      </c>
      <c r="D337" s="157" t="s">
        <v>1620</v>
      </c>
    </row>
    <row r="338" spans="2:4" x14ac:dyDescent="0.25">
      <c r="B338" s="162"/>
      <c r="C338" s="156"/>
      <c r="D338" s="153"/>
    </row>
    <row r="339" spans="2:4" x14ac:dyDescent="0.25">
      <c r="B339" s="162" t="s">
        <v>1735</v>
      </c>
      <c r="C339" s="156" t="s">
        <v>1734</v>
      </c>
      <c r="D339" s="153">
        <v>0</v>
      </c>
    </row>
    <row r="340" spans="2:4" x14ac:dyDescent="0.25">
      <c r="B340" s="162" t="s">
        <v>1736</v>
      </c>
      <c r="C340" s="156" t="s">
        <v>1734</v>
      </c>
      <c r="D340" s="153">
        <v>0</v>
      </c>
    </row>
    <row r="341" spans="2:4" x14ac:dyDescent="0.25">
      <c r="B341" s="162" t="s">
        <v>1737</v>
      </c>
      <c r="C341" s="156" t="s">
        <v>1734</v>
      </c>
      <c r="D341" s="153">
        <v>0</v>
      </c>
    </row>
    <row r="342" spans="2:4" x14ac:dyDescent="0.25">
      <c r="B342" s="162" t="s">
        <v>1738</v>
      </c>
      <c r="C342" s="156" t="s">
        <v>1734</v>
      </c>
      <c r="D342" s="153">
        <v>0</v>
      </c>
    </row>
    <row r="343" spans="2:4" x14ac:dyDescent="0.25">
      <c r="B343" s="162" t="s">
        <v>1763</v>
      </c>
      <c r="C343" s="156" t="s">
        <v>1721</v>
      </c>
      <c r="D343" s="153">
        <v>0</v>
      </c>
    </row>
    <row r="344" spans="2:4" x14ac:dyDescent="0.25">
      <c r="B344" s="162" t="s">
        <v>1764</v>
      </c>
      <c r="C344" s="156" t="s">
        <v>1734</v>
      </c>
      <c r="D344" s="153">
        <v>1</v>
      </c>
    </row>
    <row r="345" spans="2:4" x14ac:dyDescent="0.25">
      <c r="B345" s="162" t="s">
        <v>1765</v>
      </c>
      <c r="C345" s="156" t="s">
        <v>1721</v>
      </c>
      <c r="D345" s="153">
        <v>0</v>
      </c>
    </row>
    <row r="346" spans="2:4" x14ac:dyDescent="0.25">
      <c r="B346" s="162" t="s">
        <v>1766</v>
      </c>
      <c r="C346" s="156" t="s">
        <v>1734</v>
      </c>
      <c r="D346" s="153">
        <v>1</v>
      </c>
    </row>
    <row r="347" spans="2:4" x14ac:dyDescent="0.25">
      <c r="B347" s="162" t="s">
        <v>1739</v>
      </c>
      <c r="C347" s="156" t="s">
        <v>1734</v>
      </c>
      <c r="D347" s="153">
        <v>1</v>
      </c>
    </row>
    <row r="348" spans="2:4" x14ac:dyDescent="0.25">
      <c r="B348" s="162" t="s">
        <v>1740</v>
      </c>
      <c r="C348" s="156" t="s">
        <v>1734</v>
      </c>
      <c r="D348" s="153">
        <v>1</v>
      </c>
    </row>
    <row r="349" spans="2:4" x14ac:dyDescent="0.25">
      <c r="B349" s="162" t="s">
        <v>1741</v>
      </c>
      <c r="C349" s="156" t="s">
        <v>1734</v>
      </c>
      <c r="D349" s="153">
        <v>1</v>
      </c>
    </row>
    <row r="350" spans="2:4" x14ac:dyDescent="0.25">
      <c r="B350" s="162" t="s">
        <v>1742</v>
      </c>
      <c r="C350" s="156" t="s">
        <v>1734</v>
      </c>
      <c r="D350" s="153">
        <v>1</v>
      </c>
    </row>
    <row r="351" spans="2:4" x14ac:dyDescent="0.25">
      <c r="B351" s="162" t="s">
        <v>1743</v>
      </c>
      <c r="C351" s="156" t="s">
        <v>1734</v>
      </c>
      <c r="D351" s="153">
        <v>1</v>
      </c>
    </row>
    <row r="352" spans="2:4" x14ac:dyDescent="0.25">
      <c r="B352" s="162" t="s">
        <v>1744</v>
      </c>
      <c r="C352" s="156" t="s">
        <v>1721</v>
      </c>
      <c r="D352" s="153">
        <v>0</v>
      </c>
    </row>
    <row r="353" spans="2:4" x14ac:dyDescent="0.25">
      <c r="B353" s="162" t="s">
        <v>1745</v>
      </c>
      <c r="C353" s="156" t="s">
        <v>1734</v>
      </c>
      <c r="D353" s="153">
        <v>1</v>
      </c>
    </row>
    <row r="354" spans="2:4" x14ac:dyDescent="0.25">
      <c r="B354" s="162" t="s">
        <v>1746</v>
      </c>
      <c r="C354" s="156" t="s">
        <v>1721</v>
      </c>
      <c r="D354" s="153">
        <v>0</v>
      </c>
    </row>
    <row r="355" spans="2:4" x14ac:dyDescent="0.25">
      <c r="B355" s="162" t="s">
        <v>1747</v>
      </c>
      <c r="C355" s="156" t="s">
        <v>1734</v>
      </c>
      <c r="D355" s="153">
        <v>1</v>
      </c>
    </row>
    <row r="356" spans="2:4" x14ac:dyDescent="0.25">
      <c r="B356" s="162" t="s">
        <v>1748</v>
      </c>
      <c r="C356" s="156" t="s">
        <v>1734</v>
      </c>
      <c r="D356" s="153">
        <v>1</v>
      </c>
    </row>
    <row r="357" spans="2:4" x14ac:dyDescent="0.25">
      <c r="B357" s="162" t="s">
        <v>1749</v>
      </c>
      <c r="C357" s="156" t="s">
        <v>1734</v>
      </c>
      <c r="D357" s="153">
        <v>1</v>
      </c>
    </row>
    <row r="358" spans="2:4" x14ac:dyDescent="0.25">
      <c r="B358" s="162" t="s">
        <v>1750</v>
      </c>
      <c r="C358" s="156" t="s">
        <v>1734</v>
      </c>
      <c r="D358" s="153">
        <v>1</v>
      </c>
    </row>
    <row r="359" spans="2:4" x14ac:dyDescent="0.25">
      <c r="B359" s="162" t="s">
        <v>1751</v>
      </c>
      <c r="C359" s="156" t="s">
        <v>1734</v>
      </c>
      <c r="D359" s="153">
        <v>0</v>
      </c>
    </row>
    <row r="360" spans="2:4" x14ac:dyDescent="0.25">
      <c r="B360" s="162" t="s">
        <v>1752</v>
      </c>
      <c r="C360" s="156" t="s">
        <v>1734</v>
      </c>
      <c r="D360" s="153">
        <v>0</v>
      </c>
    </row>
    <row r="361" spans="2:4" x14ac:dyDescent="0.25">
      <c r="B361" s="162" t="s">
        <v>1753</v>
      </c>
      <c r="C361" s="156" t="s">
        <v>1734</v>
      </c>
      <c r="D361" s="153">
        <v>0</v>
      </c>
    </row>
    <row r="362" spans="2:4" x14ac:dyDescent="0.25">
      <c r="B362" s="162" t="s">
        <v>1754</v>
      </c>
      <c r="C362" s="156" t="s">
        <v>1734</v>
      </c>
      <c r="D362" s="153">
        <v>0</v>
      </c>
    </row>
    <row r="363" spans="2:4" x14ac:dyDescent="0.25">
      <c r="B363" s="162" t="s">
        <v>1755</v>
      </c>
      <c r="C363" s="156" t="s">
        <v>1734</v>
      </c>
      <c r="D363" s="153">
        <v>0</v>
      </c>
    </row>
    <row r="364" spans="2:4" x14ac:dyDescent="0.25">
      <c r="B364" s="162" t="s">
        <v>1756</v>
      </c>
      <c r="C364" s="156" t="s">
        <v>1721</v>
      </c>
      <c r="D364" s="153">
        <v>0</v>
      </c>
    </row>
    <row r="365" spans="2:4" x14ac:dyDescent="0.25">
      <c r="B365" s="162" t="s">
        <v>1757</v>
      </c>
      <c r="C365" s="156" t="s">
        <v>1734</v>
      </c>
      <c r="D365" s="153">
        <v>0</v>
      </c>
    </row>
    <row r="366" spans="2:4" x14ac:dyDescent="0.25">
      <c r="B366" s="162" t="s">
        <v>1758</v>
      </c>
      <c r="C366" s="156" t="s">
        <v>1721</v>
      </c>
      <c r="D366" s="153">
        <v>0</v>
      </c>
    </row>
    <row r="367" spans="2:4" x14ac:dyDescent="0.25">
      <c r="B367" s="162" t="s">
        <v>1759</v>
      </c>
      <c r="C367" s="156" t="s">
        <v>1721</v>
      </c>
      <c r="D367" s="153">
        <v>0</v>
      </c>
    </row>
    <row r="368" spans="2:4" x14ac:dyDescent="0.25">
      <c r="B368" s="162" t="s">
        <v>1760</v>
      </c>
      <c r="C368" s="156" t="s">
        <v>1734</v>
      </c>
      <c r="D368" s="153">
        <v>0</v>
      </c>
    </row>
    <row r="369" spans="2:4" x14ac:dyDescent="0.25">
      <c r="B369" s="162" t="s">
        <v>1761</v>
      </c>
      <c r="C369" s="156" t="s">
        <v>1734</v>
      </c>
      <c r="D369" s="153">
        <v>0</v>
      </c>
    </row>
    <row r="370" spans="2:4" x14ac:dyDescent="0.25">
      <c r="B370" s="162" t="s">
        <v>1762</v>
      </c>
      <c r="C370" s="156" t="s">
        <v>1734</v>
      </c>
      <c r="D370" s="153">
        <v>0</v>
      </c>
    </row>
    <row r="371" spans="2:4" x14ac:dyDescent="0.25">
      <c r="B371" s="162"/>
      <c r="C371" s="156"/>
      <c r="D371" s="153"/>
    </row>
    <row r="372" spans="2:4" x14ac:dyDescent="0.25">
      <c r="B372" s="162"/>
      <c r="C372" s="156"/>
      <c r="D372" s="153"/>
    </row>
    <row r="373" spans="2:4" x14ac:dyDescent="0.25">
      <c r="B373" s="162"/>
      <c r="C373" s="156"/>
      <c r="D373" s="153"/>
    </row>
    <row r="374" spans="2:4" x14ac:dyDescent="0.25">
      <c r="B374" s="162"/>
      <c r="C374" s="156"/>
      <c r="D374" s="153"/>
    </row>
    <row r="375" spans="2:4" x14ac:dyDescent="0.25">
      <c r="B375" s="162"/>
      <c r="C375" s="156"/>
      <c r="D375" s="153"/>
    </row>
    <row r="376" spans="2:4" x14ac:dyDescent="0.25">
      <c r="B376" s="162"/>
      <c r="C376" s="156"/>
      <c r="D376" s="153"/>
    </row>
    <row r="377" spans="2:4" x14ac:dyDescent="0.25">
      <c r="B377" s="162"/>
      <c r="C377" s="156"/>
      <c r="D377" s="153"/>
    </row>
  </sheetData>
  <sortState xmlns:xlrd2="http://schemas.microsoft.com/office/spreadsheetml/2017/richdata2" ref="B339:D374">
    <sortCondition ref="B339:B374"/>
  </sortState>
  <mergeCells count="44">
    <mergeCell ref="B102:P102"/>
    <mergeCell ref="B148:P148"/>
    <mergeCell ref="B1:L1"/>
    <mergeCell ref="B35:L35"/>
    <mergeCell ref="B78:L78"/>
    <mergeCell ref="J103:L103"/>
    <mergeCell ref="N103:P103"/>
    <mergeCell ref="B79:C79"/>
    <mergeCell ref="E79:F79"/>
    <mergeCell ref="H79:I79"/>
    <mergeCell ref="K79:L79"/>
    <mergeCell ref="B103:D103"/>
    <mergeCell ref="F103:H103"/>
    <mergeCell ref="B2:C2"/>
    <mergeCell ref="E2:F2"/>
    <mergeCell ref="H2:I2"/>
    <mergeCell ref="B336:D336"/>
    <mergeCell ref="B300:L300"/>
    <mergeCell ref="B224:L224"/>
    <mergeCell ref="B195:L195"/>
    <mergeCell ref="B225:C225"/>
    <mergeCell ref="E225:F225"/>
    <mergeCell ref="H225:I225"/>
    <mergeCell ref="K225:L225"/>
    <mergeCell ref="B301:C301"/>
    <mergeCell ref="E301:F301"/>
    <mergeCell ref="H301:I301"/>
    <mergeCell ref="K301:L301"/>
    <mergeCell ref="B149:D149"/>
    <mergeCell ref="F149:H149"/>
    <mergeCell ref="J149:L149"/>
    <mergeCell ref="N149:P149"/>
    <mergeCell ref="B196:C196"/>
    <mergeCell ref="E196:F196"/>
    <mergeCell ref="H196:I196"/>
    <mergeCell ref="K196:L196"/>
    <mergeCell ref="U2:AE2"/>
    <mergeCell ref="U29:AC29"/>
    <mergeCell ref="Q2:R2"/>
    <mergeCell ref="K2:L2"/>
    <mergeCell ref="B36:C36"/>
    <mergeCell ref="E36:F36"/>
    <mergeCell ref="H36:I36"/>
    <mergeCell ref="K36:L36"/>
  </mergeCells>
  <pageMargins left="0.7" right="0.7" top="0.75" bottom="0.75" header="0.3" footer="0.3"/>
  <pageSetup paperSize="9" orientation="portrait" r:id="rId1"/>
  <rowBreaks count="4" manualBreakCount="4">
    <brk id="33" max="12" man="1"/>
    <brk id="75" max="12" man="1"/>
    <brk id="145" max="12" man="1"/>
    <brk id="219"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J500"/>
  <sheetViews>
    <sheetView zoomScaleNormal="100" workbookViewId="0"/>
  </sheetViews>
  <sheetFormatPr defaultRowHeight="15" x14ac:dyDescent="0.25"/>
  <cols>
    <col min="1" max="1" width="9.140625" style="5"/>
    <col min="2" max="3" width="9.140625" style="3"/>
    <col min="4" max="4" width="11.140625" style="3" bestFit="1" customWidth="1"/>
    <col min="5" max="5" width="11.7109375" style="3" bestFit="1" customWidth="1"/>
    <col min="6" max="6" width="11.28515625" bestFit="1" customWidth="1"/>
    <col min="7" max="7" width="11.7109375" bestFit="1" customWidth="1"/>
    <col min="10" max="11" width="9.140625" style="5"/>
    <col min="14" max="14" width="8.7109375" style="3"/>
    <col min="15" max="15" width="9.140625" style="3"/>
    <col min="17" max="17" width="8.7109375" style="3"/>
    <col min="18" max="18" width="9.140625" style="3"/>
    <col min="20" max="20" width="8.7109375" style="3"/>
    <col min="21" max="21" width="9.140625" style="3"/>
    <col min="23" max="23" width="8.7109375" style="3"/>
    <col min="24" max="24" width="11.140625" bestFit="1" customWidth="1"/>
    <col min="25" max="25" width="11.7109375" bestFit="1" customWidth="1"/>
    <col min="26" max="31" width="11.7109375" customWidth="1"/>
  </cols>
  <sheetData>
    <row r="1" spans="1:36" x14ac:dyDescent="0.25">
      <c r="A1" s="6"/>
      <c r="B1" s="393" t="e">
        <f>INDEX(Data!$V$3:$V$38,MATCH('Coach Card'!$BU$9,Data!$G$3:$G$38,0))</f>
        <v>#N/A</v>
      </c>
      <c r="C1" s="393"/>
      <c r="D1" s="393" t="e">
        <f>IF('Coach Card'!$F$8&lt;&gt;"Open Team Acrobatic",INDEX(Data!$V$3:$V$38,MATCH('Coach Card'!$BU$9,Data!$G$3:$G$38,0)),"")</f>
        <v>#N/A</v>
      </c>
      <c r="E1" s="393"/>
      <c r="F1" s="393" t="s">
        <v>1977</v>
      </c>
      <c r="G1" s="393"/>
      <c r="J1" s="6"/>
      <c r="K1" s="6"/>
      <c r="L1" s="1"/>
      <c r="M1" s="393" t="s">
        <v>74</v>
      </c>
      <c r="N1" s="393"/>
      <c r="O1" s="1"/>
      <c r="P1" s="393" t="s">
        <v>75</v>
      </c>
      <c r="Q1" s="393"/>
      <c r="R1" s="1"/>
      <c r="S1" s="393" t="s">
        <v>76</v>
      </c>
      <c r="T1" s="393"/>
      <c r="U1" s="1"/>
      <c r="V1" s="393" t="s">
        <v>77</v>
      </c>
      <c r="W1" s="393"/>
      <c r="X1" s="393" t="s">
        <v>74</v>
      </c>
      <c r="Y1" s="393"/>
      <c r="Z1" s="393" t="s">
        <v>75</v>
      </c>
      <c r="AA1" s="393"/>
      <c r="AB1" s="393" t="s">
        <v>76</v>
      </c>
      <c r="AC1" s="393"/>
      <c r="AD1" s="393" t="s">
        <v>77</v>
      </c>
      <c r="AE1" s="393"/>
    </row>
    <row r="2" spans="1:36" x14ac:dyDescent="0.25">
      <c r="A2" s="6" t="s">
        <v>1854</v>
      </c>
      <c r="B2" s="3" t="s">
        <v>67</v>
      </c>
      <c r="C2" s="3" t="s">
        <v>68</v>
      </c>
      <c r="D2" s="1" t="s">
        <v>69</v>
      </c>
      <c r="E2" s="1" t="s">
        <v>70</v>
      </c>
      <c r="F2" s="1" t="s">
        <v>69</v>
      </c>
      <c r="G2" s="1" t="s">
        <v>70</v>
      </c>
      <c r="L2" s="1" t="s">
        <v>1854</v>
      </c>
      <c r="M2" t="s">
        <v>67</v>
      </c>
      <c r="N2" s="3" t="s">
        <v>68</v>
      </c>
      <c r="O2" s="1" t="s">
        <v>1854</v>
      </c>
      <c r="P2" t="s">
        <v>67</v>
      </c>
      <c r="Q2" s="3" t="s">
        <v>68</v>
      </c>
      <c r="R2" s="1" t="s">
        <v>1854</v>
      </c>
      <c r="S2" t="s">
        <v>67</v>
      </c>
      <c r="T2" s="3" t="s">
        <v>68</v>
      </c>
      <c r="U2" s="1" t="s">
        <v>1854</v>
      </c>
      <c r="V2" t="s">
        <v>67</v>
      </c>
      <c r="W2" s="3" t="s">
        <v>68</v>
      </c>
      <c r="X2" t="s">
        <v>69</v>
      </c>
      <c r="Y2" t="s">
        <v>70</v>
      </c>
      <c r="Z2" t="s">
        <v>69</v>
      </c>
      <c r="AA2" t="s">
        <v>70</v>
      </c>
      <c r="AB2" t="s">
        <v>69</v>
      </c>
      <c r="AC2" t="s">
        <v>70</v>
      </c>
      <c r="AD2" t="s">
        <v>69</v>
      </c>
      <c r="AE2" t="s">
        <v>70</v>
      </c>
      <c r="AH2" t="s">
        <v>2265</v>
      </c>
      <c r="AI2" t="s">
        <v>2266</v>
      </c>
      <c r="AJ2" t="s">
        <v>2267</v>
      </c>
    </row>
    <row r="3" spans="1:36" x14ac:dyDescent="0.25">
      <c r="D3" s="1"/>
      <c r="E3" s="1"/>
      <c r="L3" s="1" t="s">
        <v>1771</v>
      </c>
      <c r="M3" t="s">
        <v>1638</v>
      </c>
      <c r="N3" s="3">
        <v>0.3</v>
      </c>
      <c r="O3" s="1" t="s">
        <v>1771</v>
      </c>
      <c r="P3" t="s">
        <v>1638</v>
      </c>
      <c r="Q3" s="3">
        <v>0.3</v>
      </c>
      <c r="R3" s="1" t="s">
        <v>1771</v>
      </c>
      <c r="S3" t="s">
        <v>1638</v>
      </c>
      <c r="T3" s="3">
        <v>0.3</v>
      </c>
      <c r="U3" s="1" t="s">
        <v>1771</v>
      </c>
      <c r="V3" t="s">
        <v>1638</v>
      </c>
      <c r="W3" s="3">
        <v>0.3</v>
      </c>
      <c r="Y3" s="3"/>
      <c r="AA3" s="3"/>
      <c r="AC3" s="3"/>
      <c r="AD3" t="s">
        <v>87</v>
      </c>
      <c r="AE3" s="3">
        <v>0.2</v>
      </c>
      <c r="AH3" t="s">
        <v>1638</v>
      </c>
      <c r="AI3" t="s">
        <v>1638</v>
      </c>
      <c r="AJ3">
        <v>1</v>
      </c>
    </row>
    <row r="4" spans="1:36" x14ac:dyDescent="0.25">
      <c r="A4" s="6" t="e">
        <f t="shared" ref="A4:B35" si="0">IF($B$1="Solo",IF(L3="","",L3),IF($B$1="Duet",IF(O3="","",O3),IF($B$1="Mixed",IF(R3="","",R3),IF(U3="","",U3))))</f>
        <v>#N/A</v>
      </c>
      <c r="B4" s="3" t="e">
        <f t="shared" si="0"/>
        <v>#N/A</v>
      </c>
      <c r="C4" s="3" t="e">
        <f t="shared" ref="C4:C35" si="1">IF($B$1="Solo",IF(N3="","",N3),IF($B$1="Duet",IF(Q3="","",Q3),IF($B$1="Mixed",IF(T3="","",T3),IF(W3="","",W3))))</f>
        <v>#N/A</v>
      </c>
      <c r="D4" s="3" t="e">
        <f>IF($D$1="Team",IF(AD3="","",AD3),"")</f>
        <v>#N/A</v>
      </c>
      <c r="E4" s="3" t="e">
        <f>IF($D$1="Team",IF(AE3="","",AE3),"")</f>
        <v>#N/A</v>
      </c>
      <c r="F4" t="s">
        <v>1638</v>
      </c>
      <c r="G4">
        <v>0.3</v>
      </c>
      <c r="L4" s="1" t="s">
        <v>1771</v>
      </c>
      <c r="M4" t="s">
        <v>56</v>
      </c>
      <c r="N4" s="3">
        <v>0.45</v>
      </c>
      <c r="O4" s="1" t="s">
        <v>1771</v>
      </c>
      <c r="P4" t="s">
        <v>56</v>
      </c>
      <c r="Q4" s="3">
        <v>0.45</v>
      </c>
      <c r="R4" s="1" t="s">
        <v>1771</v>
      </c>
      <c r="S4" t="s">
        <v>56</v>
      </c>
      <c r="T4" s="3">
        <v>0.45</v>
      </c>
      <c r="U4" s="1" t="s">
        <v>1771</v>
      </c>
      <c r="V4" t="s">
        <v>56</v>
      </c>
      <c r="W4" s="3">
        <v>0.45</v>
      </c>
      <c r="Y4" s="3"/>
      <c r="AA4" s="3"/>
      <c r="AC4" s="3"/>
      <c r="AD4" t="s">
        <v>88</v>
      </c>
      <c r="AE4" s="3">
        <v>0.4</v>
      </c>
      <c r="AH4" t="s">
        <v>56</v>
      </c>
      <c r="AI4" t="s">
        <v>56</v>
      </c>
      <c r="AJ4">
        <v>1</v>
      </c>
    </row>
    <row r="5" spans="1:36" x14ac:dyDescent="0.25">
      <c r="A5" s="6" t="e">
        <f t="shared" si="0"/>
        <v>#N/A</v>
      </c>
      <c r="B5" s="3" t="e">
        <f t="shared" si="0"/>
        <v>#N/A</v>
      </c>
      <c r="C5" s="3" t="e">
        <f t="shared" si="1"/>
        <v>#N/A</v>
      </c>
      <c r="D5" s="3" t="e">
        <f t="shared" ref="D5:D68" si="2">IF($D$1="Team",IF(AD4="","",AD4),"")</f>
        <v>#N/A</v>
      </c>
      <c r="E5" s="3" t="e">
        <f t="shared" ref="E5:E68" si="3">IF($D$1="Team",IF(AE4="","",AE4),"")</f>
        <v>#N/A</v>
      </c>
      <c r="F5" t="s">
        <v>56</v>
      </c>
      <c r="G5">
        <v>0.45</v>
      </c>
      <c r="L5" s="1" t="s">
        <v>1771</v>
      </c>
      <c r="M5" t="s">
        <v>1784</v>
      </c>
      <c r="N5" s="3">
        <v>0.5</v>
      </c>
      <c r="O5" s="1" t="s">
        <v>1771</v>
      </c>
      <c r="P5" t="s">
        <v>1784</v>
      </c>
      <c r="Q5" s="3">
        <v>0.5</v>
      </c>
      <c r="R5" s="1" t="s">
        <v>1771</v>
      </c>
      <c r="S5" t="s">
        <v>1784</v>
      </c>
      <c r="T5" s="3">
        <v>0.5</v>
      </c>
      <c r="U5" s="1" t="s">
        <v>1771</v>
      </c>
      <c r="V5" t="s">
        <v>1784</v>
      </c>
      <c r="W5" s="3">
        <v>0.5</v>
      </c>
      <c r="Y5" s="3"/>
      <c r="AA5" s="3"/>
      <c r="AC5" s="3"/>
      <c r="AD5" t="s">
        <v>89</v>
      </c>
      <c r="AE5" s="3">
        <v>0.6</v>
      </c>
      <c r="AH5" t="s">
        <v>1784</v>
      </c>
      <c r="AI5" t="s">
        <v>1784</v>
      </c>
      <c r="AJ5">
        <v>1</v>
      </c>
    </row>
    <row r="6" spans="1:36" x14ac:dyDescent="0.25">
      <c r="A6" s="6" t="e">
        <f t="shared" si="0"/>
        <v>#N/A</v>
      </c>
      <c r="B6" s="3" t="e">
        <f t="shared" si="0"/>
        <v>#N/A</v>
      </c>
      <c r="C6" s="3" t="e">
        <f t="shared" si="1"/>
        <v>#N/A</v>
      </c>
      <c r="D6" s="3" t="e">
        <f t="shared" si="2"/>
        <v>#N/A</v>
      </c>
      <c r="E6" s="3" t="e">
        <f t="shared" si="3"/>
        <v>#N/A</v>
      </c>
      <c r="F6" t="s">
        <v>1784</v>
      </c>
      <c r="G6">
        <v>0.5</v>
      </c>
      <c r="L6" s="1" t="s">
        <v>1771</v>
      </c>
      <c r="M6" t="s">
        <v>1785</v>
      </c>
      <c r="N6" s="3">
        <v>0.5</v>
      </c>
      <c r="O6" s="1" t="s">
        <v>1771</v>
      </c>
      <c r="P6" t="s">
        <v>1785</v>
      </c>
      <c r="Q6" s="3">
        <v>0.5</v>
      </c>
      <c r="R6" s="1" t="s">
        <v>1771</v>
      </c>
      <c r="S6" t="s">
        <v>1785</v>
      </c>
      <c r="T6" s="3">
        <v>0.5</v>
      </c>
      <c r="U6" s="1" t="s">
        <v>1771</v>
      </c>
      <c r="V6" t="s">
        <v>1785</v>
      </c>
      <c r="W6" s="3">
        <v>0.5</v>
      </c>
      <c r="Y6" s="3"/>
      <c r="AA6" s="3"/>
      <c r="AC6" s="3"/>
      <c r="AD6" t="s">
        <v>90</v>
      </c>
      <c r="AE6" s="3">
        <v>0.8</v>
      </c>
      <c r="AH6" t="s">
        <v>1785</v>
      </c>
      <c r="AI6" t="s">
        <v>1785</v>
      </c>
      <c r="AJ6">
        <v>1</v>
      </c>
    </row>
    <row r="7" spans="1:36" x14ac:dyDescent="0.25">
      <c r="A7" s="6" t="e">
        <f t="shared" si="0"/>
        <v>#N/A</v>
      </c>
      <c r="B7" s="3" t="e">
        <f t="shared" si="0"/>
        <v>#N/A</v>
      </c>
      <c r="C7" s="3" t="e">
        <f t="shared" si="1"/>
        <v>#N/A</v>
      </c>
      <c r="D7" s="3" t="e">
        <f t="shared" si="2"/>
        <v>#N/A</v>
      </c>
      <c r="E7" s="3" t="e">
        <f t="shared" si="3"/>
        <v>#N/A</v>
      </c>
      <c r="F7" t="s">
        <v>1785</v>
      </c>
      <c r="G7">
        <v>0.5</v>
      </c>
      <c r="L7" s="1" t="s">
        <v>1771</v>
      </c>
      <c r="M7" t="s">
        <v>1786</v>
      </c>
      <c r="N7" s="3">
        <v>0.65</v>
      </c>
      <c r="O7" s="1" t="s">
        <v>1771</v>
      </c>
      <c r="P7" t="s">
        <v>1786</v>
      </c>
      <c r="Q7" s="3">
        <v>0.65</v>
      </c>
      <c r="R7" s="1" t="s">
        <v>1771</v>
      </c>
      <c r="S7" t="s">
        <v>1786</v>
      </c>
      <c r="T7" s="3">
        <v>0.65</v>
      </c>
      <c r="U7" s="1" t="s">
        <v>1771</v>
      </c>
      <c r="V7" t="s">
        <v>1786</v>
      </c>
      <c r="W7" s="3">
        <v>0.65</v>
      </c>
      <c r="Y7" s="3"/>
      <c r="AA7" s="3"/>
      <c r="AC7" s="3"/>
      <c r="AD7" t="s">
        <v>91</v>
      </c>
      <c r="AE7" s="3">
        <v>1</v>
      </c>
      <c r="AH7" t="s">
        <v>1786</v>
      </c>
      <c r="AI7" t="s">
        <v>1786</v>
      </c>
      <c r="AJ7">
        <v>1</v>
      </c>
    </row>
    <row r="8" spans="1:36" x14ac:dyDescent="0.25">
      <c r="A8" s="6" t="e">
        <f t="shared" si="0"/>
        <v>#N/A</v>
      </c>
      <c r="B8" s="3" t="e">
        <f t="shared" si="0"/>
        <v>#N/A</v>
      </c>
      <c r="C8" s="3" t="e">
        <f t="shared" si="1"/>
        <v>#N/A</v>
      </c>
      <c r="D8" s="3" t="e">
        <f t="shared" si="2"/>
        <v>#N/A</v>
      </c>
      <c r="E8" s="3" t="e">
        <f t="shared" si="3"/>
        <v>#N/A</v>
      </c>
      <c r="F8" t="s">
        <v>1786</v>
      </c>
      <c r="G8">
        <v>0.65</v>
      </c>
      <c r="L8" s="1" t="s">
        <v>1771</v>
      </c>
      <c r="M8" t="s">
        <v>1787</v>
      </c>
      <c r="N8" s="3">
        <v>0.65</v>
      </c>
      <c r="O8" s="1" t="s">
        <v>1771</v>
      </c>
      <c r="P8" t="s">
        <v>1787</v>
      </c>
      <c r="Q8" s="3">
        <v>0.65</v>
      </c>
      <c r="R8" s="1" t="s">
        <v>1771</v>
      </c>
      <c r="S8" t="s">
        <v>1787</v>
      </c>
      <c r="T8" s="3">
        <v>0.65</v>
      </c>
      <c r="U8" s="1" t="s">
        <v>1771</v>
      </c>
      <c r="V8" t="s">
        <v>1787</v>
      </c>
      <c r="W8" s="3">
        <v>0.65</v>
      </c>
      <c r="Y8" s="3"/>
      <c r="AA8" s="3"/>
      <c r="AC8" s="3"/>
      <c r="AD8" t="s">
        <v>92</v>
      </c>
      <c r="AE8" s="3">
        <v>1.2</v>
      </c>
      <c r="AH8" t="s">
        <v>1787</v>
      </c>
      <c r="AI8" t="s">
        <v>1787</v>
      </c>
      <c r="AJ8">
        <v>1</v>
      </c>
    </row>
    <row r="9" spans="1:36" x14ac:dyDescent="0.25">
      <c r="A9" s="6" t="e">
        <f t="shared" si="0"/>
        <v>#N/A</v>
      </c>
      <c r="B9" s="3" t="e">
        <f t="shared" si="0"/>
        <v>#N/A</v>
      </c>
      <c r="C9" s="3" t="e">
        <f t="shared" si="1"/>
        <v>#N/A</v>
      </c>
      <c r="D9" s="3" t="e">
        <f t="shared" si="2"/>
        <v>#N/A</v>
      </c>
      <c r="E9" s="3" t="e">
        <f t="shared" si="3"/>
        <v>#N/A</v>
      </c>
      <c r="F9" t="s">
        <v>1787</v>
      </c>
      <c r="G9">
        <v>0.65</v>
      </c>
      <c r="L9" s="1" t="s">
        <v>1771</v>
      </c>
      <c r="M9" t="s">
        <v>1788</v>
      </c>
      <c r="N9" s="3">
        <v>0.65</v>
      </c>
      <c r="O9" s="1" t="s">
        <v>1771</v>
      </c>
      <c r="P9" t="s">
        <v>1788</v>
      </c>
      <c r="Q9" s="3">
        <v>0.65</v>
      </c>
      <c r="R9" s="1" t="s">
        <v>1771</v>
      </c>
      <c r="S9" t="s">
        <v>1788</v>
      </c>
      <c r="T9" s="3">
        <v>0.65</v>
      </c>
      <c r="U9" s="1" t="s">
        <v>1771</v>
      </c>
      <c r="V9" t="s">
        <v>1788</v>
      </c>
      <c r="W9" s="3">
        <v>0.65</v>
      </c>
      <c r="Y9" s="3"/>
      <c r="AA9" s="3"/>
      <c r="AC9" s="3"/>
      <c r="AE9" s="3"/>
      <c r="AH9" t="s">
        <v>1788</v>
      </c>
      <c r="AI9" t="s">
        <v>1788</v>
      </c>
      <c r="AJ9">
        <v>1</v>
      </c>
    </row>
    <row r="10" spans="1:36" x14ac:dyDescent="0.25">
      <c r="A10" s="6" t="e">
        <f t="shared" si="0"/>
        <v>#N/A</v>
      </c>
      <c r="B10" s="3" t="e">
        <f t="shared" si="0"/>
        <v>#N/A</v>
      </c>
      <c r="C10" s="3" t="e">
        <f t="shared" si="1"/>
        <v>#N/A</v>
      </c>
      <c r="D10" s="3" t="e">
        <f t="shared" si="2"/>
        <v>#N/A</v>
      </c>
      <c r="E10" s="3" t="e">
        <f t="shared" si="3"/>
        <v>#N/A</v>
      </c>
      <c r="F10" t="s">
        <v>1788</v>
      </c>
      <c r="G10">
        <v>0.65</v>
      </c>
      <c r="L10" s="1" t="s">
        <v>1771</v>
      </c>
      <c r="M10" t="s">
        <v>1789</v>
      </c>
      <c r="N10" s="3">
        <v>0.65</v>
      </c>
      <c r="O10" s="1" t="s">
        <v>1771</v>
      </c>
      <c r="P10" t="s">
        <v>1789</v>
      </c>
      <c r="Q10" s="3">
        <v>0.65</v>
      </c>
      <c r="R10" s="1" t="s">
        <v>1771</v>
      </c>
      <c r="S10" t="s">
        <v>1789</v>
      </c>
      <c r="T10" s="3">
        <v>0.65</v>
      </c>
      <c r="U10" s="1" t="s">
        <v>1771</v>
      </c>
      <c r="V10" t="s">
        <v>1789</v>
      </c>
      <c r="W10" s="3">
        <v>0.65</v>
      </c>
      <c r="Y10" s="3"/>
      <c r="AA10" s="3"/>
      <c r="AC10" s="3"/>
      <c r="AE10" s="3"/>
      <c r="AH10" t="s">
        <v>1789</v>
      </c>
      <c r="AI10" t="s">
        <v>1789</v>
      </c>
      <c r="AJ10">
        <v>1</v>
      </c>
    </row>
    <row r="11" spans="1:36" x14ac:dyDescent="0.25">
      <c r="A11" s="6" t="e">
        <f t="shared" si="0"/>
        <v>#N/A</v>
      </c>
      <c r="B11" s="3" t="e">
        <f t="shared" si="0"/>
        <v>#N/A</v>
      </c>
      <c r="C11" s="3" t="e">
        <f t="shared" si="1"/>
        <v>#N/A</v>
      </c>
      <c r="D11" s="3" t="e">
        <f t="shared" si="2"/>
        <v>#N/A</v>
      </c>
      <c r="E11" s="3" t="e">
        <f t="shared" si="3"/>
        <v>#N/A</v>
      </c>
      <c r="F11" t="s">
        <v>1789</v>
      </c>
      <c r="G11">
        <v>0.65</v>
      </c>
      <c r="L11" s="1" t="s">
        <v>1771</v>
      </c>
      <c r="M11" t="s">
        <v>1790</v>
      </c>
      <c r="N11" s="3">
        <v>0.8</v>
      </c>
      <c r="O11" s="1" t="s">
        <v>1771</v>
      </c>
      <c r="P11" t="s">
        <v>1790</v>
      </c>
      <c r="Q11" s="3">
        <v>0.8</v>
      </c>
      <c r="R11" s="1" t="s">
        <v>1771</v>
      </c>
      <c r="S11" t="s">
        <v>1790</v>
      </c>
      <c r="T11" s="3">
        <v>0.8</v>
      </c>
      <c r="U11" s="1" t="s">
        <v>1771</v>
      </c>
      <c r="V11" t="s">
        <v>1790</v>
      </c>
      <c r="W11" s="3">
        <v>0.8</v>
      </c>
      <c r="Y11" s="3"/>
      <c r="AA11" s="3"/>
      <c r="AC11" s="3"/>
      <c r="AE11" s="3"/>
      <c r="AH11" t="s">
        <v>1790</v>
      </c>
      <c r="AI11" t="s">
        <v>1790</v>
      </c>
      <c r="AJ11">
        <v>1</v>
      </c>
    </row>
    <row r="12" spans="1:36" x14ac:dyDescent="0.25">
      <c r="A12" s="6" t="e">
        <f t="shared" si="0"/>
        <v>#N/A</v>
      </c>
      <c r="B12" s="3" t="e">
        <f t="shared" si="0"/>
        <v>#N/A</v>
      </c>
      <c r="C12" s="3" t="e">
        <f t="shared" si="1"/>
        <v>#N/A</v>
      </c>
      <c r="D12" s="3" t="e">
        <f t="shared" si="2"/>
        <v>#N/A</v>
      </c>
      <c r="E12" s="3" t="e">
        <f t="shared" si="3"/>
        <v>#N/A</v>
      </c>
      <c r="F12" t="s">
        <v>1790</v>
      </c>
      <c r="G12">
        <v>0.8</v>
      </c>
      <c r="L12" s="1" t="s">
        <v>1771</v>
      </c>
      <c r="M12" t="s">
        <v>1791</v>
      </c>
      <c r="N12" s="3">
        <v>0.8</v>
      </c>
      <c r="O12" s="1" t="s">
        <v>1771</v>
      </c>
      <c r="P12" t="s">
        <v>1791</v>
      </c>
      <c r="Q12" s="3">
        <v>0.8</v>
      </c>
      <c r="R12" s="1" t="s">
        <v>1771</v>
      </c>
      <c r="S12" t="s">
        <v>1791</v>
      </c>
      <c r="T12" s="3">
        <v>0.8</v>
      </c>
      <c r="U12" s="1" t="s">
        <v>1771</v>
      </c>
      <c r="V12" t="s">
        <v>1791</v>
      </c>
      <c r="W12" s="3">
        <v>0.8</v>
      </c>
      <c r="Y12" s="3"/>
      <c r="AA12" s="3"/>
      <c r="AC12" s="3"/>
      <c r="AE12" s="3"/>
      <c r="AH12" t="s">
        <v>1791</v>
      </c>
      <c r="AI12" t="s">
        <v>1791</v>
      </c>
      <c r="AJ12">
        <v>1</v>
      </c>
    </row>
    <row r="13" spans="1:36" x14ac:dyDescent="0.25">
      <c r="A13" s="6" t="e">
        <f t="shared" si="0"/>
        <v>#N/A</v>
      </c>
      <c r="B13" s="3" t="e">
        <f t="shared" si="0"/>
        <v>#N/A</v>
      </c>
      <c r="C13" s="3" t="e">
        <f t="shared" si="1"/>
        <v>#N/A</v>
      </c>
      <c r="D13" s="3" t="e">
        <f t="shared" si="2"/>
        <v>#N/A</v>
      </c>
      <c r="E13" s="3" t="e">
        <f t="shared" si="3"/>
        <v>#N/A</v>
      </c>
      <c r="F13" t="s">
        <v>1791</v>
      </c>
      <c r="G13">
        <v>0.8</v>
      </c>
      <c r="L13" s="1" t="s">
        <v>1771</v>
      </c>
      <c r="M13" t="s">
        <v>1792</v>
      </c>
      <c r="N13" s="3">
        <v>0.8</v>
      </c>
      <c r="O13" s="1" t="s">
        <v>1771</v>
      </c>
      <c r="P13" t="s">
        <v>1792</v>
      </c>
      <c r="Q13" s="3">
        <v>0.8</v>
      </c>
      <c r="R13" s="1" t="s">
        <v>1771</v>
      </c>
      <c r="S13" t="s">
        <v>1792</v>
      </c>
      <c r="T13" s="3">
        <v>0.8</v>
      </c>
      <c r="U13" s="1" t="s">
        <v>1771</v>
      </c>
      <c r="V13" t="s">
        <v>1792</v>
      </c>
      <c r="W13" s="3">
        <v>0.8</v>
      </c>
      <c r="Y13" s="3"/>
      <c r="AA13" s="3"/>
      <c r="AC13" s="3"/>
      <c r="AE13" s="3"/>
      <c r="AH13" t="s">
        <v>1792</v>
      </c>
      <c r="AI13" t="s">
        <v>1792</v>
      </c>
      <c r="AJ13">
        <v>1</v>
      </c>
    </row>
    <row r="14" spans="1:36" x14ac:dyDescent="0.25">
      <c r="A14" s="6" t="e">
        <f t="shared" si="0"/>
        <v>#N/A</v>
      </c>
      <c r="B14" s="3" t="e">
        <f t="shared" si="0"/>
        <v>#N/A</v>
      </c>
      <c r="C14" s="3" t="e">
        <f t="shared" si="1"/>
        <v>#N/A</v>
      </c>
      <c r="D14" s="3" t="e">
        <f t="shared" si="2"/>
        <v>#N/A</v>
      </c>
      <c r="E14" s="3" t="e">
        <f t="shared" si="3"/>
        <v>#N/A</v>
      </c>
      <c r="F14" t="s">
        <v>1792</v>
      </c>
      <c r="G14">
        <v>0.8</v>
      </c>
      <c r="L14" s="1" t="s">
        <v>1771</v>
      </c>
      <c r="M14" t="s">
        <v>1793</v>
      </c>
      <c r="N14" s="3">
        <v>0.8</v>
      </c>
      <c r="O14" s="1" t="s">
        <v>1771</v>
      </c>
      <c r="P14" t="s">
        <v>1793</v>
      </c>
      <c r="Q14" s="3">
        <v>0.8</v>
      </c>
      <c r="R14" s="1" t="s">
        <v>1771</v>
      </c>
      <c r="S14" t="s">
        <v>1793</v>
      </c>
      <c r="T14" s="3">
        <v>0.8</v>
      </c>
      <c r="U14" s="1" t="s">
        <v>1771</v>
      </c>
      <c r="V14" t="s">
        <v>1793</v>
      </c>
      <c r="W14" s="3">
        <v>0.8</v>
      </c>
      <c r="Y14" s="3"/>
      <c r="AA14" s="3"/>
      <c r="AC14" s="3"/>
      <c r="AE14" s="3"/>
      <c r="AH14" t="s">
        <v>1793</v>
      </c>
      <c r="AI14" t="s">
        <v>1793</v>
      </c>
      <c r="AJ14">
        <v>1</v>
      </c>
    </row>
    <row r="15" spans="1:36" x14ac:dyDescent="0.25">
      <c r="A15" s="6" t="e">
        <f t="shared" si="0"/>
        <v>#N/A</v>
      </c>
      <c r="B15" s="3" t="e">
        <f t="shared" si="0"/>
        <v>#N/A</v>
      </c>
      <c r="C15" s="3" t="e">
        <f t="shared" si="1"/>
        <v>#N/A</v>
      </c>
      <c r="D15" s="3" t="e">
        <f t="shared" si="2"/>
        <v>#N/A</v>
      </c>
      <c r="E15" s="3" t="e">
        <f t="shared" si="3"/>
        <v>#N/A</v>
      </c>
      <c r="F15" t="s">
        <v>1793</v>
      </c>
      <c r="G15">
        <v>0.8</v>
      </c>
      <c r="L15" s="1" t="s">
        <v>1771</v>
      </c>
      <c r="M15" t="s">
        <v>1859</v>
      </c>
      <c r="N15" s="3">
        <v>0.8</v>
      </c>
      <c r="O15" s="1" t="s">
        <v>1771</v>
      </c>
      <c r="P15" t="s">
        <v>1859</v>
      </c>
      <c r="Q15" s="3">
        <v>0.8</v>
      </c>
      <c r="R15" s="1" t="s">
        <v>1771</v>
      </c>
      <c r="S15" t="s">
        <v>1859</v>
      </c>
      <c r="T15" s="3">
        <v>0.8</v>
      </c>
      <c r="U15" s="1" t="s">
        <v>1771</v>
      </c>
      <c r="V15" t="s">
        <v>1859</v>
      </c>
      <c r="W15" s="3">
        <v>0.8</v>
      </c>
      <c r="Y15" s="3"/>
      <c r="AA15" s="3"/>
      <c r="AC15" s="3"/>
      <c r="AE15" s="3"/>
      <c r="AH15" t="s">
        <v>1859</v>
      </c>
      <c r="AI15" t="s">
        <v>1859</v>
      </c>
      <c r="AJ15">
        <v>1</v>
      </c>
    </row>
    <row r="16" spans="1:36" x14ac:dyDescent="0.25">
      <c r="A16" s="6" t="e">
        <f t="shared" si="0"/>
        <v>#N/A</v>
      </c>
      <c r="B16" s="3" t="e">
        <f t="shared" si="0"/>
        <v>#N/A</v>
      </c>
      <c r="C16" s="3" t="e">
        <f t="shared" si="1"/>
        <v>#N/A</v>
      </c>
      <c r="D16" s="3" t="e">
        <f t="shared" si="2"/>
        <v>#N/A</v>
      </c>
      <c r="E16" s="3" t="e">
        <f t="shared" si="3"/>
        <v>#N/A</v>
      </c>
      <c r="F16" t="s">
        <v>1859</v>
      </c>
      <c r="G16">
        <v>0.8</v>
      </c>
      <c r="L16" s="1" t="s">
        <v>1771</v>
      </c>
      <c r="M16" t="s">
        <v>1794</v>
      </c>
      <c r="N16" s="3">
        <v>0.9</v>
      </c>
      <c r="O16" s="1" t="s">
        <v>1771</v>
      </c>
      <c r="P16" t="s">
        <v>1794</v>
      </c>
      <c r="Q16" s="3">
        <v>0.9</v>
      </c>
      <c r="R16" s="1" t="s">
        <v>1771</v>
      </c>
      <c r="S16" t="s">
        <v>1794</v>
      </c>
      <c r="T16" s="3">
        <v>0.9</v>
      </c>
      <c r="U16" s="1" t="s">
        <v>1771</v>
      </c>
      <c r="V16" t="s">
        <v>1794</v>
      </c>
      <c r="W16" s="3">
        <v>0.9</v>
      </c>
      <c r="Y16" s="3"/>
      <c r="AA16" s="3"/>
      <c r="AC16" s="3"/>
      <c r="AE16" s="3"/>
      <c r="AH16" t="s">
        <v>1794</v>
      </c>
      <c r="AI16" t="s">
        <v>1794</v>
      </c>
      <c r="AJ16">
        <v>1</v>
      </c>
    </row>
    <row r="17" spans="1:36" x14ac:dyDescent="0.25">
      <c r="A17" s="6" t="e">
        <f t="shared" si="0"/>
        <v>#N/A</v>
      </c>
      <c r="B17" s="3" t="e">
        <f t="shared" si="0"/>
        <v>#N/A</v>
      </c>
      <c r="C17" s="3" t="e">
        <f t="shared" si="1"/>
        <v>#N/A</v>
      </c>
      <c r="D17" s="3" t="e">
        <f t="shared" si="2"/>
        <v>#N/A</v>
      </c>
      <c r="E17" s="3" t="e">
        <f t="shared" si="3"/>
        <v>#N/A</v>
      </c>
      <c r="F17" t="s">
        <v>1794</v>
      </c>
      <c r="G17">
        <v>0.9</v>
      </c>
      <c r="L17" s="1" t="s">
        <v>1771</v>
      </c>
      <c r="M17" t="s">
        <v>1795</v>
      </c>
      <c r="N17" s="3">
        <v>0.9</v>
      </c>
      <c r="O17" s="1" t="s">
        <v>1771</v>
      </c>
      <c r="P17" t="s">
        <v>1795</v>
      </c>
      <c r="Q17" s="3">
        <v>0.9</v>
      </c>
      <c r="R17" s="1" t="s">
        <v>1771</v>
      </c>
      <c r="S17" t="s">
        <v>1795</v>
      </c>
      <c r="T17" s="3">
        <v>0.9</v>
      </c>
      <c r="U17" s="1" t="s">
        <v>1771</v>
      </c>
      <c r="V17" t="s">
        <v>1795</v>
      </c>
      <c r="W17" s="3">
        <v>0.9</v>
      </c>
      <c r="Y17" s="3"/>
      <c r="AA17" s="3"/>
      <c r="AC17" s="3"/>
      <c r="AE17" s="3"/>
      <c r="AH17" t="s">
        <v>1795</v>
      </c>
      <c r="AI17" t="s">
        <v>1795</v>
      </c>
      <c r="AJ17">
        <v>1</v>
      </c>
    </row>
    <row r="18" spans="1:36" x14ac:dyDescent="0.25">
      <c r="A18" s="6" t="e">
        <f t="shared" si="0"/>
        <v>#N/A</v>
      </c>
      <c r="B18" s="3" t="e">
        <f t="shared" si="0"/>
        <v>#N/A</v>
      </c>
      <c r="C18" s="3" t="e">
        <f t="shared" si="1"/>
        <v>#N/A</v>
      </c>
      <c r="D18" s="3" t="e">
        <f t="shared" si="2"/>
        <v>#N/A</v>
      </c>
      <c r="E18" s="3" t="e">
        <f t="shared" si="3"/>
        <v>#N/A</v>
      </c>
      <c r="F18" t="s">
        <v>1795</v>
      </c>
      <c r="G18">
        <v>0.9</v>
      </c>
      <c r="L18" s="1" t="s">
        <v>1771</v>
      </c>
      <c r="M18" t="s">
        <v>1796</v>
      </c>
      <c r="N18" s="3">
        <v>0.9</v>
      </c>
      <c r="O18" s="1" t="s">
        <v>1771</v>
      </c>
      <c r="P18" t="s">
        <v>1796</v>
      </c>
      <c r="Q18" s="3">
        <v>0.9</v>
      </c>
      <c r="R18" s="1" t="s">
        <v>1771</v>
      </c>
      <c r="S18" t="s">
        <v>1796</v>
      </c>
      <c r="T18" s="3">
        <v>0.9</v>
      </c>
      <c r="U18" s="1" t="s">
        <v>1771</v>
      </c>
      <c r="V18" t="s">
        <v>1796</v>
      </c>
      <c r="W18" s="3">
        <v>0.9</v>
      </c>
      <c r="Y18" s="3"/>
      <c r="AA18" s="3"/>
      <c r="AC18" s="3"/>
      <c r="AE18" s="3"/>
      <c r="AH18" t="s">
        <v>1796</v>
      </c>
      <c r="AI18" t="s">
        <v>1796</v>
      </c>
      <c r="AJ18">
        <v>1</v>
      </c>
    </row>
    <row r="19" spans="1:36" x14ac:dyDescent="0.25">
      <c r="A19" s="6" t="e">
        <f t="shared" si="0"/>
        <v>#N/A</v>
      </c>
      <c r="B19" s="3" t="e">
        <f t="shared" si="0"/>
        <v>#N/A</v>
      </c>
      <c r="C19" s="3" t="e">
        <f t="shared" si="1"/>
        <v>#N/A</v>
      </c>
      <c r="D19" s="3" t="e">
        <f t="shared" si="2"/>
        <v>#N/A</v>
      </c>
      <c r="E19" s="3" t="e">
        <f t="shared" si="3"/>
        <v>#N/A</v>
      </c>
      <c r="F19" t="s">
        <v>1796</v>
      </c>
      <c r="G19">
        <v>0.9</v>
      </c>
      <c r="L19" s="1" t="s">
        <v>1771</v>
      </c>
      <c r="M19" t="s">
        <v>1797</v>
      </c>
      <c r="N19" s="3">
        <v>0.9</v>
      </c>
      <c r="O19" s="1" t="s">
        <v>1771</v>
      </c>
      <c r="P19" t="s">
        <v>1797</v>
      </c>
      <c r="Q19" s="3">
        <v>0.9</v>
      </c>
      <c r="R19" s="1" t="s">
        <v>1771</v>
      </c>
      <c r="S19" t="s">
        <v>1797</v>
      </c>
      <c r="T19" s="3">
        <v>0.9</v>
      </c>
      <c r="U19" s="1" t="s">
        <v>1771</v>
      </c>
      <c r="V19" t="s">
        <v>1797</v>
      </c>
      <c r="W19" s="3">
        <v>0.9</v>
      </c>
      <c r="Y19" s="3"/>
      <c r="AA19" s="3"/>
      <c r="AC19" s="3"/>
      <c r="AE19" s="3"/>
      <c r="AH19" t="s">
        <v>1797</v>
      </c>
      <c r="AI19" t="s">
        <v>1797</v>
      </c>
      <c r="AJ19">
        <v>1</v>
      </c>
    </row>
    <row r="20" spans="1:36" x14ac:dyDescent="0.25">
      <c r="A20" s="6" t="e">
        <f t="shared" si="0"/>
        <v>#N/A</v>
      </c>
      <c r="B20" s="3" t="e">
        <f t="shared" si="0"/>
        <v>#N/A</v>
      </c>
      <c r="C20" s="3" t="e">
        <f t="shared" si="1"/>
        <v>#N/A</v>
      </c>
      <c r="D20" s="3" t="e">
        <f t="shared" si="2"/>
        <v>#N/A</v>
      </c>
      <c r="E20" s="3" t="e">
        <f t="shared" si="3"/>
        <v>#N/A</v>
      </c>
      <c r="F20" t="s">
        <v>1797</v>
      </c>
      <c r="G20">
        <v>0.9</v>
      </c>
      <c r="L20" s="1" t="s">
        <v>1771</v>
      </c>
      <c r="M20" t="s">
        <v>1798</v>
      </c>
      <c r="N20" s="3">
        <v>0.9</v>
      </c>
      <c r="O20" s="1" t="s">
        <v>1771</v>
      </c>
      <c r="P20" t="s">
        <v>1798</v>
      </c>
      <c r="Q20" s="3">
        <v>0.9</v>
      </c>
      <c r="R20" s="1" t="s">
        <v>1771</v>
      </c>
      <c r="S20" t="s">
        <v>1798</v>
      </c>
      <c r="T20" s="3">
        <v>0.9</v>
      </c>
      <c r="U20" s="1" t="s">
        <v>1771</v>
      </c>
      <c r="V20" t="s">
        <v>1798</v>
      </c>
      <c r="W20" s="3">
        <v>0.9</v>
      </c>
      <c r="Y20" s="3"/>
      <c r="AA20" s="3"/>
      <c r="AC20" s="3"/>
      <c r="AE20" s="3"/>
      <c r="AH20" t="s">
        <v>1798</v>
      </c>
      <c r="AI20" t="s">
        <v>1798</v>
      </c>
      <c r="AJ20">
        <v>1</v>
      </c>
    </row>
    <row r="21" spans="1:36" x14ac:dyDescent="0.25">
      <c r="A21" s="6" t="e">
        <f t="shared" si="0"/>
        <v>#N/A</v>
      </c>
      <c r="B21" s="3" t="e">
        <f t="shared" si="0"/>
        <v>#N/A</v>
      </c>
      <c r="C21" s="3" t="e">
        <f t="shared" si="1"/>
        <v>#N/A</v>
      </c>
      <c r="D21" s="3" t="e">
        <f t="shared" si="2"/>
        <v>#N/A</v>
      </c>
      <c r="E21" s="3" t="e">
        <f t="shared" si="3"/>
        <v>#N/A</v>
      </c>
      <c r="F21" t="s">
        <v>1798</v>
      </c>
      <c r="G21">
        <v>0.9</v>
      </c>
      <c r="L21" s="1" t="s">
        <v>1771</v>
      </c>
      <c r="M21" t="s">
        <v>1799</v>
      </c>
      <c r="N21" s="3">
        <v>1.1000000000000001</v>
      </c>
      <c r="O21" s="1" t="s">
        <v>1771</v>
      </c>
      <c r="P21" t="s">
        <v>1799</v>
      </c>
      <c r="Q21" s="3">
        <v>1.1000000000000001</v>
      </c>
      <c r="R21" s="1" t="s">
        <v>1771</v>
      </c>
      <c r="S21" t="s">
        <v>1799</v>
      </c>
      <c r="T21" s="3">
        <v>1.1000000000000001</v>
      </c>
      <c r="U21" s="1" t="s">
        <v>1771</v>
      </c>
      <c r="V21" t="s">
        <v>1799</v>
      </c>
      <c r="W21" s="3">
        <v>1.1000000000000001</v>
      </c>
      <c r="Y21" s="3"/>
      <c r="AA21" s="3"/>
      <c r="AC21" s="3"/>
      <c r="AE21" s="3"/>
      <c r="AH21" t="s">
        <v>1799</v>
      </c>
      <c r="AI21" t="s">
        <v>1799</v>
      </c>
      <c r="AJ21">
        <v>1</v>
      </c>
    </row>
    <row r="22" spans="1:36" x14ac:dyDescent="0.25">
      <c r="A22" s="6" t="e">
        <f t="shared" si="0"/>
        <v>#N/A</v>
      </c>
      <c r="B22" s="3" t="e">
        <f t="shared" si="0"/>
        <v>#N/A</v>
      </c>
      <c r="C22" s="3" t="e">
        <f t="shared" si="1"/>
        <v>#N/A</v>
      </c>
      <c r="D22" s="3" t="e">
        <f t="shared" si="2"/>
        <v>#N/A</v>
      </c>
      <c r="E22" s="3" t="e">
        <f t="shared" si="3"/>
        <v>#N/A</v>
      </c>
      <c r="F22" t="s">
        <v>1799</v>
      </c>
      <c r="G22">
        <v>1.1000000000000001</v>
      </c>
      <c r="L22" s="1" t="s">
        <v>1771</v>
      </c>
      <c r="M22" t="s">
        <v>1800</v>
      </c>
      <c r="N22" s="3">
        <v>1.1000000000000001</v>
      </c>
      <c r="O22" s="1" t="s">
        <v>1771</v>
      </c>
      <c r="P22" t="s">
        <v>1800</v>
      </c>
      <c r="Q22" s="3">
        <v>1.1000000000000001</v>
      </c>
      <c r="R22" s="1" t="s">
        <v>1771</v>
      </c>
      <c r="S22" t="s">
        <v>1800</v>
      </c>
      <c r="T22" s="3">
        <v>1.1000000000000001</v>
      </c>
      <c r="U22" s="1" t="s">
        <v>1771</v>
      </c>
      <c r="V22" t="s">
        <v>1800</v>
      </c>
      <c r="W22" s="3">
        <v>1.1000000000000001</v>
      </c>
      <c r="Y22" s="3"/>
      <c r="AA22" s="3"/>
      <c r="AC22" s="3"/>
      <c r="AE22" s="3"/>
      <c r="AH22" t="s">
        <v>1800</v>
      </c>
      <c r="AI22" t="s">
        <v>1800</v>
      </c>
      <c r="AJ22">
        <v>1</v>
      </c>
    </row>
    <row r="23" spans="1:36" x14ac:dyDescent="0.25">
      <c r="A23" s="6" t="e">
        <f t="shared" si="0"/>
        <v>#N/A</v>
      </c>
      <c r="B23" s="3" t="e">
        <f t="shared" si="0"/>
        <v>#N/A</v>
      </c>
      <c r="C23" s="3" t="e">
        <f t="shared" si="1"/>
        <v>#N/A</v>
      </c>
      <c r="D23" s="3" t="e">
        <f t="shared" si="2"/>
        <v>#N/A</v>
      </c>
      <c r="E23" s="3" t="e">
        <f t="shared" si="3"/>
        <v>#N/A</v>
      </c>
      <c r="F23" t="s">
        <v>1800</v>
      </c>
      <c r="G23">
        <v>1.1000000000000001</v>
      </c>
      <c r="L23" s="1" t="s">
        <v>1771</v>
      </c>
      <c r="M23" t="s">
        <v>1801</v>
      </c>
      <c r="N23" s="3">
        <v>1.1000000000000001</v>
      </c>
      <c r="O23" s="1" t="s">
        <v>1771</v>
      </c>
      <c r="P23" t="s">
        <v>1801</v>
      </c>
      <c r="Q23" s="3">
        <v>1.1000000000000001</v>
      </c>
      <c r="R23" s="1" t="s">
        <v>1771</v>
      </c>
      <c r="S23" t="s">
        <v>1801</v>
      </c>
      <c r="T23" s="3">
        <v>1.1000000000000001</v>
      </c>
      <c r="U23" s="1" t="s">
        <v>1771</v>
      </c>
      <c r="V23" t="s">
        <v>1801</v>
      </c>
      <c r="W23" s="3">
        <v>1.1000000000000001</v>
      </c>
      <c r="Y23" s="3"/>
      <c r="AA23" s="3"/>
      <c r="AC23" s="3"/>
      <c r="AE23" s="3"/>
      <c r="AH23" t="s">
        <v>1801</v>
      </c>
      <c r="AI23" t="s">
        <v>1801</v>
      </c>
      <c r="AJ23">
        <v>1</v>
      </c>
    </row>
    <row r="24" spans="1:36" x14ac:dyDescent="0.25">
      <c r="A24" s="6" t="e">
        <f t="shared" si="0"/>
        <v>#N/A</v>
      </c>
      <c r="B24" s="3" t="e">
        <f t="shared" si="0"/>
        <v>#N/A</v>
      </c>
      <c r="C24" s="3" t="e">
        <f t="shared" si="1"/>
        <v>#N/A</v>
      </c>
      <c r="D24" s="3" t="e">
        <f t="shared" si="2"/>
        <v>#N/A</v>
      </c>
      <c r="E24" s="3" t="e">
        <f t="shared" si="3"/>
        <v>#N/A</v>
      </c>
      <c r="F24" t="s">
        <v>1801</v>
      </c>
      <c r="G24">
        <v>1.1000000000000001</v>
      </c>
      <c r="L24" s="1" t="s">
        <v>1771</v>
      </c>
      <c r="M24" t="s">
        <v>58</v>
      </c>
      <c r="N24" s="3">
        <v>1.5</v>
      </c>
      <c r="O24" s="1" t="s">
        <v>1771</v>
      </c>
      <c r="P24" t="s">
        <v>58</v>
      </c>
      <c r="Q24" s="3">
        <v>1.5</v>
      </c>
      <c r="R24" s="1" t="s">
        <v>1771</v>
      </c>
      <c r="S24" t="s">
        <v>58</v>
      </c>
      <c r="T24" s="3">
        <v>1.5</v>
      </c>
      <c r="U24" s="1" t="s">
        <v>1771</v>
      </c>
      <c r="V24" t="s">
        <v>58</v>
      </c>
      <c r="W24" s="3">
        <v>1.5</v>
      </c>
      <c r="Y24" s="3"/>
      <c r="AA24" s="3"/>
      <c r="AC24" s="3"/>
      <c r="AE24" s="3"/>
      <c r="AH24" t="s">
        <v>58</v>
      </c>
      <c r="AI24" t="s">
        <v>58</v>
      </c>
      <c r="AJ24">
        <v>1</v>
      </c>
    </row>
    <row r="25" spans="1:36" x14ac:dyDescent="0.25">
      <c r="A25" s="6" t="e">
        <f t="shared" si="0"/>
        <v>#N/A</v>
      </c>
      <c r="B25" s="3" t="e">
        <f t="shared" si="0"/>
        <v>#N/A</v>
      </c>
      <c r="C25" s="3" t="e">
        <f t="shared" si="1"/>
        <v>#N/A</v>
      </c>
      <c r="D25" s="3" t="e">
        <f t="shared" si="2"/>
        <v>#N/A</v>
      </c>
      <c r="E25" s="3" t="e">
        <f t="shared" si="3"/>
        <v>#N/A</v>
      </c>
      <c r="F25" t="s">
        <v>58</v>
      </c>
      <c r="G25">
        <v>1.5</v>
      </c>
      <c r="L25" s="1" t="s">
        <v>1771</v>
      </c>
      <c r="M25" t="s">
        <v>59</v>
      </c>
      <c r="N25" s="3">
        <v>1.7</v>
      </c>
      <c r="O25" s="1" t="s">
        <v>1771</v>
      </c>
      <c r="P25" t="s">
        <v>59</v>
      </c>
      <c r="Q25" s="3">
        <v>1.7</v>
      </c>
      <c r="R25" s="1" t="s">
        <v>1771</v>
      </c>
      <c r="S25" t="s">
        <v>59</v>
      </c>
      <c r="T25" s="3">
        <v>1.7</v>
      </c>
      <c r="U25" s="1" t="s">
        <v>1771</v>
      </c>
      <c r="V25" t="s">
        <v>59</v>
      </c>
      <c r="W25" s="3">
        <v>1.7</v>
      </c>
      <c r="Y25" s="3"/>
      <c r="AA25" s="3"/>
      <c r="AC25" s="3"/>
      <c r="AE25" s="3"/>
      <c r="AH25" t="s">
        <v>59</v>
      </c>
      <c r="AI25" t="s">
        <v>59</v>
      </c>
      <c r="AJ25">
        <v>1</v>
      </c>
    </row>
    <row r="26" spans="1:36" x14ac:dyDescent="0.25">
      <c r="A26" s="6" t="e">
        <f t="shared" si="0"/>
        <v>#N/A</v>
      </c>
      <c r="B26" s="3" t="e">
        <f t="shared" si="0"/>
        <v>#N/A</v>
      </c>
      <c r="C26" s="3" t="e">
        <f t="shared" si="1"/>
        <v>#N/A</v>
      </c>
      <c r="D26" s="3" t="e">
        <f t="shared" si="2"/>
        <v>#N/A</v>
      </c>
      <c r="E26" s="3" t="e">
        <f t="shared" si="3"/>
        <v>#N/A</v>
      </c>
      <c r="F26" t="s">
        <v>59</v>
      </c>
      <c r="G26">
        <v>1.7</v>
      </c>
      <c r="L26" s="1" t="s">
        <v>1771</v>
      </c>
      <c r="M26" t="s">
        <v>1802</v>
      </c>
      <c r="N26" s="3">
        <v>2</v>
      </c>
      <c r="O26" s="1" t="s">
        <v>1771</v>
      </c>
      <c r="P26" t="s">
        <v>1802</v>
      </c>
      <c r="Q26" s="3">
        <v>2</v>
      </c>
      <c r="R26" s="1" t="s">
        <v>1771</v>
      </c>
      <c r="S26" t="s">
        <v>1802</v>
      </c>
      <c r="T26" s="3">
        <v>2</v>
      </c>
      <c r="U26" s="1" t="s">
        <v>1771</v>
      </c>
      <c r="V26" t="s">
        <v>1802</v>
      </c>
      <c r="W26" s="3">
        <v>2</v>
      </c>
      <c r="Y26" s="3"/>
      <c r="AA26" s="3"/>
      <c r="AC26" s="3"/>
      <c r="AE26" s="3"/>
      <c r="AH26" t="s">
        <v>1802</v>
      </c>
      <c r="AI26" t="s">
        <v>1802</v>
      </c>
      <c r="AJ26">
        <v>1</v>
      </c>
    </row>
    <row r="27" spans="1:36" x14ac:dyDescent="0.25">
      <c r="A27" s="6" t="e">
        <f t="shared" si="0"/>
        <v>#N/A</v>
      </c>
      <c r="B27" s="3" t="e">
        <f t="shared" si="0"/>
        <v>#N/A</v>
      </c>
      <c r="C27" s="3" t="e">
        <f t="shared" si="1"/>
        <v>#N/A</v>
      </c>
      <c r="D27" s="3" t="e">
        <f t="shared" si="2"/>
        <v>#N/A</v>
      </c>
      <c r="E27" s="3" t="e">
        <f t="shared" si="3"/>
        <v>#N/A</v>
      </c>
      <c r="F27" t="s">
        <v>1802</v>
      </c>
      <c r="G27">
        <v>2</v>
      </c>
      <c r="L27" s="1" t="s">
        <v>1771</v>
      </c>
      <c r="M27" t="s">
        <v>1803</v>
      </c>
      <c r="N27" s="3">
        <v>2</v>
      </c>
      <c r="O27" s="1" t="s">
        <v>1771</v>
      </c>
      <c r="P27" t="s">
        <v>1803</v>
      </c>
      <c r="Q27" s="3">
        <v>2</v>
      </c>
      <c r="R27" s="1" t="s">
        <v>1771</v>
      </c>
      <c r="S27" t="s">
        <v>1803</v>
      </c>
      <c r="T27" s="3">
        <v>2</v>
      </c>
      <c r="U27" s="1" t="s">
        <v>1771</v>
      </c>
      <c r="V27" t="s">
        <v>1803</v>
      </c>
      <c r="W27" s="3">
        <v>2</v>
      </c>
      <c r="Y27" s="3"/>
      <c r="AA27" s="3"/>
      <c r="AC27" s="3"/>
      <c r="AE27" s="3"/>
      <c r="AH27" t="s">
        <v>1803</v>
      </c>
      <c r="AI27" t="s">
        <v>1803</v>
      </c>
      <c r="AJ27">
        <v>1</v>
      </c>
    </row>
    <row r="28" spans="1:36" x14ac:dyDescent="0.25">
      <c r="A28" s="6" t="e">
        <f t="shared" si="0"/>
        <v>#N/A</v>
      </c>
      <c r="B28" s="3" t="e">
        <f t="shared" si="0"/>
        <v>#N/A</v>
      </c>
      <c r="C28" s="3" t="e">
        <f t="shared" si="1"/>
        <v>#N/A</v>
      </c>
      <c r="D28" s="3" t="e">
        <f t="shared" si="2"/>
        <v>#N/A</v>
      </c>
      <c r="E28" s="3" t="e">
        <f t="shared" si="3"/>
        <v>#N/A</v>
      </c>
      <c r="F28" t="s">
        <v>1803</v>
      </c>
      <c r="G28">
        <v>2</v>
      </c>
      <c r="L28" s="1" t="s">
        <v>1772</v>
      </c>
      <c r="M28" t="s">
        <v>1639</v>
      </c>
      <c r="N28" s="3">
        <v>0.15</v>
      </c>
      <c r="O28" s="1" t="s">
        <v>1772</v>
      </c>
      <c r="P28" t="s">
        <v>1639</v>
      </c>
      <c r="Q28" s="3">
        <v>0.15</v>
      </c>
      <c r="R28" s="1" t="s">
        <v>1772</v>
      </c>
      <c r="S28" t="s">
        <v>1639</v>
      </c>
      <c r="T28" s="3">
        <v>0.15</v>
      </c>
      <c r="U28" s="1" t="s">
        <v>1772</v>
      </c>
      <c r="V28" t="s">
        <v>1639</v>
      </c>
      <c r="W28" s="3">
        <v>0.15</v>
      </c>
      <c r="Y28" s="3"/>
      <c r="AA28" s="3"/>
      <c r="AC28" s="3"/>
      <c r="AE28" s="3"/>
      <c r="AH28" t="s">
        <v>1639</v>
      </c>
      <c r="AI28" t="s">
        <v>1639</v>
      </c>
      <c r="AJ28">
        <v>1</v>
      </c>
    </row>
    <row r="29" spans="1:36" x14ac:dyDescent="0.25">
      <c r="A29" s="6" t="e">
        <f t="shared" si="0"/>
        <v>#N/A</v>
      </c>
      <c r="B29" s="3" t="e">
        <f t="shared" si="0"/>
        <v>#N/A</v>
      </c>
      <c r="C29" s="3" t="e">
        <f t="shared" si="1"/>
        <v>#N/A</v>
      </c>
      <c r="D29" s="3" t="e">
        <f t="shared" si="2"/>
        <v>#N/A</v>
      </c>
      <c r="E29" s="3" t="e">
        <f t="shared" si="3"/>
        <v>#N/A</v>
      </c>
      <c r="F29" t="s">
        <v>1708</v>
      </c>
      <c r="G29">
        <v>0.1</v>
      </c>
      <c r="L29" s="1" t="s">
        <v>1772</v>
      </c>
      <c r="M29" t="s">
        <v>1640</v>
      </c>
      <c r="N29" s="3">
        <v>0.35</v>
      </c>
      <c r="O29" s="1" t="s">
        <v>1772</v>
      </c>
      <c r="P29" t="s">
        <v>1640</v>
      </c>
      <c r="Q29" s="3">
        <v>0.35</v>
      </c>
      <c r="R29" s="1" t="s">
        <v>1772</v>
      </c>
      <c r="S29" t="s">
        <v>1640</v>
      </c>
      <c r="T29" s="3">
        <v>0.35</v>
      </c>
      <c r="U29" s="1" t="s">
        <v>1772</v>
      </c>
      <c r="V29" t="s">
        <v>1640</v>
      </c>
      <c r="W29" s="3">
        <v>0.35</v>
      </c>
      <c r="Y29" s="3"/>
      <c r="AA29" s="3"/>
      <c r="AC29" s="3"/>
      <c r="AE29" s="3"/>
      <c r="AH29" t="s">
        <v>1640</v>
      </c>
      <c r="AI29" t="s">
        <v>1640</v>
      </c>
      <c r="AJ29">
        <v>1</v>
      </c>
    </row>
    <row r="30" spans="1:36" x14ac:dyDescent="0.25">
      <c r="A30" s="6" t="e">
        <f t="shared" si="0"/>
        <v>#N/A</v>
      </c>
      <c r="B30" s="3" t="e">
        <f t="shared" si="0"/>
        <v>#N/A</v>
      </c>
      <c r="C30" s="3" t="e">
        <f t="shared" si="1"/>
        <v>#N/A</v>
      </c>
      <c r="D30" s="3" t="e">
        <f t="shared" si="2"/>
        <v>#N/A</v>
      </c>
      <c r="E30" s="3" t="e">
        <f t="shared" si="3"/>
        <v>#N/A</v>
      </c>
      <c r="F30" t="s">
        <v>1840</v>
      </c>
      <c r="G30">
        <v>0.2</v>
      </c>
      <c r="L30" s="1" t="s">
        <v>1772</v>
      </c>
      <c r="M30" t="s">
        <v>1641</v>
      </c>
      <c r="N30" s="3">
        <v>0.4</v>
      </c>
      <c r="O30" s="1" t="s">
        <v>1772</v>
      </c>
      <c r="P30" t="s">
        <v>1641</v>
      </c>
      <c r="Q30" s="3">
        <v>0.4</v>
      </c>
      <c r="R30" s="1" t="s">
        <v>1772</v>
      </c>
      <c r="S30" t="s">
        <v>1641</v>
      </c>
      <c r="T30" s="3">
        <v>0.4</v>
      </c>
      <c r="U30" s="1" t="s">
        <v>1772</v>
      </c>
      <c r="V30" t="s">
        <v>1641</v>
      </c>
      <c r="W30" s="3">
        <v>0.4</v>
      </c>
      <c r="Y30" s="3"/>
      <c r="AA30" s="3"/>
      <c r="AC30" s="3"/>
      <c r="AE30" s="3"/>
      <c r="AH30" t="s">
        <v>1641</v>
      </c>
      <c r="AI30" t="s">
        <v>1641</v>
      </c>
      <c r="AJ30">
        <v>1</v>
      </c>
    </row>
    <row r="31" spans="1:36" x14ac:dyDescent="0.25">
      <c r="A31" s="6" t="e">
        <f t="shared" si="0"/>
        <v>#N/A</v>
      </c>
      <c r="B31" s="3" t="e">
        <f t="shared" si="0"/>
        <v>#N/A</v>
      </c>
      <c r="C31" s="3" t="e">
        <f t="shared" si="1"/>
        <v>#N/A</v>
      </c>
      <c r="D31" s="3" t="e">
        <f t="shared" si="2"/>
        <v>#N/A</v>
      </c>
      <c r="E31" s="3" t="e">
        <f t="shared" si="3"/>
        <v>#N/A</v>
      </c>
      <c r="F31" t="s">
        <v>1841</v>
      </c>
      <c r="G31">
        <v>0.2</v>
      </c>
      <c r="L31" s="1" t="s">
        <v>1772</v>
      </c>
      <c r="M31" t="s">
        <v>1642</v>
      </c>
      <c r="N31" s="3">
        <v>0.35</v>
      </c>
      <c r="O31" s="1" t="s">
        <v>1772</v>
      </c>
      <c r="P31" t="s">
        <v>1642</v>
      </c>
      <c r="Q31" s="3">
        <v>0.35</v>
      </c>
      <c r="R31" s="1" t="s">
        <v>1772</v>
      </c>
      <c r="S31" t="s">
        <v>1642</v>
      </c>
      <c r="T31" s="3">
        <v>0.35</v>
      </c>
      <c r="U31" s="1" t="s">
        <v>1772</v>
      </c>
      <c r="V31" t="s">
        <v>1642</v>
      </c>
      <c r="W31" s="3">
        <v>0.35</v>
      </c>
      <c r="Y31" s="3"/>
      <c r="AA31" s="3"/>
      <c r="AC31" s="3"/>
      <c r="AE31" s="3"/>
      <c r="AH31" t="s">
        <v>1642</v>
      </c>
      <c r="AI31" t="s">
        <v>1642</v>
      </c>
      <c r="AJ31">
        <v>1</v>
      </c>
    </row>
    <row r="32" spans="1:36" x14ac:dyDescent="0.25">
      <c r="A32" s="6" t="e">
        <f t="shared" si="0"/>
        <v>#N/A</v>
      </c>
      <c r="B32" s="3" t="e">
        <f t="shared" si="0"/>
        <v>#N/A</v>
      </c>
      <c r="C32" s="3" t="e">
        <f t="shared" si="1"/>
        <v>#N/A</v>
      </c>
      <c r="D32" s="3" t="e">
        <f t="shared" si="2"/>
        <v>#N/A</v>
      </c>
      <c r="E32" s="3" t="e">
        <f t="shared" si="3"/>
        <v>#N/A</v>
      </c>
      <c r="F32" t="s">
        <v>1844</v>
      </c>
      <c r="G32">
        <v>0.3</v>
      </c>
      <c r="L32" s="1" t="s">
        <v>1772</v>
      </c>
      <c r="M32" t="s">
        <v>1643</v>
      </c>
      <c r="N32" s="3">
        <v>0.8</v>
      </c>
      <c r="O32" s="1" t="s">
        <v>1772</v>
      </c>
      <c r="P32" t="s">
        <v>1643</v>
      </c>
      <c r="Q32" s="3">
        <v>0.8</v>
      </c>
      <c r="R32" s="1" t="s">
        <v>1772</v>
      </c>
      <c r="S32" t="s">
        <v>1643</v>
      </c>
      <c r="T32" s="3">
        <v>0.8</v>
      </c>
      <c r="U32" s="1" t="s">
        <v>1772</v>
      </c>
      <c r="V32" t="s">
        <v>1643</v>
      </c>
      <c r="W32" s="3">
        <v>0.8</v>
      </c>
      <c r="Y32" s="3"/>
      <c r="AA32" s="3"/>
      <c r="AC32" s="3"/>
      <c r="AE32" s="3"/>
      <c r="AH32" t="s">
        <v>1643</v>
      </c>
      <c r="AI32" t="s">
        <v>1643</v>
      </c>
      <c r="AJ32">
        <v>1</v>
      </c>
    </row>
    <row r="33" spans="1:36" x14ac:dyDescent="0.25">
      <c r="A33" s="6" t="e">
        <f t="shared" si="0"/>
        <v>#N/A</v>
      </c>
      <c r="B33" s="3" t="e">
        <f t="shared" si="0"/>
        <v>#N/A</v>
      </c>
      <c r="C33" s="3" t="e">
        <f t="shared" si="1"/>
        <v>#N/A</v>
      </c>
      <c r="D33" s="3" t="e">
        <f t="shared" si="2"/>
        <v>#N/A</v>
      </c>
      <c r="E33" s="3" t="e">
        <f t="shared" si="3"/>
        <v>#N/A</v>
      </c>
      <c r="F33" t="s">
        <v>1845</v>
      </c>
      <c r="G33">
        <v>0.3</v>
      </c>
      <c r="L33" s="1" t="s">
        <v>1772</v>
      </c>
      <c r="M33" t="s">
        <v>1644</v>
      </c>
      <c r="N33" s="3">
        <v>0.85</v>
      </c>
      <c r="O33" s="1" t="s">
        <v>1772</v>
      </c>
      <c r="P33" t="s">
        <v>1644</v>
      </c>
      <c r="Q33" s="3">
        <v>0.85</v>
      </c>
      <c r="R33" s="1" t="s">
        <v>1772</v>
      </c>
      <c r="S33" t="s">
        <v>1644</v>
      </c>
      <c r="T33" s="3">
        <v>0.85</v>
      </c>
      <c r="U33" s="1" t="s">
        <v>1772</v>
      </c>
      <c r="V33" t="s">
        <v>1644</v>
      </c>
      <c r="W33" s="3">
        <v>0.85</v>
      </c>
      <c r="AE33" s="3"/>
      <c r="AH33" t="s">
        <v>1644</v>
      </c>
      <c r="AI33" t="s">
        <v>1644</v>
      </c>
      <c r="AJ33">
        <v>1</v>
      </c>
    </row>
    <row r="34" spans="1:36" x14ac:dyDescent="0.25">
      <c r="A34" s="6" t="e">
        <f t="shared" si="0"/>
        <v>#N/A</v>
      </c>
      <c r="B34" s="3" t="e">
        <f t="shared" si="0"/>
        <v>#N/A</v>
      </c>
      <c r="C34" s="3" t="e">
        <f t="shared" si="1"/>
        <v>#N/A</v>
      </c>
      <c r="D34" s="3" t="e">
        <f t="shared" si="2"/>
        <v>#N/A</v>
      </c>
      <c r="E34" s="3" t="e">
        <f t="shared" si="3"/>
        <v>#N/A</v>
      </c>
      <c r="F34" t="s">
        <v>1846</v>
      </c>
      <c r="G34">
        <v>0.3</v>
      </c>
      <c r="L34" s="1" t="s">
        <v>1772</v>
      </c>
      <c r="M34" t="s">
        <v>1645</v>
      </c>
      <c r="N34" s="3">
        <v>0.75</v>
      </c>
      <c r="O34" s="1" t="s">
        <v>1772</v>
      </c>
      <c r="P34" t="s">
        <v>1645</v>
      </c>
      <c r="Q34" s="3">
        <v>0.75</v>
      </c>
      <c r="R34" s="1" t="s">
        <v>1772</v>
      </c>
      <c r="S34" t="s">
        <v>1645</v>
      </c>
      <c r="T34" s="3">
        <v>0.75</v>
      </c>
      <c r="U34" s="1" t="s">
        <v>1772</v>
      </c>
      <c r="V34" t="s">
        <v>1645</v>
      </c>
      <c r="W34" s="3">
        <v>0.75</v>
      </c>
      <c r="AE34" s="3"/>
      <c r="AH34" t="s">
        <v>1645</v>
      </c>
      <c r="AI34" t="s">
        <v>1645</v>
      </c>
      <c r="AJ34">
        <v>1</v>
      </c>
    </row>
    <row r="35" spans="1:36" x14ac:dyDescent="0.25">
      <c r="A35" s="6" t="e">
        <f t="shared" si="0"/>
        <v>#N/A</v>
      </c>
      <c r="B35" s="3" t="e">
        <f t="shared" si="0"/>
        <v>#N/A</v>
      </c>
      <c r="C35" s="3" t="e">
        <f t="shared" si="1"/>
        <v>#N/A</v>
      </c>
      <c r="D35" s="3" t="e">
        <f t="shared" si="2"/>
        <v>#N/A</v>
      </c>
      <c r="E35" s="3" t="e">
        <f t="shared" si="3"/>
        <v>#N/A</v>
      </c>
      <c r="F35" t="s">
        <v>64</v>
      </c>
      <c r="G35">
        <v>0.4</v>
      </c>
      <c r="L35" s="1" t="s">
        <v>1772</v>
      </c>
      <c r="M35" t="s">
        <v>1646</v>
      </c>
      <c r="N35" s="3">
        <v>1.6</v>
      </c>
      <c r="O35" s="1" t="s">
        <v>1772</v>
      </c>
      <c r="P35" t="s">
        <v>1646</v>
      </c>
      <c r="Q35" s="3">
        <v>1.6</v>
      </c>
      <c r="R35" s="1" t="s">
        <v>1772</v>
      </c>
      <c r="S35" t="s">
        <v>1646</v>
      </c>
      <c r="T35" s="3">
        <v>1.6</v>
      </c>
      <c r="U35" s="1" t="s">
        <v>1772</v>
      </c>
      <c r="V35" t="s">
        <v>1646</v>
      </c>
      <c r="W35" s="3">
        <v>1.6</v>
      </c>
      <c r="AE35" s="3"/>
      <c r="AH35" t="s">
        <v>1646</v>
      </c>
      <c r="AI35" t="s">
        <v>1646</v>
      </c>
      <c r="AJ35">
        <v>1</v>
      </c>
    </row>
    <row r="36" spans="1:36" x14ac:dyDescent="0.25">
      <c r="A36" s="6" t="e">
        <f t="shared" ref="A36:A99" si="4">IF($B$1="Solo",IF(L35="","",L35),IF($B$1="Duet",IF(O35="","",O35),IF($B$1="Mixed",IF(R35="","",R35),IF(U35="","",U35))))</f>
        <v>#N/A</v>
      </c>
      <c r="B36" s="3" t="e">
        <f t="shared" ref="B36:B67" si="5">IF($B$1="Solo",IF(M35="","",M35),IF($B$1="Duet",IF(P35="","",P35),IF($B$1="Mixed",IF(S35="","",S35),IF(V35="","",V35))))</f>
        <v>#N/A</v>
      </c>
      <c r="C36" s="3" t="e">
        <f t="shared" ref="C36:C67" si="6">IF($B$1="Solo",IF(N35="","",N35),IF($B$1="Duet",IF(Q35="","",Q35),IF($B$1="Mixed",IF(T35="","",T35),IF(W35="","",W35))))</f>
        <v>#N/A</v>
      </c>
      <c r="D36" s="3" t="e">
        <f t="shared" si="2"/>
        <v>#N/A</v>
      </c>
      <c r="E36" s="3" t="e">
        <f t="shared" si="3"/>
        <v>#N/A</v>
      </c>
      <c r="F36" t="s">
        <v>65</v>
      </c>
      <c r="G36">
        <v>0.5</v>
      </c>
      <c r="L36" s="1" t="s">
        <v>1772</v>
      </c>
      <c r="M36" t="s">
        <v>1647</v>
      </c>
      <c r="N36" s="3">
        <v>1.65</v>
      </c>
      <c r="O36" s="1" t="s">
        <v>1772</v>
      </c>
      <c r="P36" t="s">
        <v>1647</v>
      </c>
      <c r="Q36" s="3">
        <v>1.65</v>
      </c>
      <c r="R36" s="1" t="s">
        <v>1772</v>
      </c>
      <c r="S36" t="s">
        <v>1647</v>
      </c>
      <c r="T36" s="3">
        <v>1.65</v>
      </c>
      <c r="U36" s="1" t="s">
        <v>1772</v>
      </c>
      <c r="V36" t="s">
        <v>1647</v>
      </c>
      <c r="W36" s="3">
        <v>1.65</v>
      </c>
      <c r="AE36" s="3"/>
      <c r="AH36" t="s">
        <v>1647</v>
      </c>
      <c r="AI36" t="s">
        <v>1647</v>
      </c>
      <c r="AJ36">
        <v>1</v>
      </c>
    </row>
    <row r="37" spans="1:36" x14ac:dyDescent="0.25">
      <c r="A37" s="6" t="e">
        <f t="shared" si="4"/>
        <v>#N/A</v>
      </c>
      <c r="B37" s="3" t="e">
        <f t="shared" si="5"/>
        <v>#N/A</v>
      </c>
      <c r="C37" s="3" t="e">
        <f t="shared" si="6"/>
        <v>#N/A</v>
      </c>
      <c r="D37" s="3" t="e">
        <f t="shared" si="2"/>
        <v>#N/A</v>
      </c>
      <c r="E37" s="3" t="e">
        <f t="shared" si="3"/>
        <v>#N/A</v>
      </c>
      <c r="F37" t="s">
        <v>66</v>
      </c>
      <c r="G37">
        <v>1</v>
      </c>
      <c r="L37" s="1" t="s">
        <v>1772</v>
      </c>
      <c r="M37" t="s">
        <v>1648</v>
      </c>
      <c r="N37" s="3">
        <v>1.1499999999999999</v>
      </c>
      <c r="O37" s="1" t="s">
        <v>1772</v>
      </c>
      <c r="P37" t="s">
        <v>1648</v>
      </c>
      <c r="Q37" s="3">
        <v>1.1499999999999999</v>
      </c>
      <c r="R37" s="1" t="s">
        <v>1772</v>
      </c>
      <c r="S37" t="s">
        <v>1648</v>
      </c>
      <c r="T37" s="3">
        <v>1.1499999999999999</v>
      </c>
      <c r="U37" s="1" t="s">
        <v>1772</v>
      </c>
      <c r="V37" t="s">
        <v>1648</v>
      </c>
      <c r="W37" s="3">
        <v>1.1499999999999999</v>
      </c>
      <c r="AE37" s="3"/>
      <c r="AH37" t="s">
        <v>1648</v>
      </c>
      <c r="AI37" t="s">
        <v>1648</v>
      </c>
      <c r="AJ37">
        <v>1</v>
      </c>
    </row>
    <row r="38" spans="1:36" x14ac:dyDescent="0.25">
      <c r="A38" s="6" t="e">
        <f t="shared" si="4"/>
        <v>#N/A</v>
      </c>
      <c r="B38" s="3" t="e">
        <f t="shared" si="5"/>
        <v>#N/A</v>
      </c>
      <c r="C38" s="3" t="e">
        <f t="shared" si="6"/>
        <v>#N/A</v>
      </c>
      <c r="D38" s="3" t="e">
        <f t="shared" si="2"/>
        <v>#N/A</v>
      </c>
      <c r="E38" s="3" t="e">
        <f t="shared" si="3"/>
        <v>#N/A</v>
      </c>
      <c r="F38" t="s">
        <v>1850</v>
      </c>
      <c r="G38">
        <v>1.25</v>
      </c>
      <c r="L38" s="1" t="s">
        <v>1772</v>
      </c>
      <c r="M38" t="s">
        <v>1649</v>
      </c>
      <c r="N38" s="3">
        <v>2.4</v>
      </c>
      <c r="O38" s="1" t="s">
        <v>1772</v>
      </c>
      <c r="P38" t="s">
        <v>1649</v>
      </c>
      <c r="Q38" s="3">
        <v>2.4</v>
      </c>
      <c r="R38" s="1" t="s">
        <v>1772</v>
      </c>
      <c r="S38" t="s">
        <v>1649</v>
      </c>
      <c r="T38" s="3">
        <v>2.4</v>
      </c>
      <c r="U38" s="1" t="s">
        <v>1772</v>
      </c>
      <c r="V38" t="s">
        <v>1649</v>
      </c>
      <c r="W38" s="3">
        <v>2.4</v>
      </c>
      <c r="AE38" s="3"/>
      <c r="AH38" t="s">
        <v>1649</v>
      </c>
      <c r="AI38" t="s">
        <v>1649</v>
      </c>
      <c r="AJ38">
        <v>1</v>
      </c>
    </row>
    <row r="39" spans="1:36" x14ac:dyDescent="0.25">
      <c r="A39" s="6" t="e">
        <f t="shared" si="4"/>
        <v>#N/A</v>
      </c>
      <c r="B39" s="3" t="e">
        <f t="shared" si="5"/>
        <v>#N/A</v>
      </c>
      <c r="C39" s="3" t="e">
        <f t="shared" si="6"/>
        <v>#N/A</v>
      </c>
      <c r="D39" s="3" t="e">
        <f t="shared" si="2"/>
        <v>#N/A</v>
      </c>
      <c r="E39" s="3" t="e">
        <f t="shared" si="3"/>
        <v>#N/A</v>
      </c>
      <c r="F39" t="s">
        <v>1851</v>
      </c>
      <c r="G39">
        <v>1.25</v>
      </c>
      <c r="L39" s="1" t="s">
        <v>1772</v>
      </c>
      <c r="M39" t="s">
        <v>1650</v>
      </c>
      <c r="N39" s="3">
        <v>2.4500000000000002</v>
      </c>
      <c r="O39" s="1" t="s">
        <v>1772</v>
      </c>
      <c r="P39" t="s">
        <v>1650</v>
      </c>
      <c r="Q39" s="3">
        <v>2.4500000000000002</v>
      </c>
      <c r="R39" s="1" t="s">
        <v>1772</v>
      </c>
      <c r="S39" t="s">
        <v>1650</v>
      </c>
      <c r="T39" s="3">
        <v>2.4500000000000002</v>
      </c>
      <c r="U39" s="1" t="s">
        <v>1772</v>
      </c>
      <c r="V39" t="s">
        <v>1650</v>
      </c>
      <c r="W39" s="3">
        <v>2.4500000000000002</v>
      </c>
      <c r="AE39" s="3"/>
      <c r="AH39" t="s">
        <v>1650</v>
      </c>
      <c r="AI39" t="s">
        <v>1650</v>
      </c>
      <c r="AJ39">
        <v>1</v>
      </c>
    </row>
    <row r="40" spans="1:36" x14ac:dyDescent="0.25">
      <c r="A40" s="6" t="e">
        <f t="shared" si="4"/>
        <v>#N/A</v>
      </c>
      <c r="B40" s="3" t="e">
        <f t="shared" si="5"/>
        <v>#N/A</v>
      </c>
      <c r="C40" s="3" t="e">
        <f t="shared" si="6"/>
        <v>#N/A</v>
      </c>
      <c r="D40" s="3" t="e">
        <f t="shared" si="2"/>
        <v>#N/A</v>
      </c>
      <c r="E40" s="3" t="e">
        <f t="shared" si="3"/>
        <v>#N/A</v>
      </c>
      <c r="F40" t="s">
        <v>1710</v>
      </c>
      <c r="G40">
        <v>1.5</v>
      </c>
      <c r="L40" s="1" t="s">
        <v>1772</v>
      </c>
      <c r="M40" t="s">
        <v>1651</v>
      </c>
      <c r="N40" s="3">
        <v>1.55</v>
      </c>
      <c r="O40" s="1" t="s">
        <v>1772</v>
      </c>
      <c r="P40" t="s">
        <v>1651</v>
      </c>
      <c r="Q40" s="3">
        <v>1.55</v>
      </c>
      <c r="R40" s="1" t="s">
        <v>1772</v>
      </c>
      <c r="S40" t="s">
        <v>1651</v>
      </c>
      <c r="T40" s="3">
        <v>1.55</v>
      </c>
      <c r="U40" s="1" t="s">
        <v>1772</v>
      </c>
      <c r="V40" t="s">
        <v>1651</v>
      </c>
      <c r="W40" s="3">
        <v>1.55</v>
      </c>
      <c r="AE40" s="3"/>
      <c r="AH40" t="s">
        <v>1651</v>
      </c>
      <c r="AI40" t="s">
        <v>1651</v>
      </c>
      <c r="AJ40">
        <v>1</v>
      </c>
    </row>
    <row r="41" spans="1:36" x14ac:dyDescent="0.25">
      <c r="A41" s="6" t="e">
        <f t="shared" si="4"/>
        <v>#N/A</v>
      </c>
      <c r="B41" s="3" t="e">
        <f t="shared" si="5"/>
        <v>#N/A</v>
      </c>
      <c r="C41" s="3" t="e">
        <f t="shared" si="6"/>
        <v>#N/A</v>
      </c>
      <c r="D41" s="3" t="e">
        <f t="shared" si="2"/>
        <v>#N/A</v>
      </c>
      <c r="E41" s="3" t="e">
        <f t="shared" si="3"/>
        <v>#N/A</v>
      </c>
      <c r="F41" t="s">
        <v>1978</v>
      </c>
      <c r="G41">
        <v>0.15</v>
      </c>
      <c r="L41" s="1" t="s">
        <v>1772</v>
      </c>
      <c r="M41" t="s">
        <v>1652</v>
      </c>
      <c r="N41" s="3">
        <v>3.2</v>
      </c>
      <c r="O41" s="1" t="s">
        <v>1772</v>
      </c>
      <c r="P41" t="s">
        <v>1652</v>
      </c>
      <c r="Q41" s="3">
        <v>3.2</v>
      </c>
      <c r="R41" s="1" t="s">
        <v>1772</v>
      </c>
      <c r="S41" t="s">
        <v>1652</v>
      </c>
      <c r="T41" s="3">
        <v>3.2</v>
      </c>
      <c r="U41" s="1" t="s">
        <v>1772</v>
      </c>
      <c r="V41" t="s">
        <v>1652</v>
      </c>
      <c r="W41" s="3">
        <v>3.2</v>
      </c>
      <c r="AE41" s="3"/>
      <c r="AH41" t="s">
        <v>1652</v>
      </c>
      <c r="AI41" t="s">
        <v>1652</v>
      </c>
      <c r="AJ41">
        <v>1</v>
      </c>
    </row>
    <row r="42" spans="1:36" x14ac:dyDescent="0.25">
      <c r="A42" s="6" t="e">
        <f t="shared" si="4"/>
        <v>#N/A</v>
      </c>
      <c r="B42" s="3" t="e">
        <f t="shared" si="5"/>
        <v>#N/A</v>
      </c>
      <c r="C42" s="3" t="e">
        <f t="shared" si="6"/>
        <v>#N/A</v>
      </c>
      <c r="D42" s="3" t="e">
        <f t="shared" si="2"/>
        <v>#N/A</v>
      </c>
      <c r="E42" s="3" t="e">
        <f t="shared" si="3"/>
        <v>#N/A</v>
      </c>
      <c r="F42" t="s">
        <v>1979</v>
      </c>
      <c r="G42">
        <v>0.22500000000000001</v>
      </c>
      <c r="L42" s="1" t="s">
        <v>1772</v>
      </c>
      <c r="M42" t="s">
        <v>1653</v>
      </c>
      <c r="N42" s="3">
        <v>3.25</v>
      </c>
      <c r="O42" s="1" t="s">
        <v>1772</v>
      </c>
      <c r="P42" t="s">
        <v>1653</v>
      </c>
      <c r="Q42" s="3">
        <v>3.25</v>
      </c>
      <c r="R42" s="1" t="s">
        <v>1772</v>
      </c>
      <c r="S42" t="s">
        <v>1653</v>
      </c>
      <c r="T42" s="3">
        <v>3.25</v>
      </c>
      <c r="U42" s="1" t="s">
        <v>1772</v>
      </c>
      <c r="V42" t="s">
        <v>1653</v>
      </c>
      <c r="W42" s="3">
        <v>3.25</v>
      </c>
      <c r="AH42" t="s">
        <v>1653</v>
      </c>
      <c r="AI42" t="s">
        <v>1653</v>
      </c>
      <c r="AJ42">
        <v>1</v>
      </c>
    </row>
    <row r="43" spans="1:36" x14ac:dyDescent="0.25">
      <c r="A43" s="6" t="e">
        <f t="shared" si="4"/>
        <v>#N/A</v>
      </c>
      <c r="B43" s="3" t="e">
        <f t="shared" si="5"/>
        <v>#N/A</v>
      </c>
      <c r="C43" s="3" t="e">
        <f t="shared" si="6"/>
        <v>#N/A</v>
      </c>
      <c r="D43" s="3" t="e">
        <f t="shared" si="2"/>
        <v>#N/A</v>
      </c>
      <c r="E43" s="3" t="e">
        <f t="shared" si="3"/>
        <v>#N/A</v>
      </c>
      <c r="F43" t="s">
        <v>1980</v>
      </c>
      <c r="G43">
        <v>0.25</v>
      </c>
      <c r="L43" s="1" t="s">
        <v>1772</v>
      </c>
      <c r="M43" t="s">
        <v>1654</v>
      </c>
      <c r="N43" s="3">
        <v>1.95</v>
      </c>
      <c r="O43" s="1" t="s">
        <v>1772</v>
      </c>
      <c r="P43" t="s">
        <v>1654</v>
      </c>
      <c r="Q43" s="3">
        <v>1.95</v>
      </c>
      <c r="R43" s="1" t="s">
        <v>1772</v>
      </c>
      <c r="S43" t="s">
        <v>1654</v>
      </c>
      <c r="T43" s="3">
        <v>1.95</v>
      </c>
      <c r="U43" s="1" t="s">
        <v>1772</v>
      </c>
      <c r="V43" t="s">
        <v>1654</v>
      </c>
      <c r="W43" s="3">
        <v>1.95</v>
      </c>
      <c r="AH43" t="s">
        <v>1654</v>
      </c>
      <c r="AI43" t="s">
        <v>1654</v>
      </c>
      <c r="AJ43">
        <v>1</v>
      </c>
    </row>
    <row r="44" spans="1:36" x14ac:dyDescent="0.25">
      <c r="A44" s="6" t="e">
        <f t="shared" si="4"/>
        <v>#N/A</v>
      </c>
      <c r="B44" s="3" t="e">
        <f t="shared" si="5"/>
        <v>#N/A</v>
      </c>
      <c r="C44" s="3" t="e">
        <f t="shared" si="6"/>
        <v>#N/A</v>
      </c>
      <c r="D44" s="3" t="e">
        <f t="shared" si="2"/>
        <v>#N/A</v>
      </c>
      <c r="E44" s="3" t="e">
        <f t="shared" si="3"/>
        <v>#N/A</v>
      </c>
      <c r="F44" t="s">
        <v>1981</v>
      </c>
      <c r="G44">
        <v>0.25</v>
      </c>
      <c r="L44" s="1" t="s">
        <v>1772</v>
      </c>
      <c r="M44" t="s">
        <v>1655</v>
      </c>
      <c r="N44" s="3">
        <v>4</v>
      </c>
      <c r="O44" s="1" t="s">
        <v>1772</v>
      </c>
      <c r="P44" t="s">
        <v>1655</v>
      </c>
      <c r="Q44" s="3">
        <v>4</v>
      </c>
      <c r="R44" s="1" t="s">
        <v>1772</v>
      </c>
      <c r="S44" t="s">
        <v>1655</v>
      </c>
      <c r="T44" s="3">
        <v>4</v>
      </c>
      <c r="U44" s="1" t="s">
        <v>1772</v>
      </c>
      <c r="V44" t="s">
        <v>1655</v>
      </c>
      <c r="W44" s="3">
        <v>4</v>
      </c>
      <c r="AH44" t="s">
        <v>1655</v>
      </c>
      <c r="AI44" t="s">
        <v>1655</v>
      </c>
      <c r="AJ44">
        <v>1</v>
      </c>
    </row>
    <row r="45" spans="1:36" x14ac:dyDescent="0.25">
      <c r="A45" s="6" t="e">
        <f t="shared" si="4"/>
        <v>#N/A</v>
      </c>
      <c r="B45" s="3" t="e">
        <f t="shared" si="5"/>
        <v>#N/A</v>
      </c>
      <c r="C45" s="3" t="e">
        <f t="shared" si="6"/>
        <v>#N/A</v>
      </c>
      <c r="D45" s="3" t="e">
        <f t="shared" si="2"/>
        <v>#N/A</v>
      </c>
      <c r="E45" s="3" t="e">
        <f t="shared" si="3"/>
        <v>#N/A</v>
      </c>
      <c r="F45" t="s">
        <v>1982</v>
      </c>
      <c r="G45">
        <v>0.32500000000000001</v>
      </c>
      <c r="L45" s="1" t="s">
        <v>1772</v>
      </c>
      <c r="M45" t="s">
        <v>1656</v>
      </c>
      <c r="N45" s="3">
        <v>4.05</v>
      </c>
      <c r="O45" s="1" t="s">
        <v>1772</v>
      </c>
      <c r="P45" t="s">
        <v>1656</v>
      </c>
      <c r="Q45" s="3">
        <v>4.05</v>
      </c>
      <c r="R45" s="1" t="s">
        <v>1772</v>
      </c>
      <c r="S45" t="s">
        <v>1656</v>
      </c>
      <c r="T45" s="3">
        <v>4.05</v>
      </c>
      <c r="U45" s="1" t="s">
        <v>1772</v>
      </c>
      <c r="V45" t="s">
        <v>1656</v>
      </c>
      <c r="W45" s="3">
        <v>4.05</v>
      </c>
      <c r="AH45" t="s">
        <v>1656</v>
      </c>
      <c r="AI45" t="s">
        <v>1656</v>
      </c>
      <c r="AJ45">
        <v>1</v>
      </c>
    </row>
    <row r="46" spans="1:36" x14ac:dyDescent="0.25">
      <c r="A46" s="6" t="e">
        <f t="shared" si="4"/>
        <v>#N/A</v>
      </c>
      <c r="B46" s="3" t="e">
        <f t="shared" si="5"/>
        <v>#N/A</v>
      </c>
      <c r="C46" s="3" t="e">
        <f t="shared" si="6"/>
        <v>#N/A</v>
      </c>
      <c r="D46" s="3" t="e">
        <f t="shared" si="2"/>
        <v>#N/A</v>
      </c>
      <c r="E46" s="3" t="e">
        <f t="shared" si="3"/>
        <v>#N/A</v>
      </c>
      <c r="F46" t="s">
        <v>1983</v>
      </c>
      <c r="G46">
        <v>0.32500000000000001</v>
      </c>
      <c r="L46" s="1" t="s">
        <v>1772</v>
      </c>
      <c r="M46" t="s">
        <v>1657</v>
      </c>
      <c r="N46" s="3">
        <v>2.35</v>
      </c>
      <c r="O46" s="1" t="s">
        <v>1772</v>
      </c>
      <c r="P46" t="s">
        <v>1657</v>
      </c>
      <c r="Q46" s="3">
        <v>2.35</v>
      </c>
      <c r="R46" s="1" t="s">
        <v>1772</v>
      </c>
      <c r="S46" t="s">
        <v>1657</v>
      </c>
      <c r="T46" s="3">
        <v>2.35</v>
      </c>
      <c r="U46" s="1" t="s">
        <v>1772</v>
      </c>
      <c r="V46" t="s">
        <v>1657</v>
      </c>
      <c r="W46" s="3">
        <v>2.35</v>
      </c>
      <c r="AH46" t="s">
        <v>1657</v>
      </c>
      <c r="AI46" t="s">
        <v>1657</v>
      </c>
      <c r="AJ46">
        <v>1</v>
      </c>
    </row>
    <row r="47" spans="1:36" x14ac:dyDescent="0.25">
      <c r="A47" s="6" t="e">
        <f t="shared" si="4"/>
        <v>#N/A</v>
      </c>
      <c r="B47" s="3" t="e">
        <f t="shared" si="5"/>
        <v>#N/A</v>
      </c>
      <c r="C47" s="3" t="e">
        <f t="shared" si="6"/>
        <v>#N/A</v>
      </c>
      <c r="D47" s="3" t="e">
        <f t="shared" si="2"/>
        <v>#N/A</v>
      </c>
      <c r="E47" s="3" t="e">
        <f t="shared" si="3"/>
        <v>#N/A</v>
      </c>
      <c r="F47" t="s">
        <v>1984</v>
      </c>
      <c r="G47">
        <v>0.32500000000000001</v>
      </c>
      <c r="L47" s="1" t="s">
        <v>1772</v>
      </c>
      <c r="M47" t="s">
        <v>1658</v>
      </c>
      <c r="N47" s="3">
        <v>4.8</v>
      </c>
      <c r="O47" s="1" t="s">
        <v>1772</v>
      </c>
      <c r="P47" t="s">
        <v>1658</v>
      </c>
      <c r="Q47" s="3">
        <v>4.8</v>
      </c>
      <c r="R47" s="1" t="s">
        <v>1772</v>
      </c>
      <c r="S47" t="s">
        <v>1658</v>
      </c>
      <c r="T47" s="3">
        <v>4.8</v>
      </c>
      <c r="U47" s="1" t="s">
        <v>1772</v>
      </c>
      <c r="V47" t="s">
        <v>1658</v>
      </c>
      <c r="W47" s="3">
        <v>4.8</v>
      </c>
      <c r="AH47" t="s">
        <v>1658</v>
      </c>
      <c r="AI47" t="s">
        <v>1658</v>
      </c>
      <c r="AJ47">
        <v>1</v>
      </c>
    </row>
    <row r="48" spans="1:36" x14ac:dyDescent="0.25">
      <c r="A48" s="6" t="e">
        <f t="shared" si="4"/>
        <v>#N/A</v>
      </c>
      <c r="B48" s="3" t="e">
        <f t="shared" si="5"/>
        <v>#N/A</v>
      </c>
      <c r="C48" s="3" t="e">
        <f t="shared" si="6"/>
        <v>#N/A</v>
      </c>
      <c r="D48" s="3" t="e">
        <f t="shared" si="2"/>
        <v>#N/A</v>
      </c>
      <c r="E48" s="3" t="e">
        <f t="shared" si="3"/>
        <v>#N/A</v>
      </c>
      <c r="F48" t="s">
        <v>1985</v>
      </c>
      <c r="G48">
        <v>0.32500000000000001</v>
      </c>
      <c r="L48" s="1" t="s">
        <v>1772</v>
      </c>
      <c r="M48" t="s">
        <v>1659</v>
      </c>
      <c r="N48" s="3">
        <v>4.8499999999999996</v>
      </c>
      <c r="O48" s="1" t="s">
        <v>1772</v>
      </c>
      <c r="P48" t="s">
        <v>1659</v>
      </c>
      <c r="Q48" s="3">
        <v>4.8499999999999996</v>
      </c>
      <c r="R48" s="1" t="s">
        <v>1772</v>
      </c>
      <c r="S48" t="s">
        <v>1659</v>
      </c>
      <c r="T48" s="3">
        <v>4.8499999999999996</v>
      </c>
      <c r="U48" s="1" t="s">
        <v>1772</v>
      </c>
      <c r="V48" t="s">
        <v>1659</v>
      </c>
      <c r="W48" s="3">
        <v>4.8499999999999996</v>
      </c>
      <c r="AH48" t="s">
        <v>1659</v>
      </c>
      <c r="AI48" t="s">
        <v>1659</v>
      </c>
      <c r="AJ48">
        <v>1</v>
      </c>
    </row>
    <row r="49" spans="1:36" x14ac:dyDescent="0.25">
      <c r="A49" s="6" t="e">
        <f t="shared" si="4"/>
        <v>#N/A</v>
      </c>
      <c r="B49" s="3" t="e">
        <f t="shared" si="5"/>
        <v>#N/A</v>
      </c>
      <c r="C49" s="3" t="e">
        <f t="shared" si="6"/>
        <v>#N/A</v>
      </c>
      <c r="D49" s="3" t="e">
        <f t="shared" si="2"/>
        <v>#N/A</v>
      </c>
      <c r="E49" s="3" t="e">
        <f t="shared" si="3"/>
        <v>#N/A</v>
      </c>
      <c r="F49" t="s">
        <v>1986</v>
      </c>
      <c r="G49">
        <v>0.4</v>
      </c>
      <c r="L49" s="1" t="s">
        <v>1772</v>
      </c>
      <c r="M49" t="s">
        <v>1660</v>
      </c>
      <c r="N49" s="3">
        <v>2.75</v>
      </c>
      <c r="O49" s="1" t="s">
        <v>1772</v>
      </c>
      <c r="P49" t="s">
        <v>1660</v>
      </c>
      <c r="Q49" s="3">
        <v>2.75</v>
      </c>
      <c r="R49" s="1" t="s">
        <v>1772</v>
      </c>
      <c r="S49" t="s">
        <v>1660</v>
      </c>
      <c r="T49" s="3">
        <v>2.75</v>
      </c>
      <c r="U49" s="1" t="s">
        <v>1772</v>
      </c>
      <c r="V49" t="s">
        <v>1660</v>
      </c>
      <c r="W49" s="3">
        <v>2.75</v>
      </c>
      <c r="AH49" t="s">
        <v>1660</v>
      </c>
      <c r="AI49" t="s">
        <v>1660</v>
      </c>
      <c r="AJ49">
        <v>1</v>
      </c>
    </row>
    <row r="50" spans="1:36" x14ac:dyDescent="0.25">
      <c r="A50" s="6" t="e">
        <f t="shared" si="4"/>
        <v>#N/A</v>
      </c>
      <c r="B50" s="3" t="e">
        <f t="shared" si="5"/>
        <v>#N/A</v>
      </c>
      <c r="C50" s="3" t="e">
        <f t="shared" si="6"/>
        <v>#N/A</v>
      </c>
      <c r="D50" s="3" t="e">
        <f t="shared" si="2"/>
        <v>#N/A</v>
      </c>
      <c r="E50" s="3" t="e">
        <f t="shared" si="3"/>
        <v>#N/A</v>
      </c>
      <c r="F50" t="s">
        <v>1987</v>
      </c>
      <c r="G50">
        <v>0.4</v>
      </c>
      <c r="L50" s="1" t="s">
        <v>1772</v>
      </c>
      <c r="M50" t="s">
        <v>1661</v>
      </c>
      <c r="N50" s="3">
        <v>3.15</v>
      </c>
      <c r="O50" s="1" t="s">
        <v>1772</v>
      </c>
      <c r="P50" t="s">
        <v>1661</v>
      </c>
      <c r="Q50" s="3">
        <v>3.15</v>
      </c>
      <c r="R50" s="1" t="s">
        <v>1772</v>
      </c>
      <c r="S50" t="s">
        <v>1661</v>
      </c>
      <c r="T50" s="3">
        <v>3.15</v>
      </c>
      <c r="U50" s="1" t="s">
        <v>1772</v>
      </c>
      <c r="V50" t="s">
        <v>1661</v>
      </c>
      <c r="W50" s="3">
        <v>3.15</v>
      </c>
      <c r="AH50" t="s">
        <v>1661</v>
      </c>
      <c r="AI50" t="s">
        <v>1661</v>
      </c>
      <c r="AJ50">
        <v>1</v>
      </c>
    </row>
    <row r="51" spans="1:36" x14ac:dyDescent="0.25">
      <c r="A51" s="6" t="e">
        <f t="shared" si="4"/>
        <v>#N/A</v>
      </c>
      <c r="B51" s="3" t="e">
        <f t="shared" si="5"/>
        <v>#N/A</v>
      </c>
      <c r="C51" s="3" t="e">
        <f t="shared" si="6"/>
        <v>#N/A</v>
      </c>
      <c r="D51" s="3" t="e">
        <f t="shared" si="2"/>
        <v>#N/A</v>
      </c>
      <c r="E51" s="3" t="e">
        <f t="shared" si="3"/>
        <v>#N/A</v>
      </c>
      <c r="F51" t="s">
        <v>1988</v>
      </c>
      <c r="G51">
        <v>0.4</v>
      </c>
      <c r="L51" s="1" t="s">
        <v>1772</v>
      </c>
      <c r="M51" t="s">
        <v>1662</v>
      </c>
      <c r="N51" s="3">
        <v>3.55</v>
      </c>
      <c r="O51" s="1" t="s">
        <v>1772</v>
      </c>
      <c r="P51" t="s">
        <v>1662</v>
      </c>
      <c r="Q51" s="3">
        <v>3.55</v>
      </c>
      <c r="R51" s="1" t="s">
        <v>1772</v>
      </c>
      <c r="S51" t="s">
        <v>1662</v>
      </c>
      <c r="T51" s="3">
        <v>3.55</v>
      </c>
      <c r="U51" s="1" t="s">
        <v>1772</v>
      </c>
      <c r="V51" t="s">
        <v>1662</v>
      </c>
      <c r="W51" s="3">
        <v>3.55</v>
      </c>
      <c r="AH51" t="s">
        <v>1662</v>
      </c>
      <c r="AI51" t="s">
        <v>1662</v>
      </c>
      <c r="AJ51">
        <v>1</v>
      </c>
    </row>
    <row r="52" spans="1:36" x14ac:dyDescent="0.25">
      <c r="A52" s="6" t="e">
        <f t="shared" si="4"/>
        <v>#N/A</v>
      </c>
      <c r="B52" s="3" t="e">
        <f t="shared" si="5"/>
        <v>#N/A</v>
      </c>
      <c r="C52" s="3" t="e">
        <f t="shared" si="6"/>
        <v>#N/A</v>
      </c>
      <c r="D52" s="3" t="e">
        <f t="shared" si="2"/>
        <v>#N/A</v>
      </c>
      <c r="E52" s="3" t="e">
        <f t="shared" si="3"/>
        <v>#N/A</v>
      </c>
      <c r="F52" t="s">
        <v>1989</v>
      </c>
      <c r="G52">
        <v>0.4</v>
      </c>
      <c r="L52" s="1" t="s">
        <v>1772</v>
      </c>
      <c r="M52" t="s">
        <v>1663</v>
      </c>
      <c r="N52" s="3">
        <v>3.95</v>
      </c>
      <c r="O52" s="1" t="s">
        <v>1772</v>
      </c>
      <c r="P52" t="s">
        <v>1663</v>
      </c>
      <c r="Q52" s="3">
        <v>3.95</v>
      </c>
      <c r="R52" s="1" t="s">
        <v>1772</v>
      </c>
      <c r="S52" t="s">
        <v>1663</v>
      </c>
      <c r="T52" s="3">
        <v>3.95</v>
      </c>
      <c r="U52" s="1" t="s">
        <v>1772</v>
      </c>
      <c r="V52" t="s">
        <v>1663</v>
      </c>
      <c r="W52" s="3">
        <v>3.95</v>
      </c>
      <c r="AH52" t="s">
        <v>1663</v>
      </c>
      <c r="AI52" t="s">
        <v>1663</v>
      </c>
      <c r="AJ52">
        <v>1</v>
      </c>
    </row>
    <row r="53" spans="1:36" x14ac:dyDescent="0.25">
      <c r="A53" s="6" t="e">
        <f t="shared" si="4"/>
        <v>#N/A</v>
      </c>
      <c r="B53" s="3" t="e">
        <f t="shared" si="5"/>
        <v>#N/A</v>
      </c>
      <c r="C53" s="3" t="e">
        <f t="shared" si="6"/>
        <v>#N/A</v>
      </c>
      <c r="D53" s="3" t="e">
        <f t="shared" si="2"/>
        <v>#N/A</v>
      </c>
      <c r="E53" s="3" t="e">
        <f t="shared" si="3"/>
        <v>#N/A</v>
      </c>
      <c r="F53" t="s">
        <v>1990</v>
      </c>
      <c r="G53">
        <v>0.4</v>
      </c>
      <c r="L53" s="1" t="s">
        <v>1773</v>
      </c>
      <c r="M53" t="s">
        <v>1664</v>
      </c>
      <c r="N53" s="3">
        <v>0.1</v>
      </c>
      <c r="O53" s="1" t="s">
        <v>1773</v>
      </c>
      <c r="P53" t="s">
        <v>1664</v>
      </c>
      <c r="Q53" s="3">
        <v>0.1</v>
      </c>
      <c r="R53" s="1" t="s">
        <v>1773</v>
      </c>
      <c r="S53" t="s">
        <v>1664</v>
      </c>
      <c r="T53" s="3">
        <v>0.1</v>
      </c>
      <c r="U53" s="1" t="s">
        <v>1773</v>
      </c>
      <c r="V53" t="s">
        <v>1664</v>
      </c>
      <c r="W53" s="3">
        <v>0.1</v>
      </c>
      <c r="AH53" t="s">
        <v>1664</v>
      </c>
      <c r="AI53" t="s">
        <v>1664</v>
      </c>
      <c r="AJ53">
        <v>1</v>
      </c>
    </row>
    <row r="54" spans="1:36" x14ac:dyDescent="0.25">
      <c r="A54" s="6" t="e">
        <f t="shared" si="4"/>
        <v>#N/A</v>
      </c>
      <c r="B54" s="3" t="e">
        <f t="shared" si="5"/>
        <v>#N/A</v>
      </c>
      <c r="C54" s="3" t="e">
        <f t="shared" si="6"/>
        <v>#N/A</v>
      </c>
      <c r="D54" s="3" t="e">
        <f t="shared" si="2"/>
        <v>#N/A</v>
      </c>
      <c r="E54" s="3" t="e">
        <f t="shared" si="3"/>
        <v>#N/A</v>
      </c>
      <c r="F54" t="s">
        <v>1991</v>
      </c>
      <c r="G54">
        <v>0.45</v>
      </c>
      <c r="L54" s="1" t="s">
        <v>1773</v>
      </c>
      <c r="M54" t="s">
        <v>1665</v>
      </c>
      <c r="N54" s="3">
        <v>0.15</v>
      </c>
      <c r="O54" s="1" t="s">
        <v>1773</v>
      </c>
      <c r="P54" t="s">
        <v>1665</v>
      </c>
      <c r="Q54" s="3">
        <v>0.15</v>
      </c>
      <c r="R54" s="1" t="s">
        <v>1773</v>
      </c>
      <c r="S54" t="s">
        <v>1665</v>
      </c>
      <c r="T54" s="3">
        <v>0.15</v>
      </c>
      <c r="U54" s="1" t="s">
        <v>1773</v>
      </c>
      <c r="V54" t="s">
        <v>1665</v>
      </c>
      <c r="W54" s="3">
        <v>0.15</v>
      </c>
      <c r="AH54" t="s">
        <v>1665</v>
      </c>
      <c r="AI54" t="s">
        <v>1665</v>
      </c>
      <c r="AJ54">
        <v>1</v>
      </c>
    </row>
    <row r="55" spans="1:36" x14ac:dyDescent="0.25">
      <c r="A55" s="6" t="e">
        <f t="shared" si="4"/>
        <v>#N/A</v>
      </c>
      <c r="B55" s="3" t="e">
        <f t="shared" si="5"/>
        <v>#N/A</v>
      </c>
      <c r="C55" s="3" t="e">
        <f t="shared" si="6"/>
        <v>#N/A</v>
      </c>
      <c r="D55" s="3" t="e">
        <f t="shared" si="2"/>
        <v>#N/A</v>
      </c>
      <c r="E55" s="3" t="e">
        <f t="shared" si="3"/>
        <v>#N/A</v>
      </c>
      <c r="F55" t="s">
        <v>1992</v>
      </c>
      <c r="G55">
        <v>0.45</v>
      </c>
      <c r="L55" s="1" t="s">
        <v>1773</v>
      </c>
      <c r="M55" t="s">
        <v>1666</v>
      </c>
      <c r="N55" s="3">
        <v>0.2</v>
      </c>
      <c r="O55" s="1" t="s">
        <v>1773</v>
      </c>
      <c r="P55" t="s">
        <v>1666</v>
      </c>
      <c r="Q55" s="3">
        <v>0.2</v>
      </c>
      <c r="R55" s="1" t="s">
        <v>1773</v>
      </c>
      <c r="S55" t="s">
        <v>1666</v>
      </c>
      <c r="T55" s="3">
        <v>0.2</v>
      </c>
      <c r="U55" s="1" t="s">
        <v>1773</v>
      </c>
      <c r="V55" t="s">
        <v>1666</v>
      </c>
      <c r="W55" s="3">
        <v>0.2</v>
      </c>
      <c r="AH55" t="s">
        <v>1666</v>
      </c>
      <c r="AI55" t="s">
        <v>1666</v>
      </c>
      <c r="AJ55">
        <v>1</v>
      </c>
    </row>
    <row r="56" spans="1:36" x14ac:dyDescent="0.25">
      <c r="A56" s="6" t="e">
        <f t="shared" si="4"/>
        <v>#N/A</v>
      </c>
      <c r="B56" s="3" t="e">
        <f t="shared" si="5"/>
        <v>#N/A</v>
      </c>
      <c r="C56" s="3" t="e">
        <f t="shared" si="6"/>
        <v>#N/A</v>
      </c>
      <c r="D56" s="3" t="e">
        <f t="shared" si="2"/>
        <v>#N/A</v>
      </c>
      <c r="E56" s="3" t="e">
        <f t="shared" si="3"/>
        <v>#N/A</v>
      </c>
      <c r="F56" t="s">
        <v>1993</v>
      </c>
      <c r="G56">
        <v>0.45</v>
      </c>
      <c r="L56" s="1" t="s">
        <v>1773</v>
      </c>
      <c r="M56" t="s">
        <v>1804</v>
      </c>
      <c r="N56" s="3">
        <v>0.25</v>
      </c>
      <c r="O56" s="1" t="s">
        <v>1773</v>
      </c>
      <c r="P56" t="s">
        <v>1804</v>
      </c>
      <c r="Q56" s="3">
        <v>0.25</v>
      </c>
      <c r="R56" s="1" t="s">
        <v>1773</v>
      </c>
      <c r="S56" t="s">
        <v>1804</v>
      </c>
      <c r="T56" s="3">
        <v>0.25</v>
      </c>
      <c r="U56" s="1" t="s">
        <v>1773</v>
      </c>
      <c r="V56" t="s">
        <v>1804</v>
      </c>
      <c r="W56" s="3">
        <v>0.25</v>
      </c>
      <c r="AH56" t="s">
        <v>1804</v>
      </c>
      <c r="AI56" t="s">
        <v>1804</v>
      </c>
      <c r="AJ56">
        <v>1</v>
      </c>
    </row>
    <row r="57" spans="1:36" x14ac:dyDescent="0.25">
      <c r="A57" s="6" t="e">
        <f t="shared" si="4"/>
        <v>#N/A</v>
      </c>
      <c r="B57" s="3" t="e">
        <f t="shared" si="5"/>
        <v>#N/A</v>
      </c>
      <c r="C57" s="3" t="e">
        <f t="shared" si="6"/>
        <v>#N/A</v>
      </c>
      <c r="D57" s="3" t="e">
        <f t="shared" si="2"/>
        <v>#N/A</v>
      </c>
      <c r="E57" s="3" t="e">
        <f t="shared" si="3"/>
        <v>#N/A</v>
      </c>
      <c r="F57" t="s">
        <v>1994</v>
      </c>
      <c r="G57">
        <v>0.45</v>
      </c>
      <c r="L57" s="1" t="s">
        <v>1773</v>
      </c>
      <c r="M57" t="s">
        <v>1805</v>
      </c>
      <c r="N57" s="3">
        <v>0.25</v>
      </c>
      <c r="O57" s="1" t="s">
        <v>1773</v>
      </c>
      <c r="P57" t="s">
        <v>1805</v>
      </c>
      <c r="Q57" s="3">
        <v>0.25</v>
      </c>
      <c r="R57" s="1" t="s">
        <v>1773</v>
      </c>
      <c r="S57" t="s">
        <v>1805</v>
      </c>
      <c r="T57" s="3">
        <v>0.25</v>
      </c>
      <c r="U57" s="1" t="s">
        <v>1773</v>
      </c>
      <c r="V57" t="s">
        <v>1805</v>
      </c>
      <c r="W57" s="3">
        <v>0.25</v>
      </c>
      <c r="AH57" t="s">
        <v>1805</v>
      </c>
      <c r="AI57" t="s">
        <v>1805</v>
      </c>
      <c r="AJ57">
        <v>1</v>
      </c>
    </row>
    <row r="58" spans="1:36" x14ac:dyDescent="0.25">
      <c r="A58" s="6" t="e">
        <f t="shared" si="4"/>
        <v>#N/A</v>
      </c>
      <c r="B58" s="3" t="e">
        <f t="shared" si="5"/>
        <v>#N/A</v>
      </c>
      <c r="C58" s="3" t="e">
        <f t="shared" si="6"/>
        <v>#N/A</v>
      </c>
      <c r="D58" s="3" t="e">
        <f t="shared" si="2"/>
        <v>#N/A</v>
      </c>
      <c r="E58" s="3" t="e">
        <f t="shared" si="3"/>
        <v>#N/A</v>
      </c>
      <c r="F58" t="s">
        <v>1995</v>
      </c>
      <c r="G58">
        <v>0.45</v>
      </c>
      <c r="L58" s="1" t="s">
        <v>1773</v>
      </c>
      <c r="M58" t="s">
        <v>60</v>
      </c>
      <c r="N58" s="3">
        <v>0.2</v>
      </c>
      <c r="O58" s="1" t="s">
        <v>1773</v>
      </c>
      <c r="P58" t="s">
        <v>60</v>
      </c>
      <c r="Q58" s="3">
        <v>0.2</v>
      </c>
      <c r="R58" s="1" t="s">
        <v>1773</v>
      </c>
      <c r="S58" t="s">
        <v>60</v>
      </c>
      <c r="T58" s="3">
        <v>0.2</v>
      </c>
      <c r="U58" s="1" t="s">
        <v>1773</v>
      </c>
      <c r="V58" t="s">
        <v>60</v>
      </c>
      <c r="W58" s="3">
        <v>0.2</v>
      </c>
      <c r="AH58" t="s">
        <v>60</v>
      </c>
      <c r="AI58" t="s">
        <v>60</v>
      </c>
      <c r="AJ58">
        <v>1</v>
      </c>
    </row>
    <row r="59" spans="1:36" x14ac:dyDescent="0.25">
      <c r="A59" s="6" t="e">
        <f t="shared" si="4"/>
        <v>#N/A</v>
      </c>
      <c r="B59" s="3" t="e">
        <f t="shared" si="5"/>
        <v>#N/A</v>
      </c>
      <c r="C59" s="3" t="e">
        <f t="shared" si="6"/>
        <v>#N/A</v>
      </c>
      <c r="D59" s="3" t="e">
        <f t="shared" si="2"/>
        <v>#N/A</v>
      </c>
      <c r="E59" s="3" t="e">
        <f t="shared" si="3"/>
        <v>#N/A</v>
      </c>
      <c r="F59" t="s">
        <v>1996</v>
      </c>
      <c r="G59">
        <v>0.55000000000000004</v>
      </c>
      <c r="L59" s="1" t="s">
        <v>1773</v>
      </c>
      <c r="M59" t="s">
        <v>1667</v>
      </c>
      <c r="N59" s="3">
        <v>0.35</v>
      </c>
      <c r="O59" s="1" t="s">
        <v>1773</v>
      </c>
      <c r="P59" t="s">
        <v>1667</v>
      </c>
      <c r="Q59" s="3">
        <v>0.35</v>
      </c>
      <c r="R59" s="1" t="s">
        <v>1773</v>
      </c>
      <c r="S59" t="s">
        <v>1667</v>
      </c>
      <c r="T59" s="3">
        <v>0.35</v>
      </c>
      <c r="U59" s="1" t="s">
        <v>1773</v>
      </c>
      <c r="V59" t="s">
        <v>1667</v>
      </c>
      <c r="W59" s="3">
        <v>0.35</v>
      </c>
      <c r="AH59" t="s">
        <v>1667</v>
      </c>
      <c r="AI59" t="s">
        <v>1667</v>
      </c>
      <c r="AJ59">
        <v>1</v>
      </c>
    </row>
    <row r="60" spans="1:36" x14ac:dyDescent="0.25">
      <c r="A60" s="6" t="e">
        <f t="shared" si="4"/>
        <v>#N/A</v>
      </c>
      <c r="B60" s="3" t="e">
        <f t="shared" si="5"/>
        <v>#N/A</v>
      </c>
      <c r="C60" s="3" t="e">
        <f t="shared" si="6"/>
        <v>#N/A</v>
      </c>
      <c r="D60" s="3" t="e">
        <f t="shared" si="2"/>
        <v>#N/A</v>
      </c>
      <c r="E60" s="3" t="e">
        <f t="shared" si="3"/>
        <v>#N/A</v>
      </c>
      <c r="F60" t="s">
        <v>1997</v>
      </c>
      <c r="G60">
        <v>0.55000000000000004</v>
      </c>
      <c r="L60" s="1" t="s">
        <v>1773</v>
      </c>
      <c r="M60" t="s">
        <v>1668</v>
      </c>
      <c r="N60" s="3">
        <v>0.45</v>
      </c>
      <c r="O60" s="1" t="s">
        <v>1773</v>
      </c>
      <c r="P60" t="s">
        <v>1668</v>
      </c>
      <c r="Q60" s="3">
        <v>0.45</v>
      </c>
      <c r="R60" s="1" t="s">
        <v>1773</v>
      </c>
      <c r="S60" t="s">
        <v>1668</v>
      </c>
      <c r="T60" s="3">
        <v>0.45</v>
      </c>
      <c r="U60" s="1" t="s">
        <v>1773</v>
      </c>
      <c r="V60" t="s">
        <v>1668</v>
      </c>
      <c r="W60" s="3">
        <v>0.45</v>
      </c>
      <c r="AH60" t="s">
        <v>1668</v>
      </c>
      <c r="AI60" t="s">
        <v>1668</v>
      </c>
      <c r="AJ60">
        <v>1</v>
      </c>
    </row>
    <row r="61" spans="1:36" x14ac:dyDescent="0.25">
      <c r="A61" s="6" t="e">
        <f t="shared" si="4"/>
        <v>#N/A</v>
      </c>
      <c r="B61" s="3" t="e">
        <f t="shared" si="5"/>
        <v>#N/A</v>
      </c>
      <c r="C61" s="3" t="e">
        <f t="shared" si="6"/>
        <v>#N/A</v>
      </c>
      <c r="D61" s="3" t="e">
        <f t="shared" si="2"/>
        <v>#N/A</v>
      </c>
      <c r="E61" s="3" t="e">
        <f t="shared" si="3"/>
        <v>#N/A</v>
      </c>
      <c r="F61" t="s">
        <v>1998</v>
      </c>
      <c r="G61">
        <v>0.55000000000000004</v>
      </c>
      <c r="L61" s="1" t="s">
        <v>1773</v>
      </c>
      <c r="M61" t="s">
        <v>1669</v>
      </c>
      <c r="N61" s="3">
        <v>0.5</v>
      </c>
      <c r="O61" s="1" t="s">
        <v>1773</v>
      </c>
      <c r="P61" t="s">
        <v>1669</v>
      </c>
      <c r="Q61" s="3">
        <v>0.5</v>
      </c>
      <c r="R61" s="1" t="s">
        <v>1773</v>
      </c>
      <c r="S61" t="s">
        <v>1669</v>
      </c>
      <c r="T61" s="3">
        <v>0.5</v>
      </c>
      <c r="U61" s="1" t="s">
        <v>1773</v>
      </c>
      <c r="V61" t="s">
        <v>1669</v>
      </c>
      <c r="W61" s="3">
        <v>0.5</v>
      </c>
      <c r="AH61" t="s">
        <v>1669</v>
      </c>
      <c r="AI61" t="s">
        <v>1669</v>
      </c>
      <c r="AJ61">
        <v>1</v>
      </c>
    </row>
    <row r="62" spans="1:36" x14ac:dyDescent="0.25">
      <c r="A62" s="6" t="e">
        <f t="shared" si="4"/>
        <v>#N/A</v>
      </c>
      <c r="B62" s="3" t="e">
        <f t="shared" si="5"/>
        <v>#N/A</v>
      </c>
      <c r="C62" s="3" t="e">
        <f t="shared" si="6"/>
        <v>#N/A</v>
      </c>
      <c r="D62" s="3" t="e">
        <f t="shared" si="2"/>
        <v>#N/A</v>
      </c>
      <c r="E62" s="3" t="e">
        <f t="shared" si="3"/>
        <v>#N/A</v>
      </c>
      <c r="F62" t="s">
        <v>1999</v>
      </c>
      <c r="G62">
        <v>0.75</v>
      </c>
      <c r="L62" s="1" t="s">
        <v>1773</v>
      </c>
      <c r="M62" t="s">
        <v>1670</v>
      </c>
      <c r="N62" s="3">
        <v>0.55000000000000004</v>
      </c>
      <c r="O62" s="1" t="s">
        <v>1773</v>
      </c>
      <c r="P62" t="s">
        <v>1670</v>
      </c>
      <c r="Q62" s="3">
        <v>0.55000000000000004</v>
      </c>
      <c r="R62" s="1" t="s">
        <v>1773</v>
      </c>
      <c r="S62" t="s">
        <v>1670</v>
      </c>
      <c r="T62" s="3">
        <v>0.55000000000000004</v>
      </c>
      <c r="U62" s="1" t="s">
        <v>1773</v>
      </c>
      <c r="V62" t="s">
        <v>1670</v>
      </c>
      <c r="W62" s="3">
        <v>0.55000000000000004</v>
      </c>
      <c r="AH62" t="s">
        <v>1670</v>
      </c>
      <c r="AI62" t="s">
        <v>1670</v>
      </c>
      <c r="AJ62">
        <v>1</v>
      </c>
    </row>
    <row r="63" spans="1:36" x14ac:dyDescent="0.25">
      <c r="A63" s="6" t="e">
        <f t="shared" si="4"/>
        <v>#N/A</v>
      </c>
      <c r="B63" s="3" t="e">
        <f t="shared" si="5"/>
        <v>#N/A</v>
      </c>
      <c r="C63" s="3" t="e">
        <f t="shared" si="6"/>
        <v>#N/A</v>
      </c>
      <c r="D63" s="3" t="e">
        <f t="shared" si="2"/>
        <v>#N/A</v>
      </c>
      <c r="E63" s="3" t="e">
        <f t="shared" si="3"/>
        <v>#N/A</v>
      </c>
      <c r="F63" t="s">
        <v>2000</v>
      </c>
      <c r="G63">
        <v>0.85</v>
      </c>
      <c r="L63" s="1" t="s">
        <v>1773</v>
      </c>
      <c r="M63" t="s">
        <v>1671</v>
      </c>
      <c r="N63" s="3">
        <v>0.55000000000000004</v>
      </c>
      <c r="O63" s="1" t="s">
        <v>1773</v>
      </c>
      <c r="P63" t="s">
        <v>1671</v>
      </c>
      <c r="Q63" s="3">
        <v>0.55000000000000004</v>
      </c>
      <c r="R63" s="1" t="s">
        <v>1773</v>
      </c>
      <c r="S63" t="s">
        <v>1671</v>
      </c>
      <c r="T63" s="3">
        <v>0.55000000000000004</v>
      </c>
      <c r="U63" s="1" t="s">
        <v>1773</v>
      </c>
      <c r="V63" t="s">
        <v>1671</v>
      </c>
      <c r="W63" s="3">
        <v>0.55000000000000004</v>
      </c>
      <c r="AH63" t="s">
        <v>1671</v>
      </c>
      <c r="AI63" t="s">
        <v>1671</v>
      </c>
      <c r="AJ63">
        <v>1</v>
      </c>
    </row>
    <row r="64" spans="1:36" x14ac:dyDescent="0.25">
      <c r="A64" s="6" t="e">
        <f t="shared" si="4"/>
        <v>#N/A</v>
      </c>
      <c r="B64" s="3" t="e">
        <f t="shared" si="5"/>
        <v>#N/A</v>
      </c>
      <c r="C64" s="3" t="e">
        <f t="shared" si="6"/>
        <v>#N/A</v>
      </c>
      <c r="D64" s="3" t="e">
        <f t="shared" si="2"/>
        <v>#N/A</v>
      </c>
      <c r="E64" s="3" t="e">
        <f t="shared" si="3"/>
        <v>#N/A</v>
      </c>
      <c r="F64" t="s">
        <v>2001</v>
      </c>
      <c r="G64">
        <v>1</v>
      </c>
      <c r="L64" s="1" t="s">
        <v>1773</v>
      </c>
      <c r="M64" t="s">
        <v>1672</v>
      </c>
      <c r="N64" s="3">
        <v>0.55000000000000004</v>
      </c>
      <c r="O64" s="1" t="s">
        <v>1773</v>
      </c>
      <c r="P64" t="s">
        <v>1672</v>
      </c>
      <c r="Q64" s="3">
        <v>0.55000000000000004</v>
      </c>
      <c r="R64" s="1" t="s">
        <v>1773</v>
      </c>
      <c r="S64" t="s">
        <v>1672</v>
      </c>
      <c r="T64" s="3">
        <v>0.55000000000000004</v>
      </c>
      <c r="U64" s="1" t="s">
        <v>1773</v>
      </c>
      <c r="V64" t="s">
        <v>1672</v>
      </c>
      <c r="W64" s="3">
        <v>0.55000000000000004</v>
      </c>
      <c r="AH64" t="s">
        <v>1672</v>
      </c>
      <c r="AI64" t="s">
        <v>1672</v>
      </c>
      <c r="AJ64">
        <v>1</v>
      </c>
    </row>
    <row r="65" spans="1:36" x14ac:dyDescent="0.25">
      <c r="A65" s="6" t="e">
        <f t="shared" si="4"/>
        <v>#N/A</v>
      </c>
      <c r="B65" s="3" t="e">
        <f t="shared" si="5"/>
        <v>#N/A</v>
      </c>
      <c r="C65" s="3" t="e">
        <f t="shared" si="6"/>
        <v>#N/A</v>
      </c>
      <c r="D65" s="3" t="e">
        <f t="shared" si="2"/>
        <v>#N/A</v>
      </c>
      <c r="E65" s="3" t="e">
        <f t="shared" si="3"/>
        <v>#N/A</v>
      </c>
      <c r="F65" t="s">
        <v>2002</v>
      </c>
      <c r="G65">
        <v>1</v>
      </c>
      <c r="L65" s="1" t="s">
        <v>1773</v>
      </c>
      <c r="M65" t="s">
        <v>61</v>
      </c>
      <c r="N65" s="3">
        <v>0.4</v>
      </c>
      <c r="O65" s="1" t="s">
        <v>1773</v>
      </c>
      <c r="P65" t="s">
        <v>61</v>
      </c>
      <c r="Q65" s="3">
        <v>0.4</v>
      </c>
      <c r="R65" s="1" t="s">
        <v>1773</v>
      </c>
      <c r="S65" t="s">
        <v>61</v>
      </c>
      <c r="T65" s="3">
        <v>0.4</v>
      </c>
      <c r="U65" s="1" t="s">
        <v>1773</v>
      </c>
      <c r="V65" t="s">
        <v>61</v>
      </c>
      <c r="W65" s="3">
        <v>0.4</v>
      </c>
      <c r="AH65" t="s">
        <v>61</v>
      </c>
      <c r="AI65" t="s">
        <v>61</v>
      </c>
      <c r="AJ65">
        <v>1</v>
      </c>
    </row>
    <row r="66" spans="1:36" x14ac:dyDescent="0.25">
      <c r="A66" s="6" t="e">
        <f t="shared" si="4"/>
        <v>#N/A</v>
      </c>
      <c r="B66" s="3" t="e">
        <f t="shared" si="5"/>
        <v>#N/A</v>
      </c>
      <c r="C66" s="3" t="e">
        <f t="shared" si="6"/>
        <v>#N/A</v>
      </c>
      <c r="D66" s="3" t="e">
        <f t="shared" si="2"/>
        <v>#N/A</v>
      </c>
      <c r="E66" s="3" t="e">
        <f t="shared" si="3"/>
        <v>#N/A</v>
      </c>
      <c r="F66" t="s">
        <v>2003</v>
      </c>
      <c r="G66">
        <v>0.05</v>
      </c>
      <c r="L66" s="1" t="s">
        <v>1773</v>
      </c>
      <c r="M66" t="s">
        <v>1673</v>
      </c>
      <c r="N66" s="3">
        <v>0.75</v>
      </c>
      <c r="O66" s="1" t="s">
        <v>1773</v>
      </c>
      <c r="P66" t="s">
        <v>1673</v>
      </c>
      <c r="Q66" s="3">
        <v>0.75</v>
      </c>
      <c r="R66" s="1" t="s">
        <v>1773</v>
      </c>
      <c r="S66" t="s">
        <v>1673</v>
      </c>
      <c r="T66" s="3">
        <v>0.75</v>
      </c>
      <c r="U66" s="1" t="s">
        <v>1773</v>
      </c>
      <c r="V66" t="s">
        <v>1673</v>
      </c>
      <c r="W66" s="3">
        <v>0.75</v>
      </c>
      <c r="AH66" t="s">
        <v>1673</v>
      </c>
      <c r="AI66" t="s">
        <v>1673</v>
      </c>
      <c r="AJ66">
        <v>1</v>
      </c>
    </row>
    <row r="67" spans="1:36" x14ac:dyDescent="0.25">
      <c r="A67" s="6" t="e">
        <f t="shared" si="4"/>
        <v>#N/A</v>
      </c>
      <c r="B67" s="3" t="e">
        <f t="shared" si="5"/>
        <v>#N/A</v>
      </c>
      <c r="C67" s="3" t="e">
        <f t="shared" si="6"/>
        <v>#N/A</v>
      </c>
      <c r="D67" s="3" t="e">
        <f t="shared" si="2"/>
        <v>#N/A</v>
      </c>
      <c r="E67" s="3" t="e">
        <f t="shared" si="3"/>
        <v>#N/A</v>
      </c>
      <c r="F67" t="s">
        <v>2004</v>
      </c>
      <c r="G67">
        <v>0.1</v>
      </c>
      <c r="L67" s="1" t="s">
        <v>1773</v>
      </c>
      <c r="M67" t="s">
        <v>1674</v>
      </c>
      <c r="N67" s="3">
        <v>0.95</v>
      </c>
      <c r="O67" s="1" t="s">
        <v>1773</v>
      </c>
      <c r="P67" t="s">
        <v>1674</v>
      </c>
      <c r="Q67" s="3">
        <v>0.95</v>
      </c>
      <c r="R67" s="1" t="s">
        <v>1773</v>
      </c>
      <c r="S67" t="s">
        <v>1674</v>
      </c>
      <c r="T67" s="3">
        <v>0.95</v>
      </c>
      <c r="U67" s="1" t="s">
        <v>1773</v>
      </c>
      <c r="V67" t="s">
        <v>1674</v>
      </c>
      <c r="W67" s="3">
        <v>0.95</v>
      </c>
      <c r="AH67" t="s">
        <v>1674</v>
      </c>
      <c r="AI67" t="s">
        <v>1674</v>
      </c>
      <c r="AJ67">
        <v>1</v>
      </c>
    </row>
    <row r="68" spans="1:36" x14ac:dyDescent="0.25">
      <c r="A68" s="6" t="e">
        <f t="shared" si="4"/>
        <v>#N/A</v>
      </c>
      <c r="B68" s="3" t="e">
        <f t="shared" ref="B68:B99" si="7">IF($B$1="Solo",IF(M67="","",M67),IF($B$1="Duet",IF(P67="","",P67),IF($B$1="Mixed",IF(S67="","",S67),IF(V67="","",V67))))</f>
        <v>#N/A</v>
      </c>
      <c r="C68" s="3" t="e">
        <f t="shared" ref="C68:C99" si="8">IF($B$1="Solo",IF(N67="","",N67),IF($B$1="Duet",IF(Q67="","",Q67),IF($B$1="Mixed",IF(T67="","",T67),IF(W67="","",W67))))</f>
        <v>#N/A</v>
      </c>
      <c r="D68" s="3" t="e">
        <f t="shared" si="2"/>
        <v>#N/A</v>
      </c>
      <c r="E68" s="3" t="e">
        <f t="shared" si="3"/>
        <v>#N/A</v>
      </c>
      <c r="F68" t="s">
        <v>2005</v>
      </c>
      <c r="G68">
        <v>0.1</v>
      </c>
      <c r="L68" s="1" t="s">
        <v>1773</v>
      </c>
      <c r="M68" t="s">
        <v>1675</v>
      </c>
      <c r="N68" s="3">
        <v>1.05</v>
      </c>
      <c r="O68" s="1" t="s">
        <v>1773</v>
      </c>
      <c r="P68" t="s">
        <v>1675</v>
      </c>
      <c r="Q68" s="3">
        <v>1.05</v>
      </c>
      <c r="R68" s="1" t="s">
        <v>1773</v>
      </c>
      <c r="S68" t="s">
        <v>1675</v>
      </c>
      <c r="T68" s="3">
        <v>1.05</v>
      </c>
      <c r="U68" s="1" t="s">
        <v>1773</v>
      </c>
      <c r="V68" t="s">
        <v>1675</v>
      </c>
      <c r="W68" s="3">
        <v>1.05</v>
      </c>
      <c r="AH68" t="s">
        <v>1675</v>
      </c>
      <c r="AI68" t="s">
        <v>1675</v>
      </c>
      <c r="AJ68">
        <v>1</v>
      </c>
    </row>
    <row r="69" spans="1:36" x14ac:dyDescent="0.25">
      <c r="A69" s="6" t="e">
        <f t="shared" si="4"/>
        <v>#N/A</v>
      </c>
      <c r="B69" s="3" t="e">
        <f t="shared" si="7"/>
        <v>#N/A</v>
      </c>
      <c r="C69" s="3" t="e">
        <f t="shared" si="8"/>
        <v>#N/A</v>
      </c>
      <c r="D69" s="3" t="e">
        <f t="shared" ref="D69:D132" si="9">IF($D$1="Team",IF(AD68="","",AD68),"")</f>
        <v>#N/A</v>
      </c>
      <c r="E69" s="3" t="e">
        <f t="shared" ref="E69:E132" si="10">IF($D$1="Team",IF(AE68="","",AE68),"")</f>
        <v>#N/A</v>
      </c>
      <c r="F69" t="s">
        <v>2006</v>
      </c>
      <c r="G69">
        <v>0.15</v>
      </c>
      <c r="L69" s="1" t="s">
        <v>1773</v>
      </c>
      <c r="M69" t="s">
        <v>1676</v>
      </c>
      <c r="N69" s="3">
        <v>1.1499999999999999</v>
      </c>
      <c r="O69" s="1" t="s">
        <v>1773</v>
      </c>
      <c r="P69" t="s">
        <v>1676</v>
      </c>
      <c r="Q69" s="3">
        <v>1.1499999999999999</v>
      </c>
      <c r="R69" s="1" t="s">
        <v>1773</v>
      </c>
      <c r="S69" t="s">
        <v>1676</v>
      </c>
      <c r="T69" s="3">
        <v>1.1499999999999999</v>
      </c>
      <c r="U69" s="1" t="s">
        <v>1773</v>
      </c>
      <c r="V69" t="s">
        <v>1676</v>
      </c>
      <c r="W69" s="3">
        <v>1.1499999999999999</v>
      </c>
      <c r="AH69" t="s">
        <v>1676</v>
      </c>
      <c r="AI69" t="s">
        <v>1676</v>
      </c>
      <c r="AJ69">
        <v>1</v>
      </c>
    </row>
    <row r="70" spans="1:36" x14ac:dyDescent="0.25">
      <c r="A70" s="6" t="e">
        <f t="shared" si="4"/>
        <v>#N/A</v>
      </c>
      <c r="B70" s="3" t="e">
        <f t="shared" si="7"/>
        <v>#N/A</v>
      </c>
      <c r="C70" s="3" t="e">
        <f t="shared" si="8"/>
        <v>#N/A</v>
      </c>
      <c r="D70" s="3" t="e">
        <f t="shared" si="9"/>
        <v>#N/A</v>
      </c>
      <c r="E70" s="3" t="e">
        <f t="shared" si="10"/>
        <v>#N/A</v>
      </c>
      <c r="F70" t="s">
        <v>2007</v>
      </c>
      <c r="G70">
        <v>0.15</v>
      </c>
      <c r="L70" s="1" t="s">
        <v>1773</v>
      </c>
      <c r="M70" t="s">
        <v>62</v>
      </c>
      <c r="N70" s="3">
        <v>0.6</v>
      </c>
      <c r="O70" s="1" t="s">
        <v>1773</v>
      </c>
      <c r="P70" t="s">
        <v>62</v>
      </c>
      <c r="Q70" s="3">
        <v>0.6</v>
      </c>
      <c r="R70" s="1" t="s">
        <v>1773</v>
      </c>
      <c r="S70" t="s">
        <v>62</v>
      </c>
      <c r="T70" s="3">
        <v>0.6</v>
      </c>
      <c r="U70" s="1" t="s">
        <v>1773</v>
      </c>
      <c r="V70" t="s">
        <v>62</v>
      </c>
      <c r="W70" s="3">
        <v>0.6</v>
      </c>
      <c r="AH70" t="s">
        <v>62</v>
      </c>
      <c r="AI70" t="s">
        <v>62</v>
      </c>
      <c r="AJ70">
        <v>1</v>
      </c>
    </row>
    <row r="71" spans="1:36" x14ac:dyDescent="0.25">
      <c r="A71" s="6" t="e">
        <f t="shared" si="4"/>
        <v>#N/A</v>
      </c>
      <c r="B71" s="3" t="e">
        <f t="shared" si="7"/>
        <v>#N/A</v>
      </c>
      <c r="C71" s="3" t="e">
        <f t="shared" si="8"/>
        <v>#N/A</v>
      </c>
      <c r="D71" s="3" t="e">
        <f t="shared" si="9"/>
        <v>#N/A</v>
      </c>
      <c r="E71" s="3" t="e">
        <f t="shared" si="10"/>
        <v>#N/A</v>
      </c>
      <c r="F71" t="s">
        <v>2008</v>
      </c>
      <c r="G71">
        <v>0.15</v>
      </c>
      <c r="L71" s="1" t="s">
        <v>1773</v>
      </c>
      <c r="M71" t="s">
        <v>1677</v>
      </c>
      <c r="N71" s="3">
        <v>1.1499999999999999</v>
      </c>
      <c r="O71" s="1" t="s">
        <v>1773</v>
      </c>
      <c r="P71" t="s">
        <v>1677</v>
      </c>
      <c r="Q71" s="3">
        <v>1.1499999999999999</v>
      </c>
      <c r="R71" s="1" t="s">
        <v>1773</v>
      </c>
      <c r="S71" t="s">
        <v>1677</v>
      </c>
      <c r="T71" s="3">
        <v>1.1499999999999999</v>
      </c>
      <c r="U71" s="1" t="s">
        <v>1773</v>
      </c>
      <c r="V71" t="s">
        <v>1677</v>
      </c>
      <c r="W71" s="3">
        <v>1.1499999999999999</v>
      </c>
      <c r="AH71" t="s">
        <v>1677</v>
      </c>
      <c r="AI71" t="s">
        <v>1677</v>
      </c>
      <c r="AJ71">
        <v>1</v>
      </c>
    </row>
    <row r="72" spans="1:36" x14ac:dyDescent="0.25">
      <c r="A72" s="6" t="e">
        <f t="shared" si="4"/>
        <v>#N/A</v>
      </c>
      <c r="B72" s="3" t="e">
        <f t="shared" si="7"/>
        <v>#N/A</v>
      </c>
      <c r="C72" s="3" t="e">
        <f t="shared" si="8"/>
        <v>#N/A</v>
      </c>
      <c r="D72" s="3" t="e">
        <f t="shared" si="9"/>
        <v>#N/A</v>
      </c>
      <c r="E72" s="3" t="e">
        <f t="shared" si="10"/>
        <v>#N/A</v>
      </c>
      <c r="F72" t="s">
        <v>2009</v>
      </c>
      <c r="G72">
        <v>0.2</v>
      </c>
      <c r="L72" s="1" t="s">
        <v>1773</v>
      </c>
      <c r="M72" t="s">
        <v>1678</v>
      </c>
      <c r="N72" s="3">
        <v>1.45</v>
      </c>
      <c r="O72" s="1" t="s">
        <v>1773</v>
      </c>
      <c r="P72" t="s">
        <v>1678</v>
      </c>
      <c r="Q72" s="3">
        <v>1.45</v>
      </c>
      <c r="R72" s="1" t="s">
        <v>1773</v>
      </c>
      <c r="S72" t="s">
        <v>1678</v>
      </c>
      <c r="T72" s="3">
        <v>1.45</v>
      </c>
      <c r="U72" s="1" t="s">
        <v>1773</v>
      </c>
      <c r="V72" t="s">
        <v>1678</v>
      </c>
      <c r="W72" s="3">
        <v>1.45</v>
      </c>
      <c r="AH72" t="s">
        <v>1678</v>
      </c>
      <c r="AI72" t="s">
        <v>1678</v>
      </c>
      <c r="AJ72">
        <v>1</v>
      </c>
    </row>
    <row r="73" spans="1:36" x14ac:dyDescent="0.25">
      <c r="A73" s="6" t="e">
        <f t="shared" si="4"/>
        <v>#N/A</v>
      </c>
      <c r="B73" s="3" t="e">
        <f t="shared" si="7"/>
        <v>#N/A</v>
      </c>
      <c r="C73" s="3" t="e">
        <f t="shared" si="8"/>
        <v>#N/A</v>
      </c>
      <c r="D73" s="3" t="e">
        <f t="shared" si="9"/>
        <v>#N/A</v>
      </c>
      <c r="E73" s="3" t="e">
        <f t="shared" si="10"/>
        <v>#N/A</v>
      </c>
      <c r="F73" t="s">
        <v>2010</v>
      </c>
      <c r="G73">
        <v>0.25</v>
      </c>
      <c r="L73" s="1" t="s">
        <v>1773</v>
      </c>
      <c r="M73" t="s">
        <v>1679</v>
      </c>
      <c r="N73" s="3">
        <v>1.75</v>
      </c>
      <c r="O73" s="1" t="s">
        <v>1773</v>
      </c>
      <c r="P73" t="s">
        <v>1679</v>
      </c>
      <c r="Q73" s="3">
        <v>1.75</v>
      </c>
      <c r="R73" s="1" t="s">
        <v>1773</v>
      </c>
      <c r="S73" t="s">
        <v>1679</v>
      </c>
      <c r="T73" s="3">
        <v>1.75</v>
      </c>
      <c r="U73" s="1" t="s">
        <v>1773</v>
      </c>
      <c r="V73" t="s">
        <v>1679</v>
      </c>
      <c r="W73" s="3">
        <v>1.75</v>
      </c>
      <c r="AH73" t="s">
        <v>1679</v>
      </c>
      <c r="AI73" t="s">
        <v>1679</v>
      </c>
      <c r="AJ73">
        <v>1</v>
      </c>
    </row>
    <row r="74" spans="1:36" x14ac:dyDescent="0.25">
      <c r="A74" s="6" t="e">
        <f t="shared" si="4"/>
        <v>#N/A</v>
      </c>
      <c r="B74" s="3" t="e">
        <f t="shared" si="7"/>
        <v>#N/A</v>
      </c>
      <c r="C74" s="3" t="e">
        <f t="shared" si="8"/>
        <v>#N/A</v>
      </c>
      <c r="D74" s="3" t="e">
        <f t="shared" si="9"/>
        <v>#N/A</v>
      </c>
      <c r="E74" s="3" t="e">
        <f t="shared" si="10"/>
        <v>#N/A</v>
      </c>
      <c r="F74" t="s">
        <v>2011</v>
      </c>
      <c r="G74">
        <v>0.5</v>
      </c>
      <c r="L74" s="1" t="s">
        <v>1773</v>
      </c>
      <c r="M74" t="s">
        <v>63</v>
      </c>
      <c r="N74" s="3">
        <v>0.8</v>
      </c>
      <c r="O74" s="1" t="s">
        <v>1773</v>
      </c>
      <c r="P74" t="s">
        <v>63</v>
      </c>
      <c r="Q74" s="3">
        <v>0.8</v>
      </c>
      <c r="R74" s="1" t="s">
        <v>1773</v>
      </c>
      <c r="S74" t="s">
        <v>63</v>
      </c>
      <c r="T74" s="3">
        <v>0.8</v>
      </c>
      <c r="U74" s="1" t="s">
        <v>1773</v>
      </c>
      <c r="V74" t="s">
        <v>63</v>
      </c>
      <c r="W74" s="3">
        <v>0.8</v>
      </c>
      <c r="AH74" t="s">
        <v>63</v>
      </c>
      <c r="AI74" t="s">
        <v>63</v>
      </c>
      <c r="AJ74">
        <v>1</v>
      </c>
    </row>
    <row r="75" spans="1:36" x14ac:dyDescent="0.25">
      <c r="A75" s="6" t="e">
        <f t="shared" si="4"/>
        <v>#N/A</v>
      </c>
      <c r="B75" s="3" t="e">
        <f t="shared" si="7"/>
        <v>#N/A</v>
      </c>
      <c r="C75" s="3" t="e">
        <f t="shared" si="8"/>
        <v>#N/A</v>
      </c>
      <c r="D75" s="3" t="e">
        <f t="shared" si="9"/>
        <v>#N/A</v>
      </c>
      <c r="E75" s="3" t="e">
        <f t="shared" si="10"/>
        <v>#N/A</v>
      </c>
      <c r="F75" t="s">
        <v>2012</v>
      </c>
      <c r="G75">
        <v>0.625</v>
      </c>
      <c r="L75" s="1" t="s">
        <v>1773</v>
      </c>
      <c r="M75" t="s">
        <v>1680</v>
      </c>
      <c r="N75" s="3">
        <v>1.55</v>
      </c>
      <c r="O75" s="1" t="s">
        <v>1773</v>
      </c>
      <c r="P75" t="s">
        <v>1680</v>
      </c>
      <c r="Q75" s="3">
        <v>1.55</v>
      </c>
      <c r="R75" s="1" t="s">
        <v>1773</v>
      </c>
      <c r="S75" t="s">
        <v>1680</v>
      </c>
      <c r="T75" s="3">
        <v>1.55</v>
      </c>
      <c r="U75" s="1" t="s">
        <v>1773</v>
      </c>
      <c r="V75" t="s">
        <v>1680</v>
      </c>
      <c r="W75" s="3">
        <v>1.55</v>
      </c>
      <c r="AH75" t="s">
        <v>1680</v>
      </c>
      <c r="AI75" t="s">
        <v>1680</v>
      </c>
      <c r="AJ75">
        <v>1</v>
      </c>
    </row>
    <row r="76" spans="1:36" x14ac:dyDescent="0.25">
      <c r="A76" s="6" t="e">
        <f t="shared" si="4"/>
        <v>#N/A</v>
      </c>
      <c r="B76" s="3" t="e">
        <f t="shared" si="7"/>
        <v>#N/A</v>
      </c>
      <c r="C76" s="3" t="e">
        <f t="shared" si="8"/>
        <v>#N/A</v>
      </c>
      <c r="D76" s="3" t="e">
        <f t="shared" si="9"/>
        <v>#N/A</v>
      </c>
      <c r="E76" s="3" t="e">
        <f t="shared" si="10"/>
        <v>#N/A</v>
      </c>
      <c r="F76" t="s">
        <v>2013</v>
      </c>
      <c r="G76">
        <v>0.625</v>
      </c>
      <c r="L76" s="1" t="s">
        <v>1773</v>
      </c>
      <c r="M76" t="s">
        <v>1681</v>
      </c>
      <c r="N76" s="3">
        <v>1.95</v>
      </c>
      <c r="O76" s="1" t="s">
        <v>1773</v>
      </c>
      <c r="P76" t="s">
        <v>1681</v>
      </c>
      <c r="Q76" s="3">
        <v>1.95</v>
      </c>
      <c r="R76" s="1" t="s">
        <v>1773</v>
      </c>
      <c r="S76" t="s">
        <v>1681</v>
      </c>
      <c r="T76" s="3">
        <v>1.95</v>
      </c>
      <c r="U76" s="1" t="s">
        <v>1773</v>
      </c>
      <c r="V76" t="s">
        <v>1681</v>
      </c>
      <c r="W76" s="3">
        <v>1.95</v>
      </c>
      <c r="AH76" t="s">
        <v>1681</v>
      </c>
      <c r="AI76" t="s">
        <v>1681</v>
      </c>
      <c r="AJ76">
        <v>1</v>
      </c>
    </row>
    <row r="77" spans="1:36" x14ac:dyDescent="0.25">
      <c r="A77" s="6" t="e">
        <f t="shared" si="4"/>
        <v>#N/A</v>
      </c>
      <c r="B77" s="3" t="e">
        <f t="shared" si="7"/>
        <v>#N/A</v>
      </c>
      <c r="C77" s="3" t="e">
        <f t="shared" si="8"/>
        <v>#N/A</v>
      </c>
      <c r="D77" s="3" t="e">
        <f t="shared" si="9"/>
        <v>#N/A</v>
      </c>
      <c r="E77" s="3" t="e">
        <f t="shared" si="10"/>
        <v>#N/A</v>
      </c>
      <c r="F77" t="s">
        <v>2014</v>
      </c>
      <c r="G77">
        <v>0.75</v>
      </c>
      <c r="L77" s="1" t="s">
        <v>1773</v>
      </c>
      <c r="M77" t="s">
        <v>1682</v>
      </c>
      <c r="N77" s="3">
        <v>2.15</v>
      </c>
      <c r="O77" s="1" t="s">
        <v>1773</v>
      </c>
      <c r="P77" t="s">
        <v>1682</v>
      </c>
      <c r="Q77" s="3">
        <v>2.15</v>
      </c>
      <c r="R77" s="1" t="s">
        <v>1773</v>
      </c>
      <c r="S77" t="s">
        <v>1682</v>
      </c>
      <c r="T77" s="3">
        <v>2.15</v>
      </c>
      <c r="U77" s="1" t="s">
        <v>1773</v>
      </c>
      <c r="V77" t="s">
        <v>1682</v>
      </c>
      <c r="W77" s="3">
        <v>2.15</v>
      </c>
      <c r="AH77" t="s">
        <v>1682</v>
      </c>
      <c r="AI77" t="s">
        <v>1682</v>
      </c>
      <c r="AJ77">
        <v>1</v>
      </c>
    </row>
    <row r="78" spans="1:36" x14ac:dyDescent="0.25">
      <c r="A78" s="6" t="e">
        <f t="shared" si="4"/>
        <v>#N/A</v>
      </c>
      <c r="B78" s="3" t="e">
        <f t="shared" si="7"/>
        <v>#N/A</v>
      </c>
      <c r="C78" s="3" t="e">
        <f t="shared" si="8"/>
        <v>#N/A</v>
      </c>
      <c r="D78" s="3" t="e">
        <f t="shared" si="9"/>
        <v>#N/A</v>
      </c>
      <c r="E78" s="3" t="e">
        <f t="shared" si="10"/>
        <v>#N/A</v>
      </c>
      <c r="L78" s="1" t="s">
        <v>1773</v>
      </c>
      <c r="M78" t="s">
        <v>1683</v>
      </c>
      <c r="N78" s="3">
        <v>2.35</v>
      </c>
      <c r="O78" s="1" t="s">
        <v>1773</v>
      </c>
      <c r="P78" t="s">
        <v>1683</v>
      </c>
      <c r="Q78" s="3">
        <v>2.35</v>
      </c>
      <c r="R78" s="1" t="s">
        <v>1773</v>
      </c>
      <c r="S78" t="s">
        <v>1683</v>
      </c>
      <c r="T78" s="3">
        <v>2.35</v>
      </c>
      <c r="U78" s="1" t="s">
        <v>1773</v>
      </c>
      <c r="V78" t="s">
        <v>1683</v>
      </c>
      <c r="W78" s="3">
        <v>2.35</v>
      </c>
      <c r="AH78" t="s">
        <v>1683</v>
      </c>
      <c r="AI78" t="s">
        <v>1683</v>
      </c>
      <c r="AJ78">
        <v>1</v>
      </c>
    </row>
    <row r="79" spans="1:36" x14ac:dyDescent="0.25">
      <c r="A79" s="6" t="e">
        <f t="shared" si="4"/>
        <v>#N/A</v>
      </c>
      <c r="B79" s="3" t="e">
        <f t="shared" si="7"/>
        <v>#N/A</v>
      </c>
      <c r="C79" s="3" t="e">
        <f t="shared" si="8"/>
        <v>#N/A</v>
      </c>
      <c r="D79" s="3" t="e">
        <f t="shared" si="9"/>
        <v>#N/A</v>
      </c>
      <c r="E79" s="3" t="e">
        <f t="shared" si="10"/>
        <v>#N/A</v>
      </c>
      <c r="L79" s="1" t="s">
        <v>1773</v>
      </c>
      <c r="M79" t="s">
        <v>1684</v>
      </c>
      <c r="N79" s="3">
        <v>1.95</v>
      </c>
      <c r="O79" s="1" t="s">
        <v>1773</v>
      </c>
      <c r="P79" t="s">
        <v>1684</v>
      </c>
      <c r="Q79" s="3">
        <v>1.95</v>
      </c>
      <c r="R79" s="1" t="s">
        <v>1773</v>
      </c>
      <c r="S79" t="s">
        <v>1684</v>
      </c>
      <c r="T79" s="3">
        <v>1.95</v>
      </c>
      <c r="U79" s="1" t="s">
        <v>1773</v>
      </c>
      <c r="V79" t="s">
        <v>1684</v>
      </c>
      <c r="W79" s="3">
        <v>1.95</v>
      </c>
      <c r="AH79" t="s">
        <v>1684</v>
      </c>
      <c r="AI79" t="s">
        <v>1684</v>
      </c>
      <c r="AJ79">
        <v>1</v>
      </c>
    </row>
    <row r="80" spans="1:36" x14ac:dyDescent="0.25">
      <c r="A80" s="6" t="e">
        <f t="shared" si="4"/>
        <v>#N/A</v>
      </c>
      <c r="B80" s="3" t="e">
        <f t="shared" si="7"/>
        <v>#N/A</v>
      </c>
      <c r="C80" s="3" t="e">
        <f t="shared" si="8"/>
        <v>#N/A</v>
      </c>
      <c r="D80" s="3" t="e">
        <f t="shared" si="9"/>
        <v>#N/A</v>
      </c>
      <c r="E80" s="3" t="e">
        <f t="shared" si="10"/>
        <v>#N/A</v>
      </c>
      <c r="L80" s="1" t="s">
        <v>1773</v>
      </c>
      <c r="M80" t="s">
        <v>1685</v>
      </c>
      <c r="N80" s="3">
        <v>2.4500000000000002</v>
      </c>
      <c r="O80" s="1" t="s">
        <v>1773</v>
      </c>
      <c r="P80" t="s">
        <v>1685</v>
      </c>
      <c r="Q80" s="3">
        <v>2.4500000000000002</v>
      </c>
      <c r="R80" s="1" t="s">
        <v>1773</v>
      </c>
      <c r="S80" t="s">
        <v>1685</v>
      </c>
      <c r="T80" s="3">
        <v>2.4500000000000002</v>
      </c>
      <c r="U80" s="1" t="s">
        <v>1773</v>
      </c>
      <c r="V80" t="s">
        <v>1685</v>
      </c>
      <c r="W80" s="3">
        <v>2.4500000000000002</v>
      </c>
      <c r="AH80" t="s">
        <v>1685</v>
      </c>
      <c r="AI80" t="s">
        <v>1685</v>
      </c>
      <c r="AJ80">
        <v>1</v>
      </c>
    </row>
    <row r="81" spans="1:36" x14ac:dyDescent="0.25">
      <c r="A81" s="6" t="e">
        <f t="shared" si="4"/>
        <v>#N/A</v>
      </c>
      <c r="B81" s="3" t="e">
        <f t="shared" si="7"/>
        <v>#N/A</v>
      </c>
      <c r="C81" s="3" t="e">
        <f t="shared" si="8"/>
        <v>#N/A</v>
      </c>
      <c r="D81" s="3" t="e">
        <f t="shared" si="9"/>
        <v>#N/A</v>
      </c>
      <c r="E81" s="3" t="e">
        <f t="shared" si="10"/>
        <v>#N/A</v>
      </c>
      <c r="L81" s="1" t="s">
        <v>1773</v>
      </c>
      <c r="M81" t="s">
        <v>1686</v>
      </c>
      <c r="N81" s="3">
        <v>2.95</v>
      </c>
      <c r="O81" s="1" t="s">
        <v>1773</v>
      </c>
      <c r="P81" t="s">
        <v>1686</v>
      </c>
      <c r="Q81" s="3">
        <v>2.95</v>
      </c>
      <c r="R81" s="1" t="s">
        <v>1773</v>
      </c>
      <c r="S81" t="s">
        <v>1686</v>
      </c>
      <c r="T81" s="3">
        <v>2.95</v>
      </c>
      <c r="U81" s="1" t="s">
        <v>1773</v>
      </c>
      <c r="V81" t="s">
        <v>1686</v>
      </c>
      <c r="W81" s="3">
        <v>2.95</v>
      </c>
      <c r="AH81" t="s">
        <v>1686</v>
      </c>
      <c r="AI81" t="s">
        <v>1686</v>
      </c>
      <c r="AJ81">
        <v>1</v>
      </c>
    </row>
    <row r="82" spans="1:36" x14ac:dyDescent="0.25">
      <c r="A82" s="6" t="e">
        <f t="shared" si="4"/>
        <v>#N/A</v>
      </c>
      <c r="B82" s="3" t="e">
        <f t="shared" si="7"/>
        <v>#N/A</v>
      </c>
      <c r="C82" s="3" t="e">
        <f t="shared" si="8"/>
        <v>#N/A</v>
      </c>
      <c r="D82" s="3" t="e">
        <f t="shared" si="9"/>
        <v>#N/A</v>
      </c>
      <c r="E82" s="3" t="e">
        <f t="shared" si="10"/>
        <v>#N/A</v>
      </c>
      <c r="L82" s="1" t="s">
        <v>1773</v>
      </c>
      <c r="M82" t="s">
        <v>1687</v>
      </c>
      <c r="N82" s="3">
        <v>2.35</v>
      </c>
      <c r="O82" s="1" t="s">
        <v>1773</v>
      </c>
      <c r="P82" t="s">
        <v>1687</v>
      </c>
      <c r="Q82" s="3">
        <v>2.35</v>
      </c>
      <c r="R82" s="1" t="s">
        <v>1773</v>
      </c>
      <c r="S82" t="s">
        <v>1687</v>
      </c>
      <c r="T82" s="3">
        <v>2.35</v>
      </c>
      <c r="U82" s="1" t="s">
        <v>1773</v>
      </c>
      <c r="V82" t="s">
        <v>1687</v>
      </c>
      <c r="W82" s="3">
        <v>2.35</v>
      </c>
      <c r="AH82" t="s">
        <v>1687</v>
      </c>
      <c r="AI82" t="s">
        <v>1687</v>
      </c>
      <c r="AJ82">
        <v>1</v>
      </c>
    </row>
    <row r="83" spans="1:36" x14ac:dyDescent="0.25">
      <c r="A83" s="6" t="e">
        <f t="shared" si="4"/>
        <v>#N/A</v>
      </c>
      <c r="B83" s="3" t="e">
        <f t="shared" si="7"/>
        <v>#N/A</v>
      </c>
      <c r="C83" s="3" t="e">
        <f t="shared" si="8"/>
        <v>#N/A</v>
      </c>
      <c r="D83" s="3" t="e">
        <f t="shared" si="9"/>
        <v>#N/A</v>
      </c>
      <c r="E83" s="3" t="e">
        <f t="shared" si="10"/>
        <v>#N/A</v>
      </c>
      <c r="L83" s="1" t="s">
        <v>1773</v>
      </c>
      <c r="M83" t="s">
        <v>1688</v>
      </c>
      <c r="N83" s="3">
        <v>2.95</v>
      </c>
      <c r="O83" s="1" t="s">
        <v>1773</v>
      </c>
      <c r="P83" t="s">
        <v>1688</v>
      </c>
      <c r="Q83" s="3">
        <v>2.95</v>
      </c>
      <c r="R83" s="1" t="s">
        <v>1773</v>
      </c>
      <c r="S83" t="s">
        <v>1688</v>
      </c>
      <c r="T83" s="3">
        <v>2.95</v>
      </c>
      <c r="U83" s="1" t="s">
        <v>1773</v>
      </c>
      <c r="V83" t="s">
        <v>1688</v>
      </c>
      <c r="W83" s="3">
        <v>2.95</v>
      </c>
      <c r="AH83" t="s">
        <v>1688</v>
      </c>
      <c r="AI83" t="s">
        <v>1688</v>
      </c>
      <c r="AJ83">
        <v>1</v>
      </c>
    </row>
    <row r="84" spans="1:36" x14ac:dyDescent="0.25">
      <c r="A84" s="6" t="e">
        <f t="shared" si="4"/>
        <v>#N/A</v>
      </c>
      <c r="B84" s="3" t="e">
        <f t="shared" si="7"/>
        <v>#N/A</v>
      </c>
      <c r="C84" s="3" t="e">
        <f t="shared" si="8"/>
        <v>#N/A</v>
      </c>
      <c r="D84" s="3" t="e">
        <f t="shared" si="9"/>
        <v>#N/A</v>
      </c>
      <c r="E84" s="3" t="e">
        <f t="shared" si="10"/>
        <v>#N/A</v>
      </c>
      <c r="L84" s="1" t="s">
        <v>1773</v>
      </c>
      <c r="M84" t="s">
        <v>1689</v>
      </c>
      <c r="N84" s="3">
        <v>3.35</v>
      </c>
      <c r="O84" s="1" t="s">
        <v>1773</v>
      </c>
      <c r="P84" t="s">
        <v>1689</v>
      </c>
      <c r="Q84" s="3">
        <v>3.35</v>
      </c>
      <c r="R84" s="1" t="s">
        <v>1773</v>
      </c>
      <c r="S84" t="s">
        <v>1689</v>
      </c>
      <c r="T84" s="3">
        <v>3.35</v>
      </c>
      <c r="U84" s="1" t="s">
        <v>1773</v>
      </c>
      <c r="V84" t="s">
        <v>1689</v>
      </c>
      <c r="W84" s="3">
        <v>3.35</v>
      </c>
      <c r="AH84" t="s">
        <v>1689</v>
      </c>
      <c r="AI84" t="s">
        <v>1689</v>
      </c>
      <c r="AJ84">
        <v>1</v>
      </c>
    </row>
    <row r="85" spans="1:36" x14ac:dyDescent="0.25">
      <c r="A85" s="6" t="e">
        <f t="shared" si="4"/>
        <v>#N/A</v>
      </c>
      <c r="B85" s="3" t="e">
        <f t="shared" si="7"/>
        <v>#N/A</v>
      </c>
      <c r="C85" s="3" t="e">
        <f t="shared" si="8"/>
        <v>#N/A</v>
      </c>
      <c r="D85" s="3" t="e">
        <f t="shared" si="9"/>
        <v>#N/A</v>
      </c>
      <c r="E85" s="3" t="e">
        <f t="shared" si="10"/>
        <v>#N/A</v>
      </c>
      <c r="L85" s="1" t="s">
        <v>1773</v>
      </c>
      <c r="M85" t="s">
        <v>1690</v>
      </c>
      <c r="N85" s="3">
        <v>3.55</v>
      </c>
      <c r="O85" s="1" t="s">
        <v>1773</v>
      </c>
      <c r="P85" t="s">
        <v>1690</v>
      </c>
      <c r="Q85" s="3">
        <v>3.55</v>
      </c>
      <c r="R85" s="1" t="s">
        <v>1773</v>
      </c>
      <c r="S85" t="s">
        <v>1690</v>
      </c>
      <c r="T85" s="3">
        <v>3.55</v>
      </c>
      <c r="U85" s="1" t="s">
        <v>1773</v>
      </c>
      <c r="V85" t="s">
        <v>1690</v>
      </c>
      <c r="W85" s="3">
        <v>3.55</v>
      </c>
      <c r="AH85" t="s">
        <v>1690</v>
      </c>
      <c r="AI85" t="s">
        <v>1690</v>
      </c>
      <c r="AJ85">
        <v>1</v>
      </c>
    </row>
    <row r="86" spans="1:36" x14ac:dyDescent="0.25">
      <c r="A86" s="6" t="e">
        <f t="shared" si="4"/>
        <v>#N/A</v>
      </c>
      <c r="B86" s="3" t="e">
        <f t="shared" si="7"/>
        <v>#N/A</v>
      </c>
      <c r="C86" s="3" t="e">
        <f t="shared" si="8"/>
        <v>#N/A</v>
      </c>
      <c r="D86" s="3" t="e">
        <f t="shared" si="9"/>
        <v>#N/A</v>
      </c>
      <c r="E86" s="3" t="e">
        <f t="shared" si="10"/>
        <v>#N/A</v>
      </c>
      <c r="L86" s="1" t="s">
        <v>1773</v>
      </c>
      <c r="M86" t="s">
        <v>1691</v>
      </c>
      <c r="N86" s="3">
        <v>3.45</v>
      </c>
      <c r="O86" s="1" t="s">
        <v>1773</v>
      </c>
      <c r="P86" t="s">
        <v>1691</v>
      </c>
      <c r="Q86" s="3">
        <v>3.45</v>
      </c>
      <c r="R86" s="1" t="s">
        <v>1773</v>
      </c>
      <c r="S86" t="s">
        <v>1691</v>
      </c>
      <c r="T86" s="3">
        <v>3.45</v>
      </c>
      <c r="U86" s="1" t="s">
        <v>1773</v>
      </c>
      <c r="V86" t="s">
        <v>1691</v>
      </c>
      <c r="W86" s="3">
        <v>3.45</v>
      </c>
      <c r="AH86" t="s">
        <v>1691</v>
      </c>
      <c r="AI86" t="s">
        <v>1691</v>
      </c>
      <c r="AJ86">
        <v>1</v>
      </c>
    </row>
    <row r="87" spans="1:36" x14ac:dyDescent="0.25">
      <c r="A87" s="6" t="e">
        <f t="shared" si="4"/>
        <v>#N/A</v>
      </c>
      <c r="B87" s="3" t="e">
        <f t="shared" si="7"/>
        <v>#N/A</v>
      </c>
      <c r="C87" s="3" t="e">
        <f t="shared" si="8"/>
        <v>#N/A</v>
      </c>
      <c r="D87" s="3" t="e">
        <f t="shared" si="9"/>
        <v>#N/A</v>
      </c>
      <c r="E87" s="3" t="e">
        <f t="shared" si="10"/>
        <v>#N/A</v>
      </c>
      <c r="L87" s="1" t="s">
        <v>1773</v>
      </c>
      <c r="M87" t="s">
        <v>1692</v>
      </c>
      <c r="N87" s="3">
        <v>4.1500000000000004</v>
      </c>
      <c r="O87" s="1" t="s">
        <v>1773</v>
      </c>
      <c r="P87" t="s">
        <v>1692</v>
      </c>
      <c r="Q87" s="3">
        <v>4.1500000000000004</v>
      </c>
      <c r="R87" s="1" t="s">
        <v>1773</v>
      </c>
      <c r="S87" t="s">
        <v>1692</v>
      </c>
      <c r="T87" s="3">
        <v>4.1500000000000004</v>
      </c>
      <c r="U87" s="1" t="s">
        <v>1773</v>
      </c>
      <c r="V87" t="s">
        <v>1692</v>
      </c>
      <c r="W87" s="3">
        <v>4.1500000000000004</v>
      </c>
      <c r="AH87" t="s">
        <v>1692</v>
      </c>
      <c r="AI87" t="s">
        <v>1692</v>
      </c>
      <c r="AJ87">
        <v>1</v>
      </c>
    </row>
    <row r="88" spans="1:36" x14ac:dyDescent="0.25">
      <c r="A88" s="6" t="e">
        <f t="shared" si="4"/>
        <v>#N/A</v>
      </c>
      <c r="B88" s="3" t="e">
        <f t="shared" si="7"/>
        <v>#N/A</v>
      </c>
      <c r="C88" s="3" t="e">
        <f t="shared" si="8"/>
        <v>#N/A</v>
      </c>
      <c r="D88" s="3" t="e">
        <f t="shared" si="9"/>
        <v>#N/A</v>
      </c>
      <c r="E88" s="3" t="e">
        <f t="shared" si="10"/>
        <v>#N/A</v>
      </c>
      <c r="L88" s="1" t="s">
        <v>1773</v>
      </c>
      <c r="M88" t="s">
        <v>1693</v>
      </c>
      <c r="N88" s="3">
        <v>3.95</v>
      </c>
      <c r="O88" s="1" t="s">
        <v>1773</v>
      </c>
      <c r="P88" t="s">
        <v>1693</v>
      </c>
      <c r="Q88" s="3">
        <v>3.95</v>
      </c>
      <c r="R88" s="1" t="s">
        <v>1773</v>
      </c>
      <c r="S88" t="s">
        <v>1693</v>
      </c>
      <c r="T88" s="3">
        <v>3.95</v>
      </c>
      <c r="U88" s="1" t="s">
        <v>1773</v>
      </c>
      <c r="V88" t="s">
        <v>1693</v>
      </c>
      <c r="W88" s="3">
        <v>3.95</v>
      </c>
      <c r="AH88" t="s">
        <v>1693</v>
      </c>
      <c r="AI88" t="s">
        <v>1693</v>
      </c>
      <c r="AJ88">
        <v>1</v>
      </c>
    </row>
    <row r="89" spans="1:36" x14ac:dyDescent="0.25">
      <c r="A89" s="6" t="e">
        <f t="shared" si="4"/>
        <v>#N/A</v>
      </c>
      <c r="B89" s="3" t="e">
        <f t="shared" si="7"/>
        <v>#N/A</v>
      </c>
      <c r="C89" s="3" t="e">
        <f t="shared" si="8"/>
        <v>#N/A</v>
      </c>
      <c r="D89" s="3" t="e">
        <f t="shared" si="9"/>
        <v>#N/A</v>
      </c>
      <c r="E89" s="3" t="e">
        <f t="shared" si="10"/>
        <v>#N/A</v>
      </c>
      <c r="L89" s="1" t="s">
        <v>1773</v>
      </c>
      <c r="M89" t="s">
        <v>1694</v>
      </c>
      <c r="N89" s="3">
        <v>4.75</v>
      </c>
      <c r="O89" s="1" t="s">
        <v>1773</v>
      </c>
      <c r="P89" t="s">
        <v>1694</v>
      </c>
      <c r="Q89" s="3">
        <v>4.75</v>
      </c>
      <c r="R89" s="1" t="s">
        <v>1773</v>
      </c>
      <c r="S89" t="s">
        <v>1694</v>
      </c>
      <c r="T89" s="3">
        <v>4.75</v>
      </c>
      <c r="U89" s="1" t="s">
        <v>1773</v>
      </c>
      <c r="V89" t="s">
        <v>1694</v>
      </c>
      <c r="W89" s="3">
        <v>4.75</v>
      </c>
      <c r="AH89" t="s">
        <v>1694</v>
      </c>
      <c r="AI89" t="s">
        <v>1694</v>
      </c>
      <c r="AJ89">
        <v>1</v>
      </c>
    </row>
    <row r="90" spans="1:36" x14ac:dyDescent="0.25">
      <c r="A90" s="6" t="e">
        <f t="shared" si="4"/>
        <v>#N/A</v>
      </c>
      <c r="B90" s="3" t="e">
        <f t="shared" si="7"/>
        <v>#N/A</v>
      </c>
      <c r="C90" s="3" t="e">
        <f t="shared" si="8"/>
        <v>#N/A</v>
      </c>
      <c r="D90" s="3" t="e">
        <f t="shared" si="9"/>
        <v>#N/A</v>
      </c>
      <c r="E90" s="3" t="e">
        <f t="shared" si="10"/>
        <v>#N/A</v>
      </c>
      <c r="L90" s="1" t="s">
        <v>1773</v>
      </c>
      <c r="M90" t="s">
        <v>1695</v>
      </c>
      <c r="N90" s="3">
        <v>4.45</v>
      </c>
      <c r="O90" s="1" t="s">
        <v>1773</v>
      </c>
      <c r="P90" t="s">
        <v>1695</v>
      </c>
      <c r="Q90" s="3">
        <v>4.45</v>
      </c>
      <c r="R90" s="1" t="s">
        <v>1773</v>
      </c>
      <c r="S90" t="s">
        <v>1695</v>
      </c>
      <c r="T90" s="3">
        <v>4.45</v>
      </c>
      <c r="U90" s="1" t="s">
        <v>1773</v>
      </c>
      <c r="V90" t="s">
        <v>1695</v>
      </c>
      <c r="W90" s="3">
        <v>4.45</v>
      </c>
      <c r="AH90" t="s">
        <v>1695</v>
      </c>
      <c r="AI90" t="s">
        <v>1695</v>
      </c>
      <c r="AJ90">
        <v>1</v>
      </c>
    </row>
    <row r="91" spans="1:36" x14ac:dyDescent="0.25">
      <c r="A91" s="6" t="e">
        <f t="shared" si="4"/>
        <v>#N/A</v>
      </c>
      <c r="B91" s="3" t="e">
        <f t="shared" si="7"/>
        <v>#N/A</v>
      </c>
      <c r="C91" s="3" t="e">
        <f t="shared" si="8"/>
        <v>#N/A</v>
      </c>
      <c r="D91" s="3" t="e">
        <f t="shared" si="9"/>
        <v>#N/A</v>
      </c>
      <c r="E91" s="3" t="e">
        <f t="shared" si="10"/>
        <v>#N/A</v>
      </c>
      <c r="L91" s="1" t="s">
        <v>1773</v>
      </c>
      <c r="M91" t="s">
        <v>1696</v>
      </c>
      <c r="N91" s="3">
        <v>5.35</v>
      </c>
      <c r="O91" s="1" t="s">
        <v>1773</v>
      </c>
      <c r="P91" t="s">
        <v>1696</v>
      </c>
      <c r="Q91" s="3">
        <v>5.35</v>
      </c>
      <c r="R91" s="1" t="s">
        <v>1773</v>
      </c>
      <c r="S91" t="s">
        <v>1696</v>
      </c>
      <c r="T91" s="3">
        <v>5.35</v>
      </c>
      <c r="U91" s="1" t="s">
        <v>1773</v>
      </c>
      <c r="V91" t="s">
        <v>1696</v>
      </c>
      <c r="W91" s="3">
        <v>5.35</v>
      </c>
      <c r="AH91" t="s">
        <v>1696</v>
      </c>
      <c r="AI91" t="s">
        <v>1696</v>
      </c>
      <c r="AJ91">
        <v>1</v>
      </c>
    </row>
    <row r="92" spans="1:36" x14ac:dyDescent="0.25">
      <c r="A92" s="6" t="e">
        <f t="shared" si="4"/>
        <v>#N/A</v>
      </c>
      <c r="B92" s="3" t="e">
        <f t="shared" si="7"/>
        <v>#N/A</v>
      </c>
      <c r="C92" s="3" t="e">
        <f t="shared" si="8"/>
        <v>#N/A</v>
      </c>
      <c r="D92" s="3" t="e">
        <f t="shared" si="9"/>
        <v>#N/A</v>
      </c>
      <c r="E92" s="3" t="e">
        <f t="shared" si="10"/>
        <v>#N/A</v>
      </c>
      <c r="L92" s="1" t="s">
        <v>1773</v>
      </c>
      <c r="M92" t="s">
        <v>1697</v>
      </c>
      <c r="N92" s="3">
        <v>4.95</v>
      </c>
      <c r="O92" s="1" t="s">
        <v>1773</v>
      </c>
      <c r="P92" t="s">
        <v>1697</v>
      </c>
      <c r="Q92" s="3">
        <v>4.95</v>
      </c>
      <c r="R92" s="1" t="s">
        <v>1773</v>
      </c>
      <c r="S92" t="s">
        <v>1697</v>
      </c>
      <c r="T92" s="3">
        <v>4.95</v>
      </c>
      <c r="U92" s="1" t="s">
        <v>1773</v>
      </c>
      <c r="V92" t="s">
        <v>1697</v>
      </c>
      <c r="W92" s="3">
        <v>4.95</v>
      </c>
      <c r="AH92" t="s">
        <v>1697</v>
      </c>
      <c r="AI92" t="s">
        <v>1697</v>
      </c>
      <c r="AJ92">
        <v>1</v>
      </c>
    </row>
    <row r="93" spans="1:36" x14ac:dyDescent="0.25">
      <c r="A93" s="6" t="e">
        <f t="shared" si="4"/>
        <v>#N/A</v>
      </c>
      <c r="B93" s="3" t="e">
        <f t="shared" si="7"/>
        <v>#N/A</v>
      </c>
      <c r="C93" s="3" t="e">
        <f t="shared" si="8"/>
        <v>#N/A</v>
      </c>
      <c r="D93" s="3" t="e">
        <f t="shared" si="9"/>
        <v>#N/A</v>
      </c>
      <c r="E93" s="3" t="e">
        <f t="shared" si="10"/>
        <v>#N/A</v>
      </c>
      <c r="L93" s="1" t="s">
        <v>1773</v>
      </c>
      <c r="M93" t="s">
        <v>1698</v>
      </c>
      <c r="N93" s="3">
        <v>5.95</v>
      </c>
      <c r="O93" s="1" t="s">
        <v>1773</v>
      </c>
      <c r="P93" t="s">
        <v>1698</v>
      </c>
      <c r="Q93" s="3">
        <v>5.95</v>
      </c>
      <c r="R93" s="1" t="s">
        <v>1773</v>
      </c>
      <c r="S93" t="s">
        <v>1698</v>
      </c>
      <c r="T93" s="3">
        <v>5.95</v>
      </c>
      <c r="U93" s="1" t="s">
        <v>1773</v>
      </c>
      <c r="V93" t="s">
        <v>1698</v>
      </c>
      <c r="W93" s="3">
        <v>5.95</v>
      </c>
      <c r="AH93" t="s">
        <v>1698</v>
      </c>
      <c r="AI93" t="s">
        <v>1698</v>
      </c>
      <c r="AJ93">
        <v>1</v>
      </c>
    </row>
    <row r="94" spans="1:36" x14ac:dyDescent="0.25">
      <c r="A94" s="6" t="e">
        <f t="shared" si="4"/>
        <v>#N/A</v>
      </c>
      <c r="B94" s="3" t="e">
        <f t="shared" si="7"/>
        <v>#N/A</v>
      </c>
      <c r="C94" s="3" t="e">
        <f t="shared" si="8"/>
        <v>#N/A</v>
      </c>
      <c r="D94" s="3" t="e">
        <f t="shared" si="9"/>
        <v>#N/A</v>
      </c>
      <c r="E94" s="3" t="e">
        <f t="shared" si="10"/>
        <v>#N/A</v>
      </c>
      <c r="L94" s="1" t="s">
        <v>1637</v>
      </c>
      <c r="M94" t="s">
        <v>1699</v>
      </c>
      <c r="N94" s="3">
        <v>0.05</v>
      </c>
      <c r="O94" s="1" t="s">
        <v>1637</v>
      </c>
      <c r="P94" t="s">
        <v>1699</v>
      </c>
      <c r="Q94" s="3">
        <v>0.05</v>
      </c>
      <c r="R94" s="1" t="s">
        <v>1637</v>
      </c>
      <c r="S94" t="s">
        <v>1699</v>
      </c>
      <c r="T94" s="3">
        <v>0.05</v>
      </c>
      <c r="U94" s="1" t="s">
        <v>1637</v>
      </c>
      <c r="V94" t="s">
        <v>1699</v>
      </c>
      <c r="W94" s="3">
        <v>0.05</v>
      </c>
      <c r="AH94" t="s">
        <v>1699</v>
      </c>
      <c r="AI94" t="s">
        <v>1699</v>
      </c>
      <c r="AJ94">
        <v>1</v>
      </c>
    </row>
    <row r="95" spans="1:36" x14ac:dyDescent="0.25">
      <c r="A95" s="6" t="e">
        <f t="shared" si="4"/>
        <v>#N/A</v>
      </c>
      <c r="B95" s="3" t="e">
        <f t="shared" si="7"/>
        <v>#N/A</v>
      </c>
      <c r="C95" s="3" t="e">
        <f t="shared" si="8"/>
        <v>#N/A</v>
      </c>
      <c r="D95" s="3" t="e">
        <f t="shared" si="9"/>
        <v>#N/A</v>
      </c>
      <c r="E95" s="3" t="e">
        <f t="shared" si="10"/>
        <v>#N/A</v>
      </c>
      <c r="L95" s="1" t="s">
        <v>1637</v>
      </c>
      <c r="M95" t="s">
        <v>1806</v>
      </c>
      <c r="N95" s="3">
        <v>0.1</v>
      </c>
      <c r="O95" s="1" t="s">
        <v>1637</v>
      </c>
      <c r="P95" t="s">
        <v>1806</v>
      </c>
      <c r="Q95" s="3">
        <v>0.1</v>
      </c>
      <c r="R95" s="1" t="s">
        <v>1637</v>
      </c>
      <c r="S95" t="s">
        <v>1806</v>
      </c>
      <c r="T95" s="3">
        <v>0.1</v>
      </c>
      <c r="U95" s="1" t="s">
        <v>1637</v>
      </c>
      <c r="V95" t="s">
        <v>1806</v>
      </c>
      <c r="W95" s="3">
        <v>0.1</v>
      </c>
      <c r="AH95" t="s">
        <v>1806</v>
      </c>
      <c r="AI95" t="s">
        <v>1806</v>
      </c>
      <c r="AJ95">
        <v>1</v>
      </c>
    </row>
    <row r="96" spans="1:36" x14ac:dyDescent="0.25">
      <c r="A96" s="6" t="e">
        <f t="shared" si="4"/>
        <v>#N/A</v>
      </c>
      <c r="B96" s="3" t="e">
        <f t="shared" si="7"/>
        <v>#N/A</v>
      </c>
      <c r="C96" s="3" t="e">
        <f t="shared" si="8"/>
        <v>#N/A</v>
      </c>
      <c r="D96" s="3" t="e">
        <f t="shared" si="9"/>
        <v>#N/A</v>
      </c>
      <c r="E96" s="3" t="e">
        <f t="shared" si="10"/>
        <v>#N/A</v>
      </c>
      <c r="L96" s="1" t="s">
        <v>1637</v>
      </c>
      <c r="M96" t="s">
        <v>1807</v>
      </c>
      <c r="N96" s="3">
        <v>0.1</v>
      </c>
      <c r="O96" s="1" t="s">
        <v>1637</v>
      </c>
      <c r="P96" t="s">
        <v>1807</v>
      </c>
      <c r="Q96" s="3">
        <v>0.1</v>
      </c>
      <c r="R96" s="1" t="s">
        <v>1637</v>
      </c>
      <c r="S96" t="s">
        <v>1807</v>
      </c>
      <c r="T96" s="3">
        <v>0.1</v>
      </c>
      <c r="U96" s="1" t="s">
        <v>1637</v>
      </c>
      <c r="V96" t="s">
        <v>1807</v>
      </c>
      <c r="W96" s="3">
        <v>0.1</v>
      </c>
      <c r="AH96" t="s">
        <v>1807</v>
      </c>
      <c r="AI96" t="s">
        <v>1807</v>
      </c>
      <c r="AJ96">
        <v>1</v>
      </c>
    </row>
    <row r="97" spans="1:36" x14ac:dyDescent="0.25">
      <c r="A97" s="6" t="e">
        <f t="shared" si="4"/>
        <v>#N/A</v>
      </c>
      <c r="B97" s="3" t="e">
        <f t="shared" si="7"/>
        <v>#N/A</v>
      </c>
      <c r="C97" s="3" t="e">
        <f t="shared" si="8"/>
        <v>#N/A</v>
      </c>
      <c r="D97" s="3" t="e">
        <f t="shared" si="9"/>
        <v>#N/A</v>
      </c>
      <c r="E97" s="3" t="e">
        <f t="shared" si="10"/>
        <v>#N/A</v>
      </c>
      <c r="L97" s="1" t="s">
        <v>1637</v>
      </c>
      <c r="M97" t="s">
        <v>1808</v>
      </c>
      <c r="N97" s="3">
        <v>0.1</v>
      </c>
      <c r="O97" s="1" t="s">
        <v>1637</v>
      </c>
      <c r="P97" t="s">
        <v>1808</v>
      </c>
      <c r="Q97" s="3">
        <v>0.1</v>
      </c>
      <c r="R97" s="1" t="s">
        <v>1637</v>
      </c>
      <c r="S97" t="s">
        <v>1808</v>
      </c>
      <c r="T97" s="3">
        <v>0.1</v>
      </c>
      <c r="U97" s="1" t="s">
        <v>1637</v>
      </c>
      <c r="V97" t="s">
        <v>1808</v>
      </c>
      <c r="W97" s="3">
        <v>0.1</v>
      </c>
      <c r="AH97" t="s">
        <v>1808</v>
      </c>
      <c r="AI97" t="s">
        <v>1808</v>
      </c>
      <c r="AJ97">
        <v>1</v>
      </c>
    </row>
    <row r="98" spans="1:36" x14ac:dyDescent="0.25">
      <c r="A98" s="6" t="e">
        <f t="shared" si="4"/>
        <v>#N/A</v>
      </c>
      <c r="B98" s="3" t="e">
        <f t="shared" si="7"/>
        <v>#N/A</v>
      </c>
      <c r="C98" s="3" t="e">
        <f t="shared" si="8"/>
        <v>#N/A</v>
      </c>
      <c r="D98" s="3" t="e">
        <f t="shared" si="9"/>
        <v>#N/A</v>
      </c>
      <c r="E98" s="3" t="e">
        <f t="shared" si="10"/>
        <v>#N/A</v>
      </c>
      <c r="L98" s="1" t="s">
        <v>1637</v>
      </c>
      <c r="M98" t="s">
        <v>1809</v>
      </c>
      <c r="N98" s="3">
        <v>0.1</v>
      </c>
      <c r="O98" s="1" t="s">
        <v>1637</v>
      </c>
      <c r="P98" t="s">
        <v>1809</v>
      </c>
      <c r="Q98" s="3">
        <v>0.1</v>
      </c>
      <c r="R98" s="1" t="s">
        <v>1637</v>
      </c>
      <c r="S98" t="s">
        <v>1809</v>
      </c>
      <c r="T98" s="3">
        <v>0.1</v>
      </c>
      <c r="U98" s="1" t="s">
        <v>1637</v>
      </c>
      <c r="V98" t="s">
        <v>1809</v>
      </c>
      <c r="W98" s="3">
        <v>0.1</v>
      </c>
      <c r="AH98" t="s">
        <v>1809</v>
      </c>
      <c r="AI98" t="s">
        <v>1809</v>
      </c>
      <c r="AJ98">
        <v>1</v>
      </c>
    </row>
    <row r="99" spans="1:36" x14ac:dyDescent="0.25">
      <c r="A99" s="6" t="e">
        <f t="shared" si="4"/>
        <v>#N/A</v>
      </c>
      <c r="B99" s="3" t="e">
        <f t="shared" si="7"/>
        <v>#N/A</v>
      </c>
      <c r="C99" s="3" t="e">
        <f t="shared" si="8"/>
        <v>#N/A</v>
      </c>
      <c r="D99" s="3" t="e">
        <f t="shared" si="9"/>
        <v>#N/A</v>
      </c>
      <c r="E99" s="3" t="e">
        <f t="shared" si="10"/>
        <v>#N/A</v>
      </c>
      <c r="L99" s="1" t="s">
        <v>1637</v>
      </c>
      <c r="M99" t="s">
        <v>1810</v>
      </c>
      <c r="N99" s="3">
        <v>0.15</v>
      </c>
      <c r="O99" s="1" t="s">
        <v>1637</v>
      </c>
      <c r="P99" t="s">
        <v>1810</v>
      </c>
      <c r="Q99" s="3">
        <v>0.15</v>
      </c>
      <c r="R99" s="1" t="s">
        <v>1637</v>
      </c>
      <c r="S99" t="s">
        <v>1810</v>
      </c>
      <c r="T99" s="3">
        <v>0.15</v>
      </c>
      <c r="U99" s="1" t="s">
        <v>1637</v>
      </c>
      <c r="V99" t="s">
        <v>1810</v>
      </c>
      <c r="W99" s="3">
        <v>0.15</v>
      </c>
      <c r="AH99" t="s">
        <v>1810</v>
      </c>
      <c r="AI99" t="s">
        <v>1810</v>
      </c>
      <c r="AJ99">
        <v>1</v>
      </c>
    </row>
    <row r="100" spans="1:36" x14ac:dyDescent="0.25">
      <c r="A100" s="6" t="e">
        <f t="shared" ref="A100:A163" si="11">IF($B$1="Solo",IF(L99="","",L99),IF($B$1="Duet",IF(O99="","",O99),IF($B$1="Mixed",IF(R99="","",R99),IF(U99="","",U99))))</f>
        <v>#N/A</v>
      </c>
      <c r="B100" s="3" t="e">
        <f t="shared" ref="B100:B116" si="12">IF($B$1="Solo",IF(M99="","",M99),IF($B$1="Duet",IF(P99="","",P99),IF($B$1="Mixed",IF(S99="","",S99),IF(V99="","",V99))))</f>
        <v>#N/A</v>
      </c>
      <c r="C100" s="3" t="e">
        <f t="shared" ref="C100:C116" si="13">IF($B$1="Solo",IF(N99="","",N99),IF($B$1="Duet",IF(Q99="","",Q99),IF($B$1="Mixed",IF(T99="","",T99),IF(W99="","",W99))))</f>
        <v>#N/A</v>
      </c>
      <c r="D100" s="3" t="e">
        <f t="shared" si="9"/>
        <v>#N/A</v>
      </c>
      <c r="E100" s="3" t="e">
        <f t="shared" si="10"/>
        <v>#N/A</v>
      </c>
      <c r="L100" s="1" t="s">
        <v>1637</v>
      </c>
      <c r="M100" t="s">
        <v>1811</v>
      </c>
      <c r="N100" s="3">
        <v>0.15</v>
      </c>
      <c r="O100" s="1" t="s">
        <v>1637</v>
      </c>
      <c r="P100" t="s">
        <v>1811</v>
      </c>
      <c r="Q100" s="3">
        <v>0.15</v>
      </c>
      <c r="R100" s="1" t="s">
        <v>1637</v>
      </c>
      <c r="S100" t="s">
        <v>1811</v>
      </c>
      <c r="T100" s="3">
        <v>0.15</v>
      </c>
      <c r="U100" s="1" t="s">
        <v>1637</v>
      </c>
      <c r="V100" t="s">
        <v>1811</v>
      </c>
      <c r="W100" s="3">
        <v>0.15</v>
      </c>
      <c r="AH100" t="s">
        <v>1811</v>
      </c>
      <c r="AI100" t="s">
        <v>1811</v>
      </c>
      <c r="AJ100">
        <v>1</v>
      </c>
    </row>
    <row r="101" spans="1:36" x14ac:dyDescent="0.25">
      <c r="A101" s="6" t="e">
        <f t="shared" si="11"/>
        <v>#N/A</v>
      </c>
      <c r="B101" s="3" t="e">
        <f t="shared" si="12"/>
        <v>#N/A</v>
      </c>
      <c r="C101" s="3" t="e">
        <f t="shared" si="13"/>
        <v>#N/A</v>
      </c>
      <c r="D101" s="3" t="e">
        <f t="shared" si="9"/>
        <v>#N/A</v>
      </c>
      <c r="E101" s="3" t="e">
        <f t="shared" si="10"/>
        <v>#N/A</v>
      </c>
      <c r="L101" s="1" t="s">
        <v>1637</v>
      </c>
      <c r="M101" t="s">
        <v>1812</v>
      </c>
      <c r="N101" s="3">
        <v>0.2</v>
      </c>
      <c r="O101" s="1" t="s">
        <v>1637</v>
      </c>
      <c r="P101" t="s">
        <v>1812</v>
      </c>
      <c r="Q101" s="3">
        <v>0.2</v>
      </c>
      <c r="R101" s="1" t="s">
        <v>1637</v>
      </c>
      <c r="S101" t="s">
        <v>1812</v>
      </c>
      <c r="T101" s="3">
        <v>0.2</v>
      </c>
      <c r="U101" s="1" t="s">
        <v>1637</v>
      </c>
      <c r="V101" t="s">
        <v>1812</v>
      </c>
      <c r="W101" s="3">
        <v>0.2</v>
      </c>
      <c r="AH101" t="s">
        <v>1812</v>
      </c>
      <c r="AI101" t="s">
        <v>1812</v>
      </c>
      <c r="AJ101">
        <v>1</v>
      </c>
    </row>
    <row r="102" spans="1:36" x14ac:dyDescent="0.25">
      <c r="A102" s="6" t="e">
        <f t="shared" si="11"/>
        <v>#N/A</v>
      </c>
      <c r="B102" s="3" t="e">
        <f t="shared" si="12"/>
        <v>#N/A</v>
      </c>
      <c r="C102" s="3" t="e">
        <f t="shared" si="13"/>
        <v>#N/A</v>
      </c>
      <c r="D102" s="3" t="e">
        <f t="shared" si="9"/>
        <v>#N/A</v>
      </c>
      <c r="E102" s="3" t="e">
        <f t="shared" si="10"/>
        <v>#N/A</v>
      </c>
      <c r="L102" s="1" t="s">
        <v>1637</v>
      </c>
      <c r="M102" t="s">
        <v>1813</v>
      </c>
      <c r="N102" s="3">
        <v>0.2</v>
      </c>
      <c r="O102" s="1" t="s">
        <v>1637</v>
      </c>
      <c r="P102" t="s">
        <v>1813</v>
      </c>
      <c r="Q102" s="3">
        <v>0.2</v>
      </c>
      <c r="R102" s="1" t="s">
        <v>1637</v>
      </c>
      <c r="S102" t="s">
        <v>1813</v>
      </c>
      <c r="T102" s="3">
        <v>0.2</v>
      </c>
      <c r="U102" s="1" t="s">
        <v>1637</v>
      </c>
      <c r="V102" t="s">
        <v>1813</v>
      </c>
      <c r="W102" s="3">
        <v>0.2</v>
      </c>
      <c r="AH102" t="s">
        <v>1813</v>
      </c>
      <c r="AI102" t="s">
        <v>1813</v>
      </c>
      <c r="AJ102">
        <v>1</v>
      </c>
    </row>
    <row r="103" spans="1:36" x14ac:dyDescent="0.25">
      <c r="A103" s="6" t="e">
        <f t="shared" si="11"/>
        <v>#N/A</v>
      </c>
      <c r="B103" s="3" t="e">
        <f t="shared" si="12"/>
        <v>#N/A</v>
      </c>
      <c r="C103" s="3" t="e">
        <f t="shared" si="13"/>
        <v>#N/A</v>
      </c>
      <c r="D103" s="3" t="e">
        <f t="shared" si="9"/>
        <v>#N/A</v>
      </c>
      <c r="E103" s="3" t="e">
        <f t="shared" si="10"/>
        <v>#N/A</v>
      </c>
      <c r="L103" s="1" t="s">
        <v>1637</v>
      </c>
      <c r="M103" t="s">
        <v>1814</v>
      </c>
      <c r="N103" s="3">
        <v>0.45</v>
      </c>
      <c r="O103" s="1" t="s">
        <v>1637</v>
      </c>
      <c r="P103" t="s">
        <v>1814</v>
      </c>
      <c r="Q103" s="3">
        <v>0.45</v>
      </c>
      <c r="R103" s="1" t="s">
        <v>1637</v>
      </c>
      <c r="S103" t="s">
        <v>1814</v>
      </c>
      <c r="T103" s="3">
        <v>0.45</v>
      </c>
      <c r="U103" s="1" t="s">
        <v>1637</v>
      </c>
      <c r="V103" t="s">
        <v>1814</v>
      </c>
      <c r="W103" s="3">
        <v>0.45</v>
      </c>
      <c r="AH103" t="s">
        <v>1814</v>
      </c>
      <c r="AI103" t="s">
        <v>1814</v>
      </c>
      <c r="AJ103">
        <v>1</v>
      </c>
    </row>
    <row r="104" spans="1:36" x14ac:dyDescent="0.25">
      <c r="A104" s="6" t="e">
        <f t="shared" si="11"/>
        <v>#N/A</v>
      </c>
      <c r="B104" s="3" t="e">
        <f t="shared" si="12"/>
        <v>#N/A</v>
      </c>
      <c r="C104" s="3" t="e">
        <f t="shared" si="13"/>
        <v>#N/A</v>
      </c>
      <c r="D104" s="3" t="e">
        <f t="shared" si="9"/>
        <v>#N/A</v>
      </c>
      <c r="E104" s="3" t="e">
        <f t="shared" si="10"/>
        <v>#N/A</v>
      </c>
      <c r="L104" s="1" t="s">
        <v>1637</v>
      </c>
      <c r="M104" t="s">
        <v>1815</v>
      </c>
      <c r="N104" s="3">
        <v>0.45</v>
      </c>
      <c r="O104" s="1" t="s">
        <v>1637</v>
      </c>
      <c r="P104" t="s">
        <v>1815</v>
      </c>
      <c r="Q104" s="3">
        <v>0.45</v>
      </c>
      <c r="R104" s="1" t="s">
        <v>1637</v>
      </c>
      <c r="S104" t="s">
        <v>1815</v>
      </c>
      <c r="T104" s="3">
        <v>0.45</v>
      </c>
      <c r="U104" s="1" t="s">
        <v>1637</v>
      </c>
      <c r="V104" t="s">
        <v>1815</v>
      </c>
      <c r="W104" s="3">
        <v>0.45</v>
      </c>
      <c r="AH104" t="s">
        <v>1815</v>
      </c>
      <c r="AI104" t="s">
        <v>1815</v>
      </c>
      <c r="AJ104">
        <v>1</v>
      </c>
    </row>
    <row r="105" spans="1:36" x14ac:dyDescent="0.25">
      <c r="A105" s="6" t="e">
        <f t="shared" si="11"/>
        <v>#N/A</v>
      </c>
      <c r="B105" s="3" t="e">
        <f t="shared" si="12"/>
        <v>#N/A</v>
      </c>
      <c r="C105" s="3" t="e">
        <f t="shared" si="13"/>
        <v>#N/A</v>
      </c>
      <c r="D105" s="3" t="e">
        <f t="shared" si="9"/>
        <v>#N/A</v>
      </c>
      <c r="E105" s="3" t="e">
        <f t="shared" si="10"/>
        <v>#N/A</v>
      </c>
      <c r="L105" s="1" t="s">
        <v>1637</v>
      </c>
      <c r="M105" t="s">
        <v>1700</v>
      </c>
      <c r="N105" s="3">
        <v>0.65</v>
      </c>
      <c r="O105" s="1" t="s">
        <v>1637</v>
      </c>
      <c r="P105" t="s">
        <v>1700</v>
      </c>
      <c r="Q105" s="3">
        <v>0.65</v>
      </c>
      <c r="R105" s="1" t="s">
        <v>1637</v>
      </c>
      <c r="S105" t="s">
        <v>1700</v>
      </c>
      <c r="T105" s="3">
        <v>0.65</v>
      </c>
      <c r="U105" s="1" t="s">
        <v>1637</v>
      </c>
      <c r="V105" t="s">
        <v>1700</v>
      </c>
      <c r="W105" s="3">
        <v>0.65</v>
      </c>
      <c r="AH105" t="s">
        <v>1700</v>
      </c>
      <c r="AI105" t="s">
        <v>1700</v>
      </c>
      <c r="AJ105">
        <v>1</v>
      </c>
    </row>
    <row r="106" spans="1:36" x14ac:dyDescent="0.25">
      <c r="A106" s="6" t="e">
        <f t="shared" si="11"/>
        <v>#N/A</v>
      </c>
      <c r="B106" s="3" t="e">
        <f t="shared" si="12"/>
        <v>#N/A</v>
      </c>
      <c r="C106" s="3" t="e">
        <f t="shared" si="13"/>
        <v>#N/A</v>
      </c>
      <c r="D106" s="3" t="e">
        <f t="shared" si="9"/>
        <v>#N/A</v>
      </c>
      <c r="E106" s="3" t="e">
        <f t="shared" si="10"/>
        <v>#N/A</v>
      </c>
      <c r="L106" s="1" t="s">
        <v>1637</v>
      </c>
      <c r="M106" t="s">
        <v>1701</v>
      </c>
      <c r="N106" s="3">
        <v>1.1499999999999999</v>
      </c>
      <c r="O106" s="1" t="s">
        <v>1637</v>
      </c>
      <c r="P106" t="s">
        <v>1701</v>
      </c>
      <c r="Q106" s="3">
        <v>1.1499999999999999</v>
      </c>
      <c r="R106" s="1" t="s">
        <v>1637</v>
      </c>
      <c r="S106" t="s">
        <v>1701</v>
      </c>
      <c r="T106" s="3">
        <v>1.1499999999999999</v>
      </c>
      <c r="U106" s="1" t="s">
        <v>1637</v>
      </c>
      <c r="V106" t="s">
        <v>1701</v>
      </c>
      <c r="W106" s="3">
        <v>1.1499999999999999</v>
      </c>
      <c r="AH106" t="s">
        <v>1701</v>
      </c>
      <c r="AI106" t="s">
        <v>1701</v>
      </c>
      <c r="AJ106">
        <v>1</v>
      </c>
    </row>
    <row r="107" spans="1:36" x14ac:dyDescent="0.25">
      <c r="A107" s="6" t="e">
        <f t="shared" si="11"/>
        <v>#N/A</v>
      </c>
      <c r="B107" s="3" t="e">
        <f t="shared" si="12"/>
        <v>#N/A</v>
      </c>
      <c r="C107" s="3" t="e">
        <f t="shared" si="13"/>
        <v>#N/A</v>
      </c>
      <c r="D107" s="3" t="e">
        <f t="shared" si="9"/>
        <v>#N/A</v>
      </c>
      <c r="E107" s="3" t="e">
        <f t="shared" si="10"/>
        <v>#N/A</v>
      </c>
      <c r="L107" s="1" t="s">
        <v>1637</v>
      </c>
      <c r="M107" t="s">
        <v>1702</v>
      </c>
      <c r="N107" s="3">
        <v>1.45</v>
      </c>
      <c r="O107" s="1" t="s">
        <v>1637</v>
      </c>
      <c r="P107" t="s">
        <v>1702</v>
      </c>
      <c r="Q107" s="3">
        <v>1.45</v>
      </c>
      <c r="R107" s="1" t="s">
        <v>1637</v>
      </c>
      <c r="S107" t="s">
        <v>1702</v>
      </c>
      <c r="T107" s="3">
        <v>1.45</v>
      </c>
      <c r="U107" s="1" t="s">
        <v>1637</v>
      </c>
      <c r="V107" t="s">
        <v>1702</v>
      </c>
      <c r="W107" s="3">
        <v>1.45</v>
      </c>
      <c r="AH107" t="s">
        <v>1702</v>
      </c>
      <c r="AI107" t="s">
        <v>1702</v>
      </c>
      <c r="AJ107">
        <v>1</v>
      </c>
    </row>
    <row r="108" spans="1:36" x14ac:dyDescent="0.25">
      <c r="A108" s="6" t="e">
        <f t="shared" si="11"/>
        <v>#N/A</v>
      </c>
      <c r="B108" s="3" t="e">
        <f t="shared" si="12"/>
        <v>#N/A</v>
      </c>
      <c r="C108" s="3" t="e">
        <f t="shared" si="13"/>
        <v>#N/A</v>
      </c>
      <c r="D108" s="3" t="e">
        <f t="shared" si="9"/>
        <v>#N/A</v>
      </c>
      <c r="E108" s="3" t="e">
        <f t="shared" si="10"/>
        <v>#N/A</v>
      </c>
      <c r="L108" s="1" t="s">
        <v>1637</v>
      </c>
      <c r="M108" t="s">
        <v>1703</v>
      </c>
      <c r="N108" s="3">
        <v>1.65</v>
      </c>
      <c r="O108" s="1" t="s">
        <v>1637</v>
      </c>
      <c r="P108" t="s">
        <v>1703</v>
      </c>
      <c r="Q108" s="3">
        <v>1.65</v>
      </c>
      <c r="R108" s="1" t="s">
        <v>1637</v>
      </c>
      <c r="S108" t="s">
        <v>1703</v>
      </c>
      <c r="T108" s="3">
        <v>1.65</v>
      </c>
      <c r="U108" s="1" t="s">
        <v>1637</v>
      </c>
      <c r="V108" t="s">
        <v>1703</v>
      </c>
      <c r="W108" s="3">
        <v>1.65</v>
      </c>
      <c r="AH108" t="s">
        <v>1703</v>
      </c>
      <c r="AI108" t="s">
        <v>1703</v>
      </c>
      <c r="AJ108">
        <v>1</v>
      </c>
    </row>
    <row r="109" spans="1:36" x14ac:dyDescent="0.25">
      <c r="A109" s="6" t="e">
        <f t="shared" si="11"/>
        <v>#N/A</v>
      </c>
      <c r="B109" s="3" t="e">
        <f t="shared" si="12"/>
        <v>#N/A</v>
      </c>
      <c r="C109" s="3" t="e">
        <f t="shared" si="13"/>
        <v>#N/A</v>
      </c>
      <c r="D109" s="3" t="e">
        <f t="shared" si="9"/>
        <v>#N/A</v>
      </c>
      <c r="E109" s="3" t="e">
        <f t="shared" si="10"/>
        <v>#N/A</v>
      </c>
      <c r="L109" s="1" t="s">
        <v>628</v>
      </c>
      <c r="M109" t="s">
        <v>1704</v>
      </c>
      <c r="N109" s="3">
        <v>0.05</v>
      </c>
      <c r="O109" s="1" t="s">
        <v>628</v>
      </c>
      <c r="P109" t="s">
        <v>1704</v>
      </c>
      <c r="Q109" s="3">
        <v>0.05</v>
      </c>
      <c r="R109" s="1" t="s">
        <v>628</v>
      </c>
      <c r="S109" t="s">
        <v>1704</v>
      </c>
      <c r="T109" s="3">
        <v>0.05</v>
      </c>
      <c r="U109" s="1" t="s">
        <v>628</v>
      </c>
      <c r="V109" t="s">
        <v>1704</v>
      </c>
      <c r="W109" s="3">
        <v>0.05</v>
      </c>
      <c r="AH109" t="s">
        <v>1704</v>
      </c>
      <c r="AI109" t="s">
        <v>1704</v>
      </c>
      <c r="AJ109">
        <v>1</v>
      </c>
    </row>
    <row r="110" spans="1:36" x14ac:dyDescent="0.25">
      <c r="A110" s="6" t="e">
        <f t="shared" si="11"/>
        <v>#N/A</v>
      </c>
      <c r="B110" s="3" t="e">
        <f t="shared" si="12"/>
        <v>#N/A</v>
      </c>
      <c r="C110" s="3" t="e">
        <f t="shared" si="13"/>
        <v>#N/A</v>
      </c>
      <c r="D110" s="3" t="e">
        <f t="shared" si="9"/>
        <v>#N/A</v>
      </c>
      <c r="E110" s="3" t="e">
        <f t="shared" si="10"/>
        <v>#N/A</v>
      </c>
      <c r="L110" s="1" t="s">
        <v>628</v>
      </c>
      <c r="M110" t="s">
        <v>1816</v>
      </c>
      <c r="N110" s="3">
        <v>0.1</v>
      </c>
      <c r="O110" s="1" t="s">
        <v>628</v>
      </c>
      <c r="P110" t="s">
        <v>1816</v>
      </c>
      <c r="Q110" s="3">
        <v>0.1</v>
      </c>
      <c r="R110" s="1" t="s">
        <v>628</v>
      </c>
      <c r="S110" t="s">
        <v>1816</v>
      </c>
      <c r="T110" s="3">
        <v>0.1</v>
      </c>
      <c r="U110" s="1" t="s">
        <v>628</v>
      </c>
      <c r="V110" t="s">
        <v>1816</v>
      </c>
      <c r="W110" s="3">
        <v>0.1</v>
      </c>
      <c r="AH110" t="s">
        <v>1816</v>
      </c>
      <c r="AI110" t="s">
        <v>1816</v>
      </c>
      <c r="AJ110">
        <v>1</v>
      </c>
    </row>
    <row r="111" spans="1:36" x14ac:dyDescent="0.25">
      <c r="A111" s="6" t="e">
        <f t="shared" si="11"/>
        <v>#N/A</v>
      </c>
      <c r="B111" s="3" t="e">
        <f t="shared" si="12"/>
        <v>#N/A</v>
      </c>
      <c r="C111" s="3" t="e">
        <f t="shared" si="13"/>
        <v>#N/A</v>
      </c>
      <c r="D111" s="3" t="e">
        <f t="shared" si="9"/>
        <v>#N/A</v>
      </c>
      <c r="E111" s="3" t="e">
        <f t="shared" si="10"/>
        <v>#N/A</v>
      </c>
      <c r="L111" s="1" t="s">
        <v>628</v>
      </c>
      <c r="M111" t="s">
        <v>1817</v>
      </c>
      <c r="N111" s="3">
        <v>0.1</v>
      </c>
      <c r="O111" s="1" t="s">
        <v>628</v>
      </c>
      <c r="P111" t="s">
        <v>1817</v>
      </c>
      <c r="Q111" s="3">
        <v>0.1</v>
      </c>
      <c r="R111" s="1" t="s">
        <v>628</v>
      </c>
      <c r="S111" t="s">
        <v>1817</v>
      </c>
      <c r="T111" s="3">
        <v>0.1</v>
      </c>
      <c r="U111" s="1" t="s">
        <v>628</v>
      </c>
      <c r="V111" t="s">
        <v>1817</v>
      </c>
      <c r="W111" s="3">
        <v>0.1</v>
      </c>
      <c r="AH111" t="s">
        <v>1817</v>
      </c>
      <c r="AI111" t="s">
        <v>1817</v>
      </c>
      <c r="AJ111">
        <v>1</v>
      </c>
    </row>
    <row r="112" spans="1:36" x14ac:dyDescent="0.25">
      <c r="A112" s="6" t="e">
        <f t="shared" si="11"/>
        <v>#N/A</v>
      </c>
      <c r="B112" s="3" t="e">
        <f t="shared" si="12"/>
        <v>#N/A</v>
      </c>
      <c r="C112" s="3" t="e">
        <f t="shared" si="13"/>
        <v>#N/A</v>
      </c>
      <c r="D112" s="3" t="e">
        <f t="shared" si="9"/>
        <v>#N/A</v>
      </c>
      <c r="E112" s="3" t="e">
        <f t="shared" si="10"/>
        <v>#N/A</v>
      </c>
      <c r="L112" s="1" t="s">
        <v>628</v>
      </c>
      <c r="M112" t="s">
        <v>1818</v>
      </c>
      <c r="N112" s="3">
        <v>0.1</v>
      </c>
      <c r="O112" s="1" t="s">
        <v>628</v>
      </c>
      <c r="P112" t="s">
        <v>1818</v>
      </c>
      <c r="Q112" s="3">
        <v>0.1</v>
      </c>
      <c r="R112" s="1" t="s">
        <v>628</v>
      </c>
      <c r="S112" t="s">
        <v>1818</v>
      </c>
      <c r="T112" s="3">
        <v>0.1</v>
      </c>
      <c r="U112" s="1" t="s">
        <v>628</v>
      </c>
      <c r="V112" t="s">
        <v>1818</v>
      </c>
      <c r="W112" s="3">
        <v>0.1</v>
      </c>
      <c r="AH112" t="s">
        <v>1818</v>
      </c>
      <c r="AI112" t="s">
        <v>1818</v>
      </c>
      <c r="AJ112">
        <v>1</v>
      </c>
    </row>
    <row r="113" spans="1:36" x14ac:dyDescent="0.25">
      <c r="A113" s="6" t="e">
        <f t="shared" si="11"/>
        <v>#N/A</v>
      </c>
      <c r="B113" s="3" t="e">
        <f t="shared" si="12"/>
        <v>#N/A</v>
      </c>
      <c r="C113" s="3" t="e">
        <f t="shared" si="13"/>
        <v>#N/A</v>
      </c>
      <c r="D113" s="3" t="e">
        <f t="shared" si="9"/>
        <v>#N/A</v>
      </c>
      <c r="E113" s="3" t="e">
        <f t="shared" si="10"/>
        <v>#N/A</v>
      </c>
      <c r="L113" s="1" t="s">
        <v>628</v>
      </c>
      <c r="M113" t="s">
        <v>1819</v>
      </c>
      <c r="N113" s="3">
        <v>0.2</v>
      </c>
      <c r="O113" s="1" t="s">
        <v>628</v>
      </c>
      <c r="P113" t="s">
        <v>1819</v>
      </c>
      <c r="Q113" s="3">
        <v>0.2</v>
      </c>
      <c r="R113" s="1" t="s">
        <v>628</v>
      </c>
      <c r="S113" t="s">
        <v>1819</v>
      </c>
      <c r="T113" s="3">
        <v>0.2</v>
      </c>
      <c r="U113" s="1" t="s">
        <v>628</v>
      </c>
      <c r="V113" t="s">
        <v>1819</v>
      </c>
      <c r="W113" s="3">
        <v>0.2</v>
      </c>
      <c r="AH113" t="s">
        <v>1819</v>
      </c>
      <c r="AI113" t="s">
        <v>1819</v>
      </c>
      <c r="AJ113">
        <v>1</v>
      </c>
    </row>
    <row r="114" spans="1:36" x14ac:dyDescent="0.25">
      <c r="A114" s="6" t="e">
        <f t="shared" si="11"/>
        <v>#N/A</v>
      </c>
      <c r="B114" s="3" t="e">
        <f t="shared" si="12"/>
        <v>#N/A</v>
      </c>
      <c r="C114" s="3" t="e">
        <f t="shared" si="13"/>
        <v>#N/A</v>
      </c>
      <c r="D114" s="3" t="e">
        <f t="shared" si="9"/>
        <v>#N/A</v>
      </c>
      <c r="E114" s="3" t="e">
        <f t="shared" si="10"/>
        <v>#N/A</v>
      </c>
      <c r="L114" s="1" t="s">
        <v>628</v>
      </c>
      <c r="M114" t="s">
        <v>1820</v>
      </c>
      <c r="N114" s="3">
        <v>0.2</v>
      </c>
      <c r="O114" s="1" t="s">
        <v>628</v>
      </c>
      <c r="P114" t="s">
        <v>1820</v>
      </c>
      <c r="Q114" s="3">
        <v>0.2</v>
      </c>
      <c r="R114" s="1" t="s">
        <v>628</v>
      </c>
      <c r="S114" t="s">
        <v>1820</v>
      </c>
      <c r="T114" s="3">
        <v>0.2</v>
      </c>
      <c r="U114" s="1" t="s">
        <v>628</v>
      </c>
      <c r="V114" t="s">
        <v>1820</v>
      </c>
      <c r="W114" s="3">
        <v>0.2</v>
      </c>
      <c r="AH114" t="s">
        <v>1820</v>
      </c>
      <c r="AI114" t="s">
        <v>1820</v>
      </c>
      <c r="AJ114">
        <v>1</v>
      </c>
    </row>
    <row r="115" spans="1:36" x14ac:dyDescent="0.25">
      <c r="A115" s="6" t="e">
        <f t="shared" si="11"/>
        <v>#N/A</v>
      </c>
      <c r="B115" s="3" t="e">
        <f t="shared" si="12"/>
        <v>#N/A</v>
      </c>
      <c r="C115" s="3" t="e">
        <f t="shared" si="13"/>
        <v>#N/A</v>
      </c>
      <c r="D115" s="3" t="e">
        <f t="shared" si="9"/>
        <v>#N/A</v>
      </c>
      <c r="E115" s="3" t="e">
        <f t="shared" si="10"/>
        <v>#N/A</v>
      </c>
      <c r="L115" s="1" t="s">
        <v>628</v>
      </c>
      <c r="M115" t="s">
        <v>1821</v>
      </c>
      <c r="N115" s="3">
        <v>0.2</v>
      </c>
      <c r="O115" s="1" t="s">
        <v>628</v>
      </c>
      <c r="P115" t="s">
        <v>1821</v>
      </c>
      <c r="Q115" s="3">
        <v>0.2</v>
      </c>
      <c r="R115" s="1" t="s">
        <v>628</v>
      </c>
      <c r="S115" t="s">
        <v>1821</v>
      </c>
      <c r="T115" s="3">
        <v>0.2</v>
      </c>
      <c r="U115" s="1" t="s">
        <v>628</v>
      </c>
      <c r="V115" t="s">
        <v>1821</v>
      </c>
      <c r="W115" s="3">
        <v>0.2</v>
      </c>
      <c r="AH115" t="s">
        <v>1821</v>
      </c>
      <c r="AI115" t="s">
        <v>1821</v>
      </c>
      <c r="AJ115">
        <v>1</v>
      </c>
    </row>
    <row r="116" spans="1:36" x14ac:dyDescent="0.25">
      <c r="A116" s="6" t="e">
        <f t="shared" si="11"/>
        <v>#N/A</v>
      </c>
      <c r="B116" s="3" t="e">
        <f t="shared" si="12"/>
        <v>#N/A</v>
      </c>
      <c r="C116" s="3" t="e">
        <f t="shared" si="13"/>
        <v>#N/A</v>
      </c>
      <c r="D116" s="3" t="e">
        <f t="shared" si="9"/>
        <v>#N/A</v>
      </c>
      <c r="E116" s="3" t="e">
        <f t="shared" si="10"/>
        <v>#N/A</v>
      </c>
      <c r="L116" s="1" t="s">
        <v>628</v>
      </c>
      <c r="M116" t="s">
        <v>1822</v>
      </c>
      <c r="N116" s="3">
        <v>0.3</v>
      </c>
      <c r="O116" s="1" t="s">
        <v>628</v>
      </c>
      <c r="P116" t="s">
        <v>1822</v>
      </c>
      <c r="Q116" s="3">
        <v>0.3</v>
      </c>
      <c r="R116" s="1" t="s">
        <v>628</v>
      </c>
      <c r="S116" t="s">
        <v>1822</v>
      </c>
      <c r="T116" s="3">
        <v>0.3</v>
      </c>
      <c r="U116" s="1" t="s">
        <v>628</v>
      </c>
      <c r="V116" t="s">
        <v>1822</v>
      </c>
      <c r="W116" s="3">
        <v>0.3</v>
      </c>
      <c r="AH116" t="s">
        <v>1822</v>
      </c>
      <c r="AI116" t="s">
        <v>1822</v>
      </c>
      <c r="AJ116">
        <v>1</v>
      </c>
    </row>
    <row r="117" spans="1:36" x14ac:dyDescent="0.25">
      <c r="A117" s="6" t="e">
        <f t="shared" si="11"/>
        <v>#N/A</v>
      </c>
      <c r="B117" s="3" t="e">
        <f t="shared" ref="B117:B136" si="14">IF($B$1="Solo",IF(M116="","",M116),IF($B$1="Duet",IF(P116="","",P116),IF($B$1="Mixed",IF(S116="","",S116),IF(V116="","",V116))))</f>
        <v>#N/A</v>
      </c>
      <c r="C117" s="3" t="e">
        <f t="shared" ref="C117:C136" si="15">IF($B$1="Solo",IF(N116="","",N116),IF($B$1="Duet",IF(Q116="","",Q116),IF($B$1="Mixed",IF(T116="","",T116),IF(W116="","",W116))))</f>
        <v>#N/A</v>
      </c>
      <c r="D117" s="3" t="e">
        <f t="shared" si="9"/>
        <v>#N/A</v>
      </c>
      <c r="E117" s="3" t="e">
        <f t="shared" si="10"/>
        <v>#N/A</v>
      </c>
      <c r="L117" s="1" t="s">
        <v>628</v>
      </c>
      <c r="M117" t="s">
        <v>1823</v>
      </c>
      <c r="N117" s="3">
        <v>0.3</v>
      </c>
      <c r="O117" s="1" t="s">
        <v>628</v>
      </c>
      <c r="P117" t="s">
        <v>1823</v>
      </c>
      <c r="Q117" s="3">
        <v>0.3</v>
      </c>
      <c r="R117" s="1" t="s">
        <v>628</v>
      </c>
      <c r="S117" t="s">
        <v>1823</v>
      </c>
      <c r="T117" s="3">
        <v>0.3</v>
      </c>
      <c r="U117" s="1" t="s">
        <v>628</v>
      </c>
      <c r="V117" t="s">
        <v>1823</v>
      </c>
      <c r="W117" s="3">
        <v>0.3</v>
      </c>
      <c r="AH117" t="s">
        <v>1823</v>
      </c>
      <c r="AI117" t="s">
        <v>1823</v>
      </c>
      <c r="AJ117">
        <v>1</v>
      </c>
    </row>
    <row r="118" spans="1:36" x14ac:dyDescent="0.25">
      <c r="A118" s="6" t="e">
        <f t="shared" si="11"/>
        <v>#N/A</v>
      </c>
      <c r="B118" s="3" t="e">
        <f t="shared" si="14"/>
        <v>#N/A</v>
      </c>
      <c r="C118" s="3" t="e">
        <f t="shared" si="15"/>
        <v>#N/A</v>
      </c>
      <c r="D118" s="3" t="e">
        <f t="shared" si="9"/>
        <v>#N/A</v>
      </c>
      <c r="E118" s="3" t="e">
        <f t="shared" si="10"/>
        <v>#N/A</v>
      </c>
      <c r="L118" s="1" t="s">
        <v>628</v>
      </c>
      <c r="M118" t="s">
        <v>1824</v>
      </c>
      <c r="N118" s="3">
        <v>0.3</v>
      </c>
      <c r="O118" s="1" t="s">
        <v>628</v>
      </c>
      <c r="P118" t="s">
        <v>1824</v>
      </c>
      <c r="Q118" s="3">
        <v>0.3</v>
      </c>
      <c r="R118" s="1" t="s">
        <v>628</v>
      </c>
      <c r="S118" t="s">
        <v>1824</v>
      </c>
      <c r="T118" s="3">
        <v>0.3</v>
      </c>
      <c r="U118" s="1" t="s">
        <v>628</v>
      </c>
      <c r="V118" t="s">
        <v>1824</v>
      </c>
      <c r="W118" s="3">
        <v>0.3</v>
      </c>
      <c r="AH118" t="s">
        <v>1824</v>
      </c>
      <c r="AI118" t="s">
        <v>1824</v>
      </c>
      <c r="AJ118">
        <v>1</v>
      </c>
    </row>
    <row r="119" spans="1:36" x14ac:dyDescent="0.25">
      <c r="A119" s="6" t="e">
        <f t="shared" si="11"/>
        <v>#N/A</v>
      </c>
      <c r="B119" s="3" t="e">
        <f t="shared" si="14"/>
        <v>#N/A</v>
      </c>
      <c r="C119" s="3" t="e">
        <f t="shared" si="15"/>
        <v>#N/A</v>
      </c>
      <c r="D119" s="3" t="e">
        <f t="shared" si="9"/>
        <v>#N/A</v>
      </c>
      <c r="E119" s="3" t="e">
        <f t="shared" si="10"/>
        <v>#N/A</v>
      </c>
      <c r="L119" s="1" t="s">
        <v>628</v>
      </c>
      <c r="M119" t="s">
        <v>1825</v>
      </c>
      <c r="N119" s="3">
        <v>0.4</v>
      </c>
      <c r="O119" s="1" t="s">
        <v>628</v>
      </c>
      <c r="P119" t="s">
        <v>1825</v>
      </c>
      <c r="Q119" s="3">
        <v>0.4</v>
      </c>
      <c r="R119" s="1" t="s">
        <v>628</v>
      </c>
      <c r="S119" t="s">
        <v>1825</v>
      </c>
      <c r="T119" s="3">
        <v>0.4</v>
      </c>
      <c r="U119" s="1" t="s">
        <v>628</v>
      </c>
      <c r="V119" t="s">
        <v>1825</v>
      </c>
      <c r="W119" s="3">
        <v>0.4</v>
      </c>
      <c r="AH119" t="s">
        <v>1825</v>
      </c>
      <c r="AI119" t="s">
        <v>1825</v>
      </c>
      <c r="AJ119">
        <v>1</v>
      </c>
    </row>
    <row r="120" spans="1:36" x14ac:dyDescent="0.25">
      <c r="A120" s="6" t="e">
        <f t="shared" si="11"/>
        <v>#N/A</v>
      </c>
      <c r="B120" s="3" t="e">
        <f t="shared" si="14"/>
        <v>#N/A</v>
      </c>
      <c r="C120" s="3" t="e">
        <f t="shared" si="15"/>
        <v>#N/A</v>
      </c>
      <c r="D120" s="3" t="e">
        <f t="shared" si="9"/>
        <v>#N/A</v>
      </c>
      <c r="E120" s="3" t="e">
        <f t="shared" si="10"/>
        <v>#N/A</v>
      </c>
      <c r="L120" s="1" t="s">
        <v>628</v>
      </c>
      <c r="M120" t="s">
        <v>1826</v>
      </c>
      <c r="N120" s="3">
        <v>0.4</v>
      </c>
      <c r="O120" s="1" t="s">
        <v>628</v>
      </c>
      <c r="P120" t="s">
        <v>1826</v>
      </c>
      <c r="Q120" s="3">
        <v>0.4</v>
      </c>
      <c r="R120" s="1" t="s">
        <v>628</v>
      </c>
      <c r="S120" t="s">
        <v>1826</v>
      </c>
      <c r="T120" s="3">
        <v>0.4</v>
      </c>
      <c r="U120" s="1" t="s">
        <v>628</v>
      </c>
      <c r="V120" t="s">
        <v>1826</v>
      </c>
      <c r="W120" s="3">
        <v>0.4</v>
      </c>
      <c r="AH120" t="s">
        <v>1826</v>
      </c>
      <c r="AI120" t="s">
        <v>1826</v>
      </c>
      <c r="AJ120">
        <v>1</v>
      </c>
    </row>
    <row r="121" spans="1:36" x14ac:dyDescent="0.25">
      <c r="A121" s="6" t="e">
        <f t="shared" si="11"/>
        <v>#N/A</v>
      </c>
      <c r="B121" s="3" t="e">
        <f t="shared" si="14"/>
        <v>#N/A</v>
      </c>
      <c r="C121" s="3" t="e">
        <f t="shared" si="15"/>
        <v>#N/A</v>
      </c>
      <c r="D121" s="3" t="e">
        <f t="shared" si="9"/>
        <v>#N/A</v>
      </c>
      <c r="E121" s="3" t="e">
        <f t="shared" si="10"/>
        <v>#N/A</v>
      </c>
      <c r="L121" s="1" t="s">
        <v>628</v>
      </c>
      <c r="M121" t="s">
        <v>1827</v>
      </c>
      <c r="N121" s="3">
        <v>0.4</v>
      </c>
      <c r="O121" s="1" t="s">
        <v>628</v>
      </c>
      <c r="P121" t="s">
        <v>1827</v>
      </c>
      <c r="Q121" s="3">
        <v>0.4</v>
      </c>
      <c r="R121" s="1" t="s">
        <v>628</v>
      </c>
      <c r="S121" t="s">
        <v>1827</v>
      </c>
      <c r="T121" s="3">
        <v>0.4</v>
      </c>
      <c r="U121" s="1" t="s">
        <v>628</v>
      </c>
      <c r="V121" t="s">
        <v>1827</v>
      </c>
      <c r="W121" s="3">
        <v>0.4</v>
      </c>
      <c r="AH121" t="s">
        <v>1827</v>
      </c>
      <c r="AI121" t="s">
        <v>1827</v>
      </c>
      <c r="AJ121">
        <v>1</v>
      </c>
    </row>
    <row r="122" spans="1:36" x14ac:dyDescent="0.25">
      <c r="A122" s="6" t="e">
        <f t="shared" si="11"/>
        <v>#N/A</v>
      </c>
      <c r="B122" s="3" t="e">
        <f t="shared" si="14"/>
        <v>#N/A</v>
      </c>
      <c r="C122" s="3" t="e">
        <f t="shared" si="15"/>
        <v>#N/A</v>
      </c>
      <c r="D122" s="3" t="e">
        <f t="shared" si="9"/>
        <v>#N/A</v>
      </c>
      <c r="E122" s="3" t="e">
        <f t="shared" si="10"/>
        <v>#N/A</v>
      </c>
      <c r="L122" s="1" t="s">
        <v>628</v>
      </c>
      <c r="M122" t="s">
        <v>1828</v>
      </c>
      <c r="N122" s="3">
        <v>0.4</v>
      </c>
      <c r="O122" s="1" t="s">
        <v>628</v>
      </c>
      <c r="P122" t="s">
        <v>1828</v>
      </c>
      <c r="Q122" s="3">
        <v>0.4</v>
      </c>
      <c r="R122" s="1" t="s">
        <v>628</v>
      </c>
      <c r="S122" t="s">
        <v>1828</v>
      </c>
      <c r="T122" s="3">
        <v>0.4</v>
      </c>
      <c r="U122" s="1" t="s">
        <v>628</v>
      </c>
      <c r="V122" t="s">
        <v>1828</v>
      </c>
      <c r="W122" s="3">
        <v>0.4</v>
      </c>
      <c r="AH122" t="s">
        <v>1828</v>
      </c>
      <c r="AI122" t="s">
        <v>1828</v>
      </c>
      <c r="AJ122">
        <v>1</v>
      </c>
    </row>
    <row r="123" spans="1:36" x14ac:dyDescent="0.25">
      <c r="A123" s="6" t="e">
        <f t="shared" si="11"/>
        <v>#N/A</v>
      </c>
      <c r="B123" s="3" t="e">
        <f t="shared" si="14"/>
        <v>#N/A</v>
      </c>
      <c r="C123" s="3" t="e">
        <f t="shared" si="15"/>
        <v>#N/A</v>
      </c>
      <c r="D123" s="3" t="e">
        <f t="shared" si="9"/>
        <v>#N/A</v>
      </c>
      <c r="E123" s="3" t="e">
        <f t="shared" si="10"/>
        <v>#N/A</v>
      </c>
      <c r="L123" s="1" t="s">
        <v>628</v>
      </c>
      <c r="M123" t="s">
        <v>1829</v>
      </c>
      <c r="N123" s="3">
        <v>0.4</v>
      </c>
      <c r="O123" s="1" t="s">
        <v>628</v>
      </c>
      <c r="P123" t="s">
        <v>1829</v>
      </c>
      <c r="Q123" s="3">
        <v>0.4</v>
      </c>
      <c r="R123" s="1" t="s">
        <v>628</v>
      </c>
      <c r="S123" t="s">
        <v>1829</v>
      </c>
      <c r="T123" s="3">
        <v>0.4</v>
      </c>
      <c r="U123" s="1" t="s">
        <v>628</v>
      </c>
      <c r="V123" t="s">
        <v>1829</v>
      </c>
      <c r="W123" s="3">
        <v>0.4</v>
      </c>
      <c r="AH123" t="s">
        <v>1829</v>
      </c>
      <c r="AI123" t="s">
        <v>1829</v>
      </c>
      <c r="AJ123">
        <v>1</v>
      </c>
    </row>
    <row r="124" spans="1:36" x14ac:dyDescent="0.25">
      <c r="A124" s="6" t="e">
        <f t="shared" si="11"/>
        <v>#N/A</v>
      </c>
      <c r="B124" s="3" t="e">
        <f t="shared" si="14"/>
        <v>#N/A</v>
      </c>
      <c r="C124" s="3" t="e">
        <f t="shared" si="15"/>
        <v>#N/A</v>
      </c>
      <c r="D124" s="3" t="e">
        <f t="shared" si="9"/>
        <v>#N/A</v>
      </c>
      <c r="E124" s="3" t="e">
        <f t="shared" si="10"/>
        <v>#N/A</v>
      </c>
      <c r="L124" s="1" t="s">
        <v>628</v>
      </c>
      <c r="M124" s="271" t="s">
        <v>1830</v>
      </c>
      <c r="N124" s="3">
        <v>0.4</v>
      </c>
      <c r="O124" s="1" t="s">
        <v>628</v>
      </c>
      <c r="P124" t="s">
        <v>1830</v>
      </c>
      <c r="Q124" s="3">
        <v>0.4</v>
      </c>
      <c r="R124" s="1" t="s">
        <v>628</v>
      </c>
      <c r="S124" t="s">
        <v>1830</v>
      </c>
      <c r="T124" s="3">
        <v>0.4</v>
      </c>
      <c r="U124" s="1" t="s">
        <v>628</v>
      </c>
      <c r="V124" t="s">
        <v>1830</v>
      </c>
      <c r="W124" s="3">
        <v>0.4</v>
      </c>
      <c r="AH124" t="s">
        <v>1830</v>
      </c>
      <c r="AI124" t="s">
        <v>1830</v>
      </c>
      <c r="AJ124">
        <v>1</v>
      </c>
    </row>
    <row r="125" spans="1:36" x14ac:dyDescent="0.25">
      <c r="A125" s="6" t="e">
        <f t="shared" si="11"/>
        <v>#N/A</v>
      </c>
      <c r="B125" s="3" t="e">
        <f t="shared" si="14"/>
        <v>#N/A</v>
      </c>
      <c r="C125" s="3" t="e">
        <f t="shared" si="15"/>
        <v>#N/A</v>
      </c>
      <c r="D125" s="3" t="e">
        <f t="shared" si="9"/>
        <v>#N/A</v>
      </c>
      <c r="E125" s="3" t="e">
        <f t="shared" si="10"/>
        <v>#N/A</v>
      </c>
      <c r="L125" s="1" t="s">
        <v>628</v>
      </c>
      <c r="M125" t="s">
        <v>1831</v>
      </c>
      <c r="N125" s="3">
        <v>0.5</v>
      </c>
      <c r="O125" s="1" t="s">
        <v>628</v>
      </c>
      <c r="P125" t="s">
        <v>1831</v>
      </c>
      <c r="Q125" s="3">
        <v>0.5</v>
      </c>
      <c r="R125" s="1" t="s">
        <v>628</v>
      </c>
      <c r="S125" t="s">
        <v>1831</v>
      </c>
      <c r="T125" s="3">
        <v>0.5</v>
      </c>
      <c r="U125" s="1" t="s">
        <v>628</v>
      </c>
      <c r="V125" t="s">
        <v>1831</v>
      </c>
      <c r="W125" s="3">
        <v>0.5</v>
      </c>
      <c r="AH125" t="s">
        <v>1831</v>
      </c>
      <c r="AI125" t="s">
        <v>1831</v>
      </c>
      <c r="AJ125">
        <v>1</v>
      </c>
    </row>
    <row r="126" spans="1:36" x14ac:dyDescent="0.25">
      <c r="A126" s="6" t="e">
        <f t="shared" si="11"/>
        <v>#N/A</v>
      </c>
      <c r="B126" s="3" t="e">
        <f t="shared" si="14"/>
        <v>#N/A</v>
      </c>
      <c r="C126" s="3" t="e">
        <f t="shared" si="15"/>
        <v>#N/A</v>
      </c>
      <c r="D126" s="3" t="e">
        <f t="shared" si="9"/>
        <v>#N/A</v>
      </c>
      <c r="E126" s="3" t="e">
        <f t="shared" si="10"/>
        <v>#N/A</v>
      </c>
      <c r="L126" s="1" t="s">
        <v>628</v>
      </c>
      <c r="M126" t="s">
        <v>1832</v>
      </c>
      <c r="N126" s="3">
        <v>0.5</v>
      </c>
      <c r="O126" s="1" t="s">
        <v>628</v>
      </c>
      <c r="P126" t="s">
        <v>1832</v>
      </c>
      <c r="Q126" s="3">
        <v>0.5</v>
      </c>
      <c r="R126" s="1" t="s">
        <v>628</v>
      </c>
      <c r="S126" t="s">
        <v>1832</v>
      </c>
      <c r="T126" s="3">
        <v>0.5</v>
      </c>
      <c r="U126" s="1" t="s">
        <v>628</v>
      </c>
      <c r="V126" t="s">
        <v>1832</v>
      </c>
      <c r="W126" s="3">
        <v>0.5</v>
      </c>
      <c r="AH126" t="s">
        <v>1832</v>
      </c>
      <c r="AI126" t="s">
        <v>1832</v>
      </c>
      <c r="AJ126">
        <v>1</v>
      </c>
    </row>
    <row r="127" spans="1:36" x14ac:dyDescent="0.25">
      <c r="A127" s="6" t="e">
        <f t="shared" si="11"/>
        <v>#N/A</v>
      </c>
      <c r="B127" s="3" t="e">
        <f t="shared" si="14"/>
        <v>#N/A</v>
      </c>
      <c r="C127" s="3" t="e">
        <f t="shared" si="15"/>
        <v>#N/A</v>
      </c>
      <c r="D127" s="3" t="e">
        <f t="shared" si="9"/>
        <v>#N/A</v>
      </c>
      <c r="E127" s="3" t="e">
        <f t="shared" si="10"/>
        <v>#N/A</v>
      </c>
      <c r="L127" s="1" t="s">
        <v>628</v>
      </c>
      <c r="M127" t="s">
        <v>1833</v>
      </c>
      <c r="N127" s="3">
        <v>0.5</v>
      </c>
      <c r="O127" s="1" t="s">
        <v>628</v>
      </c>
      <c r="P127" t="s">
        <v>1833</v>
      </c>
      <c r="Q127" s="3">
        <v>0.5</v>
      </c>
      <c r="R127" s="1" t="s">
        <v>628</v>
      </c>
      <c r="S127" t="s">
        <v>1833</v>
      </c>
      <c r="T127" s="3">
        <v>0.5</v>
      </c>
      <c r="U127" s="1" t="s">
        <v>628</v>
      </c>
      <c r="V127" t="s">
        <v>1833</v>
      </c>
      <c r="W127" s="3">
        <v>0.5</v>
      </c>
      <c r="AH127" t="s">
        <v>1833</v>
      </c>
      <c r="AI127" t="s">
        <v>1833</v>
      </c>
      <c r="AJ127">
        <v>1</v>
      </c>
    </row>
    <row r="128" spans="1:36" x14ac:dyDescent="0.25">
      <c r="A128" s="6" t="e">
        <f t="shared" si="11"/>
        <v>#N/A</v>
      </c>
      <c r="B128" s="3" t="e">
        <f t="shared" si="14"/>
        <v>#N/A</v>
      </c>
      <c r="C128" s="3" t="e">
        <f t="shared" si="15"/>
        <v>#N/A</v>
      </c>
      <c r="D128" s="3" t="e">
        <f t="shared" si="9"/>
        <v>#N/A</v>
      </c>
      <c r="E128" s="3" t="e">
        <f t="shared" si="10"/>
        <v>#N/A</v>
      </c>
      <c r="L128" s="1" t="s">
        <v>628</v>
      </c>
      <c r="M128" s="271" t="s">
        <v>1834</v>
      </c>
      <c r="N128" s="3">
        <v>0.65</v>
      </c>
      <c r="O128" s="1" t="s">
        <v>628</v>
      </c>
      <c r="P128" t="s">
        <v>1834</v>
      </c>
      <c r="Q128" s="3">
        <v>0.65</v>
      </c>
      <c r="R128" s="1" t="s">
        <v>628</v>
      </c>
      <c r="S128" t="s">
        <v>1834</v>
      </c>
      <c r="T128" s="3">
        <v>0.65</v>
      </c>
      <c r="U128" s="1" t="s">
        <v>628</v>
      </c>
      <c r="V128" t="s">
        <v>1834</v>
      </c>
      <c r="W128" s="3">
        <v>0.65</v>
      </c>
      <c r="AH128" t="s">
        <v>1834</v>
      </c>
      <c r="AI128" t="s">
        <v>1834</v>
      </c>
      <c r="AJ128">
        <v>1</v>
      </c>
    </row>
    <row r="129" spans="1:36" x14ac:dyDescent="0.25">
      <c r="A129" s="6" t="e">
        <f t="shared" si="11"/>
        <v>#N/A</v>
      </c>
      <c r="B129" s="3" t="e">
        <f t="shared" si="14"/>
        <v>#N/A</v>
      </c>
      <c r="C129" s="3" t="e">
        <f t="shared" si="15"/>
        <v>#N/A</v>
      </c>
      <c r="D129" s="3" t="e">
        <f t="shared" si="9"/>
        <v>#N/A</v>
      </c>
      <c r="E129" s="3" t="e">
        <f t="shared" si="10"/>
        <v>#N/A</v>
      </c>
      <c r="L129" s="1" t="s">
        <v>628</v>
      </c>
      <c r="M129" s="271" t="s">
        <v>1835</v>
      </c>
      <c r="N129" s="3">
        <v>0.65</v>
      </c>
      <c r="O129" s="1" t="s">
        <v>628</v>
      </c>
      <c r="P129" t="s">
        <v>1835</v>
      </c>
      <c r="Q129" s="3">
        <v>0.65</v>
      </c>
      <c r="R129" s="1" t="s">
        <v>628</v>
      </c>
      <c r="S129" t="s">
        <v>1835</v>
      </c>
      <c r="T129" s="3">
        <v>0.65</v>
      </c>
      <c r="U129" s="1" t="s">
        <v>628</v>
      </c>
      <c r="V129" t="s">
        <v>1835</v>
      </c>
      <c r="W129" s="3">
        <v>0.65</v>
      </c>
      <c r="AH129" t="s">
        <v>1835</v>
      </c>
      <c r="AI129" t="s">
        <v>1835</v>
      </c>
      <c r="AJ129">
        <v>1</v>
      </c>
    </row>
    <row r="130" spans="1:36" x14ac:dyDescent="0.25">
      <c r="A130" s="6" t="e">
        <f t="shared" si="11"/>
        <v>#N/A</v>
      </c>
      <c r="B130" s="3" t="e">
        <f t="shared" si="14"/>
        <v>#N/A</v>
      </c>
      <c r="C130" s="3" t="e">
        <f t="shared" si="15"/>
        <v>#N/A</v>
      </c>
      <c r="D130" s="3" t="e">
        <f t="shared" si="9"/>
        <v>#N/A</v>
      </c>
      <c r="E130" s="3" t="e">
        <f t="shared" si="10"/>
        <v>#N/A</v>
      </c>
      <c r="L130" s="1" t="s">
        <v>628</v>
      </c>
      <c r="M130" t="s">
        <v>1836</v>
      </c>
      <c r="N130" s="3">
        <v>0.65</v>
      </c>
      <c r="O130" s="1" t="s">
        <v>628</v>
      </c>
      <c r="P130" t="s">
        <v>1836</v>
      </c>
      <c r="Q130" s="3">
        <v>0.65</v>
      </c>
      <c r="R130" s="1" t="s">
        <v>628</v>
      </c>
      <c r="S130" t="s">
        <v>1836</v>
      </c>
      <c r="T130" s="3">
        <v>0.65</v>
      </c>
      <c r="U130" s="1" t="s">
        <v>628</v>
      </c>
      <c r="V130" t="s">
        <v>1836</v>
      </c>
      <c r="W130" s="3">
        <v>0.65</v>
      </c>
      <c r="AH130" t="s">
        <v>1836</v>
      </c>
      <c r="AI130" t="s">
        <v>1836</v>
      </c>
      <c r="AJ130">
        <v>1</v>
      </c>
    </row>
    <row r="131" spans="1:36" x14ac:dyDescent="0.25">
      <c r="A131" s="6" t="e">
        <f t="shared" si="11"/>
        <v>#N/A</v>
      </c>
      <c r="B131" s="3" t="e">
        <f t="shared" si="14"/>
        <v>#N/A</v>
      </c>
      <c r="C131" s="3" t="e">
        <f t="shared" si="15"/>
        <v>#N/A</v>
      </c>
      <c r="D131" s="3" t="e">
        <f t="shared" si="9"/>
        <v>#N/A</v>
      </c>
      <c r="E131" s="3" t="e">
        <f t="shared" si="10"/>
        <v>#N/A</v>
      </c>
      <c r="L131" s="1" t="s">
        <v>628</v>
      </c>
      <c r="M131" t="s">
        <v>1837</v>
      </c>
      <c r="N131" s="3">
        <v>0.65</v>
      </c>
      <c r="O131" s="1" t="s">
        <v>628</v>
      </c>
      <c r="P131" t="s">
        <v>1837</v>
      </c>
      <c r="Q131" s="3">
        <v>0.65</v>
      </c>
      <c r="R131" s="1" t="s">
        <v>628</v>
      </c>
      <c r="S131" t="s">
        <v>1837</v>
      </c>
      <c r="T131" s="3">
        <v>0.65</v>
      </c>
      <c r="U131" s="1" t="s">
        <v>628</v>
      </c>
      <c r="V131" t="s">
        <v>1837</v>
      </c>
      <c r="W131" s="3">
        <v>0.65</v>
      </c>
      <c r="AH131" t="s">
        <v>1837</v>
      </c>
      <c r="AI131" t="s">
        <v>1837</v>
      </c>
      <c r="AJ131">
        <v>1</v>
      </c>
    </row>
    <row r="132" spans="1:36" x14ac:dyDescent="0.25">
      <c r="A132" s="6" t="e">
        <f t="shared" si="11"/>
        <v>#N/A</v>
      </c>
      <c r="B132" s="3" t="e">
        <f t="shared" si="14"/>
        <v>#N/A</v>
      </c>
      <c r="C132" s="3" t="e">
        <f t="shared" si="15"/>
        <v>#N/A</v>
      </c>
      <c r="D132" s="3" t="e">
        <f t="shared" si="9"/>
        <v>#N/A</v>
      </c>
      <c r="E132" s="3" t="e">
        <f t="shared" si="10"/>
        <v>#N/A</v>
      </c>
      <c r="L132" s="1" t="s">
        <v>628</v>
      </c>
      <c r="M132" t="s">
        <v>1705</v>
      </c>
      <c r="N132" s="3">
        <v>0.75</v>
      </c>
      <c r="O132" s="1" t="s">
        <v>628</v>
      </c>
      <c r="P132" t="s">
        <v>1705</v>
      </c>
      <c r="Q132" s="3">
        <v>0.75</v>
      </c>
      <c r="R132" s="1" t="s">
        <v>628</v>
      </c>
      <c r="S132" t="s">
        <v>1705</v>
      </c>
      <c r="T132" s="3">
        <v>0.75</v>
      </c>
      <c r="U132" s="1" t="s">
        <v>628</v>
      </c>
      <c r="V132" t="s">
        <v>1705</v>
      </c>
      <c r="W132" s="3">
        <v>0.75</v>
      </c>
      <c r="AH132" t="s">
        <v>1705</v>
      </c>
      <c r="AI132" t="s">
        <v>1705</v>
      </c>
      <c r="AJ132">
        <v>1</v>
      </c>
    </row>
    <row r="133" spans="1:36" x14ac:dyDescent="0.25">
      <c r="A133" s="6" t="e">
        <f t="shared" si="11"/>
        <v>#N/A</v>
      </c>
      <c r="B133" s="3" t="e">
        <f t="shared" si="14"/>
        <v>#N/A</v>
      </c>
      <c r="C133" s="3" t="e">
        <f t="shared" si="15"/>
        <v>#N/A</v>
      </c>
      <c r="D133" s="3" t="e">
        <f t="shared" ref="D133:D196" si="16">IF($D$1="Team",IF(AD132="","",AD132),"")</f>
        <v>#N/A</v>
      </c>
      <c r="E133" s="3" t="e">
        <f t="shared" ref="E133:E196" si="17">IF($D$1="Team",IF(AE132="","",AE132),"")</f>
        <v>#N/A</v>
      </c>
      <c r="L133" s="1" t="s">
        <v>628</v>
      </c>
      <c r="M133" t="s">
        <v>1838</v>
      </c>
      <c r="N133" s="3">
        <v>0.9</v>
      </c>
      <c r="O133" s="1" t="s">
        <v>628</v>
      </c>
      <c r="P133" t="s">
        <v>1838</v>
      </c>
      <c r="Q133" s="3">
        <v>0.9</v>
      </c>
      <c r="R133" s="1" t="s">
        <v>628</v>
      </c>
      <c r="S133" t="s">
        <v>1838</v>
      </c>
      <c r="T133" s="3">
        <v>0.9</v>
      </c>
      <c r="U133" s="1" t="s">
        <v>628</v>
      </c>
      <c r="V133" t="s">
        <v>1838</v>
      </c>
      <c r="W133" s="3">
        <v>0.9</v>
      </c>
      <c r="AH133" t="s">
        <v>1838</v>
      </c>
      <c r="AI133" t="s">
        <v>1838</v>
      </c>
      <c r="AJ133">
        <v>1</v>
      </c>
    </row>
    <row r="134" spans="1:36" x14ac:dyDescent="0.25">
      <c r="A134" s="6" t="e">
        <f t="shared" si="11"/>
        <v>#N/A</v>
      </c>
      <c r="B134" s="3" t="e">
        <f t="shared" si="14"/>
        <v>#N/A</v>
      </c>
      <c r="C134" s="3" t="e">
        <f t="shared" si="15"/>
        <v>#N/A</v>
      </c>
      <c r="D134" s="3" t="e">
        <f t="shared" si="16"/>
        <v>#N/A</v>
      </c>
      <c r="E134" s="3" t="e">
        <f t="shared" si="17"/>
        <v>#N/A</v>
      </c>
      <c r="L134" s="1" t="s">
        <v>628</v>
      </c>
      <c r="M134" t="s">
        <v>1839</v>
      </c>
      <c r="N134" s="3">
        <v>0.9</v>
      </c>
      <c r="O134" s="1" t="s">
        <v>628</v>
      </c>
      <c r="P134" t="s">
        <v>1839</v>
      </c>
      <c r="Q134" s="3">
        <v>0.9</v>
      </c>
      <c r="R134" s="1" t="s">
        <v>628</v>
      </c>
      <c r="S134" t="s">
        <v>1839</v>
      </c>
      <c r="T134" s="3">
        <v>0.9</v>
      </c>
      <c r="U134" s="1" t="s">
        <v>628</v>
      </c>
      <c r="V134" t="s">
        <v>1839</v>
      </c>
      <c r="W134" s="3">
        <v>0.9</v>
      </c>
      <c r="AH134" t="s">
        <v>1839</v>
      </c>
      <c r="AI134" t="s">
        <v>1839</v>
      </c>
      <c r="AJ134">
        <v>1</v>
      </c>
    </row>
    <row r="135" spans="1:36" x14ac:dyDescent="0.25">
      <c r="A135" s="6" t="e">
        <f t="shared" si="11"/>
        <v>#N/A</v>
      </c>
      <c r="B135" s="3" t="e">
        <f t="shared" si="14"/>
        <v>#N/A</v>
      </c>
      <c r="C135" s="3" t="e">
        <f t="shared" si="15"/>
        <v>#N/A</v>
      </c>
      <c r="D135" s="3" t="e">
        <f t="shared" si="16"/>
        <v>#N/A</v>
      </c>
      <c r="E135" s="3" t="e">
        <f t="shared" si="17"/>
        <v>#N/A</v>
      </c>
      <c r="L135" s="1" t="s">
        <v>628</v>
      </c>
      <c r="M135" t="s">
        <v>1706</v>
      </c>
      <c r="N135" s="3">
        <v>1</v>
      </c>
      <c r="O135" s="1" t="s">
        <v>628</v>
      </c>
      <c r="P135" t="s">
        <v>1706</v>
      </c>
      <c r="Q135" s="3">
        <v>1</v>
      </c>
      <c r="R135" s="1" t="s">
        <v>628</v>
      </c>
      <c r="S135" t="s">
        <v>1706</v>
      </c>
      <c r="T135" s="3">
        <v>1</v>
      </c>
      <c r="U135" s="1" t="s">
        <v>628</v>
      </c>
      <c r="V135" t="s">
        <v>1706</v>
      </c>
      <c r="W135" s="3">
        <v>1</v>
      </c>
      <c r="AH135" t="s">
        <v>1706</v>
      </c>
      <c r="AI135" t="s">
        <v>1706</v>
      </c>
      <c r="AJ135">
        <v>1</v>
      </c>
    </row>
    <row r="136" spans="1:36" x14ac:dyDescent="0.25">
      <c r="A136" s="6" t="e">
        <f t="shared" si="11"/>
        <v>#N/A</v>
      </c>
      <c r="B136" s="3" t="e">
        <f t="shared" si="14"/>
        <v>#N/A</v>
      </c>
      <c r="C136" s="3" t="e">
        <f t="shared" si="15"/>
        <v>#N/A</v>
      </c>
      <c r="D136" s="3" t="e">
        <f t="shared" si="16"/>
        <v>#N/A</v>
      </c>
      <c r="E136" s="3" t="e">
        <f t="shared" si="17"/>
        <v>#N/A</v>
      </c>
      <c r="L136" s="1" t="s">
        <v>628</v>
      </c>
      <c r="M136" t="s">
        <v>1707</v>
      </c>
      <c r="N136" s="3">
        <v>1.3</v>
      </c>
      <c r="O136" s="1" t="s">
        <v>628</v>
      </c>
      <c r="P136" t="s">
        <v>1707</v>
      </c>
      <c r="Q136" s="3">
        <v>1.3</v>
      </c>
      <c r="R136" s="1" t="s">
        <v>628</v>
      </c>
      <c r="S136" t="s">
        <v>1707</v>
      </c>
      <c r="T136" s="3">
        <v>1.3</v>
      </c>
      <c r="U136" s="1" t="s">
        <v>628</v>
      </c>
      <c r="V136" t="s">
        <v>1707</v>
      </c>
      <c r="W136" s="3">
        <v>1.3</v>
      </c>
      <c r="AH136" t="s">
        <v>1707</v>
      </c>
      <c r="AI136" t="s">
        <v>1707</v>
      </c>
      <c r="AJ136">
        <v>1</v>
      </c>
    </row>
    <row r="137" spans="1:36" x14ac:dyDescent="0.25">
      <c r="A137" s="6" t="e">
        <f t="shared" si="11"/>
        <v>#N/A</v>
      </c>
      <c r="B137" s="3" t="e">
        <f t="shared" ref="B137:B200" si="18">IF($B$1="Solo",IF(M136="","",M136),IF($B$1="Duet",IF(P136="","",P136),IF($B$1="Mixed",IF(S136="","",S136),IF(V136="","",V136))))</f>
        <v>#N/A</v>
      </c>
      <c r="C137" s="3" t="e">
        <f t="shared" ref="C137:C200" si="19">IF($B$1="Solo",IF(N136="","",N136),IF($B$1="Duet",IF(Q136="","",Q136),IF($B$1="Mixed",IF(T136="","",T136),IF(W136="","",W136))))</f>
        <v>#N/A</v>
      </c>
      <c r="D137" s="3" t="e">
        <f t="shared" si="16"/>
        <v>#N/A</v>
      </c>
      <c r="E137" s="3" t="e">
        <f t="shared" si="17"/>
        <v>#N/A</v>
      </c>
      <c r="O137" s="1" t="s">
        <v>629</v>
      </c>
      <c r="P137" t="s">
        <v>1708</v>
      </c>
      <c r="Q137" s="3">
        <v>0.1</v>
      </c>
      <c r="R137" s="1" t="s">
        <v>629</v>
      </c>
      <c r="S137" t="s">
        <v>1708</v>
      </c>
      <c r="T137" s="3">
        <v>0.1</v>
      </c>
      <c r="U137" s="1" t="s">
        <v>629</v>
      </c>
      <c r="V137" t="s">
        <v>1708</v>
      </c>
      <c r="W137" s="3">
        <v>0.1</v>
      </c>
      <c r="AH137" t="s">
        <v>1708</v>
      </c>
      <c r="AI137" t="s">
        <v>1708</v>
      </c>
      <c r="AJ137">
        <v>1</v>
      </c>
    </row>
    <row r="138" spans="1:36" x14ac:dyDescent="0.25">
      <c r="A138" s="6" t="e">
        <f t="shared" si="11"/>
        <v>#N/A</v>
      </c>
      <c r="B138" s="3" t="e">
        <f t="shared" si="18"/>
        <v>#N/A</v>
      </c>
      <c r="C138" s="3" t="e">
        <f t="shared" si="19"/>
        <v>#N/A</v>
      </c>
      <c r="D138" s="3" t="e">
        <f t="shared" si="16"/>
        <v>#N/A</v>
      </c>
      <c r="E138" s="3" t="e">
        <f t="shared" si="17"/>
        <v>#N/A</v>
      </c>
      <c r="O138" s="1" t="s">
        <v>629</v>
      </c>
      <c r="P138" t="s">
        <v>1840</v>
      </c>
      <c r="Q138" s="3">
        <v>0.2</v>
      </c>
      <c r="R138" s="1" t="s">
        <v>629</v>
      </c>
      <c r="S138" t="s">
        <v>1840</v>
      </c>
      <c r="T138" s="3">
        <v>0.2</v>
      </c>
      <c r="U138" s="1" t="s">
        <v>629</v>
      </c>
      <c r="V138" t="s">
        <v>1709</v>
      </c>
      <c r="W138" s="3">
        <v>0.2</v>
      </c>
      <c r="AH138" t="s">
        <v>1709</v>
      </c>
      <c r="AI138" t="s">
        <v>1708</v>
      </c>
      <c r="AJ138">
        <v>1</v>
      </c>
    </row>
    <row r="139" spans="1:36" x14ac:dyDescent="0.25">
      <c r="A139" s="6" t="e">
        <f t="shared" si="11"/>
        <v>#N/A</v>
      </c>
      <c r="B139" s="3" t="e">
        <f t="shared" si="18"/>
        <v>#N/A</v>
      </c>
      <c r="C139" s="3" t="e">
        <f t="shared" si="19"/>
        <v>#N/A</v>
      </c>
      <c r="D139" s="3" t="e">
        <f t="shared" si="16"/>
        <v>#N/A</v>
      </c>
      <c r="E139" s="3" t="e">
        <f t="shared" si="17"/>
        <v>#N/A</v>
      </c>
      <c r="O139" s="1" t="s">
        <v>629</v>
      </c>
      <c r="P139" t="s">
        <v>1841</v>
      </c>
      <c r="Q139" s="3">
        <v>0.2</v>
      </c>
      <c r="R139" s="1" t="s">
        <v>629</v>
      </c>
      <c r="S139" t="s">
        <v>1841</v>
      </c>
      <c r="T139" s="3">
        <v>0.2</v>
      </c>
      <c r="U139" s="1" t="s">
        <v>629</v>
      </c>
      <c r="V139" t="s">
        <v>1840</v>
      </c>
      <c r="W139" s="3">
        <v>0.2</v>
      </c>
      <c r="AH139" t="s">
        <v>1840</v>
      </c>
      <c r="AI139" t="s">
        <v>1840</v>
      </c>
      <c r="AJ139">
        <v>1</v>
      </c>
    </row>
    <row r="140" spans="1:36" x14ac:dyDescent="0.25">
      <c r="A140" s="6" t="e">
        <f t="shared" si="11"/>
        <v>#N/A</v>
      </c>
      <c r="B140" s="3" t="e">
        <f t="shared" si="18"/>
        <v>#N/A</v>
      </c>
      <c r="C140" s="3" t="e">
        <f t="shared" si="19"/>
        <v>#N/A</v>
      </c>
      <c r="D140" s="3" t="e">
        <f t="shared" si="16"/>
        <v>#N/A</v>
      </c>
      <c r="E140" s="3" t="e">
        <f t="shared" si="17"/>
        <v>#N/A</v>
      </c>
      <c r="O140" s="1" t="s">
        <v>629</v>
      </c>
      <c r="P140" t="s">
        <v>1844</v>
      </c>
      <c r="Q140" s="3">
        <v>0.3</v>
      </c>
      <c r="R140" s="1" t="s">
        <v>629</v>
      </c>
      <c r="S140" t="s">
        <v>1844</v>
      </c>
      <c r="T140" s="3">
        <v>0.3</v>
      </c>
      <c r="U140" s="1" t="s">
        <v>629</v>
      </c>
      <c r="V140" t="s">
        <v>1842</v>
      </c>
      <c r="W140" s="3">
        <v>0.3</v>
      </c>
      <c r="AH140" t="s">
        <v>1842</v>
      </c>
      <c r="AI140" t="s">
        <v>1840</v>
      </c>
      <c r="AJ140">
        <v>1</v>
      </c>
    </row>
    <row r="141" spans="1:36" x14ac:dyDescent="0.25">
      <c r="A141" s="6" t="e">
        <f t="shared" si="11"/>
        <v>#N/A</v>
      </c>
      <c r="B141" s="3" t="e">
        <f t="shared" si="18"/>
        <v>#N/A</v>
      </c>
      <c r="C141" s="3" t="e">
        <f t="shared" si="19"/>
        <v>#N/A</v>
      </c>
      <c r="D141" s="3" t="e">
        <f t="shared" si="16"/>
        <v>#N/A</v>
      </c>
      <c r="E141" s="3" t="e">
        <f t="shared" si="17"/>
        <v>#N/A</v>
      </c>
      <c r="O141" s="1" t="s">
        <v>629</v>
      </c>
      <c r="P141" t="s">
        <v>1845</v>
      </c>
      <c r="Q141" s="3">
        <v>0.3</v>
      </c>
      <c r="R141" s="1" t="s">
        <v>629</v>
      </c>
      <c r="S141" t="s">
        <v>1845</v>
      </c>
      <c r="T141" s="3">
        <v>0.3</v>
      </c>
      <c r="U141" s="1" t="s">
        <v>629</v>
      </c>
      <c r="V141" t="s">
        <v>1841</v>
      </c>
      <c r="W141" s="3">
        <v>0.2</v>
      </c>
      <c r="AH141" t="s">
        <v>1841</v>
      </c>
      <c r="AI141" t="s">
        <v>1841</v>
      </c>
      <c r="AJ141">
        <v>1</v>
      </c>
    </row>
    <row r="142" spans="1:36" x14ac:dyDescent="0.25">
      <c r="A142" s="6" t="e">
        <f t="shared" si="11"/>
        <v>#N/A</v>
      </c>
      <c r="B142" s="3" t="e">
        <f t="shared" si="18"/>
        <v>#N/A</v>
      </c>
      <c r="C142" s="3" t="e">
        <f t="shared" si="19"/>
        <v>#N/A</v>
      </c>
      <c r="D142" s="3" t="e">
        <f t="shared" si="16"/>
        <v>#N/A</v>
      </c>
      <c r="E142" s="3" t="e">
        <f t="shared" si="17"/>
        <v>#N/A</v>
      </c>
      <c r="O142" s="1" t="s">
        <v>629</v>
      </c>
      <c r="P142" t="s">
        <v>1846</v>
      </c>
      <c r="Q142" s="3">
        <v>0.3</v>
      </c>
      <c r="R142" s="1" t="s">
        <v>629</v>
      </c>
      <c r="S142" t="s">
        <v>1846</v>
      </c>
      <c r="T142" s="3">
        <v>0.3</v>
      </c>
      <c r="U142" s="1" t="s">
        <v>629</v>
      </c>
      <c r="V142" t="s">
        <v>1843</v>
      </c>
      <c r="W142" s="3">
        <v>0.3</v>
      </c>
      <c r="AH142" t="s">
        <v>1843</v>
      </c>
      <c r="AI142" t="s">
        <v>1841</v>
      </c>
      <c r="AJ142">
        <v>1</v>
      </c>
    </row>
    <row r="143" spans="1:36" x14ac:dyDescent="0.25">
      <c r="A143" s="6" t="e">
        <f t="shared" si="11"/>
        <v>#N/A</v>
      </c>
      <c r="B143" s="3" t="e">
        <f t="shared" si="18"/>
        <v>#N/A</v>
      </c>
      <c r="C143" s="3" t="e">
        <f t="shared" si="19"/>
        <v>#N/A</v>
      </c>
      <c r="D143" s="3" t="e">
        <f t="shared" si="16"/>
        <v>#N/A</v>
      </c>
      <c r="E143" s="3" t="e">
        <f t="shared" si="17"/>
        <v>#N/A</v>
      </c>
      <c r="O143" s="1" t="s">
        <v>629</v>
      </c>
      <c r="P143" t="s">
        <v>64</v>
      </c>
      <c r="Q143" s="3">
        <v>0.4</v>
      </c>
      <c r="R143" s="1" t="s">
        <v>629</v>
      </c>
      <c r="S143" t="s">
        <v>64</v>
      </c>
      <c r="T143" s="3">
        <v>0.4</v>
      </c>
      <c r="U143" s="1" t="s">
        <v>629</v>
      </c>
      <c r="V143" t="s">
        <v>1844</v>
      </c>
      <c r="W143" s="3">
        <v>0.3</v>
      </c>
      <c r="AH143" t="s">
        <v>1844</v>
      </c>
      <c r="AI143" t="s">
        <v>1844</v>
      </c>
      <c r="AJ143">
        <v>1</v>
      </c>
    </row>
    <row r="144" spans="1:36" x14ac:dyDescent="0.25">
      <c r="A144" s="6" t="e">
        <f t="shared" si="11"/>
        <v>#N/A</v>
      </c>
      <c r="B144" s="3" t="e">
        <f t="shared" si="18"/>
        <v>#N/A</v>
      </c>
      <c r="C144" s="3" t="e">
        <f t="shared" si="19"/>
        <v>#N/A</v>
      </c>
      <c r="D144" s="3" t="e">
        <f t="shared" si="16"/>
        <v>#N/A</v>
      </c>
      <c r="E144" s="3" t="e">
        <f t="shared" si="17"/>
        <v>#N/A</v>
      </c>
      <c r="O144" s="1" t="s">
        <v>629</v>
      </c>
      <c r="P144" t="s">
        <v>65</v>
      </c>
      <c r="Q144" s="3">
        <v>0.5</v>
      </c>
      <c r="R144" s="1" t="s">
        <v>629</v>
      </c>
      <c r="S144" t="s">
        <v>65</v>
      </c>
      <c r="T144" s="3">
        <v>0.5</v>
      </c>
      <c r="U144" s="1" t="s">
        <v>629</v>
      </c>
      <c r="V144" t="s">
        <v>1847</v>
      </c>
      <c r="W144" s="3">
        <v>0.4</v>
      </c>
      <c r="AH144" t="s">
        <v>1847</v>
      </c>
      <c r="AI144" t="s">
        <v>1844</v>
      </c>
      <c r="AJ144">
        <v>1</v>
      </c>
    </row>
    <row r="145" spans="1:36" x14ac:dyDescent="0.25">
      <c r="A145" s="6" t="e">
        <f t="shared" si="11"/>
        <v>#N/A</v>
      </c>
      <c r="B145" s="3" t="e">
        <f t="shared" si="18"/>
        <v>#N/A</v>
      </c>
      <c r="C145" s="3" t="e">
        <f t="shared" si="19"/>
        <v>#N/A</v>
      </c>
      <c r="D145" s="3" t="e">
        <f t="shared" si="16"/>
        <v>#N/A</v>
      </c>
      <c r="E145" s="3" t="e">
        <f t="shared" si="17"/>
        <v>#N/A</v>
      </c>
      <c r="O145" s="1" t="s">
        <v>629</v>
      </c>
      <c r="P145" t="s">
        <v>66</v>
      </c>
      <c r="Q145" s="3">
        <v>1</v>
      </c>
      <c r="R145" s="1" t="s">
        <v>629</v>
      </c>
      <c r="S145" t="s">
        <v>66</v>
      </c>
      <c r="T145" s="3">
        <v>1</v>
      </c>
      <c r="U145" s="1" t="s">
        <v>629</v>
      </c>
      <c r="V145" t="s">
        <v>1845</v>
      </c>
      <c r="W145" s="3">
        <v>0.3</v>
      </c>
      <c r="AH145" t="s">
        <v>1845</v>
      </c>
      <c r="AI145" t="s">
        <v>1845</v>
      </c>
      <c r="AJ145">
        <v>1</v>
      </c>
    </row>
    <row r="146" spans="1:36" x14ac:dyDescent="0.25">
      <c r="A146" s="6" t="e">
        <f t="shared" si="11"/>
        <v>#N/A</v>
      </c>
      <c r="B146" s="3" t="e">
        <f t="shared" si="18"/>
        <v>#N/A</v>
      </c>
      <c r="C146" s="3" t="e">
        <f t="shared" si="19"/>
        <v>#N/A</v>
      </c>
      <c r="D146" s="3" t="e">
        <f t="shared" si="16"/>
        <v>#N/A</v>
      </c>
      <c r="E146" s="3" t="e">
        <f t="shared" si="17"/>
        <v>#N/A</v>
      </c>
      <c r="O146" s="1" t="s">
        <v>629</v>
      </c>
      <c r="P146" t="s">
        <v>1850</v>
      </c>
      <c r="Q146" s="3">
        <v>1.25</v>
      </c>
      <c r="R146" s="1" t="s">
        <v>629</v>
      </c>
      <c r="S146" t="s">
        <v>1850</v>
      </c>
      <c r="T146" s="3">
        <v>1.25</v>
      </c>
      <c r="U146" s="1" t="s">
        <v>629</v>
      </c>
      <c r="V146" t="s">
        <v>1848</v>
      </c>
      <c r="W146" s="3">
        <v>0.4</v>
      </c>
      <c r="AH146" t="s">
        <v>1848</v>
      </c>
      <c r="AI146" t="s">
        <v>1845</v>
      </c>
      <c r="AJ146">
        <v>1</v>
      </c>
    </row>
    <row r="147" spans="1:36" x14ac:dyDescent="0.25">
      <c r="A147" s="6" t="e">
        <f t="shared" si="11"/>
        <v>#N/A</v>
      </c>
      <c r="B147" s="3" t="e">
        <f t="shared" si="18"/>
        <v>#N/A</v>
      </c>
      <c r="C147" s="3" t="e">
        <f t="shared" si="19"/>
        <v>#N/A</v>
      </c>
      <c r="D147" s="3" t="e">
        <f t="shared" si="16"/>
        <v>#N/A</v>
      </c>
      <c r="E147" s="3" t="e">
        <f t="shared" si="17"/>
        <v>#N/A</v>
      </c>
      <c r="O147" s="1" t="s">
        <v>629</v>
      </c>
      <c r="P147" t="s">
        <v>1851</v>
      </c>
      <c r="Q147" s="3">
        <v>1.25</v>
      </c>
      <c r="R147" s="1" t="s">
        <v>629</v>
      </c>
      <c r="S147" t="s">
        <v>1851</v>
      </c>
      <c r="T147" s="3">
        <v>1.25</v>
      </c>
      <c r="U147" s="1" t="s">
        <v>629</v>
      </c>
      <c r="V147" t="s">
        <v>1846</v>
      </c>
      <c r="W147" s="3">
        <v>0.3</v>
      </c>
      <c r="AH147" t="s">
        <v>1846</v>
      </c>
      <c r="AI147" t="s">
        <v>1846</v>
      </c>
      <c r="AJ147">
        <v>1</v>
      </c>
    </row>
    <row r="148" spans="1:36" x14ac:dyDescent="0.25">
      <c r="A148" s="6" t="e">
        <f t="shared" si="11"/>
        <v>#N/A</v>
      </c>
      <c r="B148" s="3" t="e">
        <f t="shared" si="18"/>
        <v>#N/A</v>
      </c>
      <c r="C148" s="3" t="e">
        <f t="shared" si="19"/>
        <v>#N/A</v>
      </c>
      <c r="D148" s="3" t="e">
        <f t="shared" si="16"/>
        <v>#N/A</v>
      </c>
      <c r="E148" s="3" t="e">
        <f t="shared" si="17"/>
        <v>#N/A</v>
      </c>
      <c r="O148" s="1" t="s">
        <v>629</v>
      </c>
      <c r="P148" t="s">
        <v>1710</v>
      </c>
      <c r="Q148" s="3">
        <v>1.5</v>
      </c>
      <c r="R148" s="1" t="s">
        <v>629</v>
      </c>
      <c r="S148" t="s">
        <v>1710</v>
      </c>
      <c r="T148" s="3">
        <v>1.5</v>
      </c>
      <c r="U148" s="1" t="s">
        <v>629</v>
      </c>
      <c r="V148" t="s">
        <v>1849</v>
      </c>
      <c r="W148" s="3">
        <v>0.4</v>
      </c>
      <c r="AH148" t="s">
        <v>1849</v>
      </c>
      <c r="AI148" t="s">
        <v>1846</v>
      </c>
      <c r="AJ148">
        <v>1</v>
      </c>
    </row>
    <row r="149" spans="1:36" x14ac:dyDescent="0.25">
      <c r="A149" s="6" t="e">
        <f t="shared" si="11"/>
        <v>#N/A</v>
      </c>
      <c r="B149" s="3" t="e">
        <f t="shared" si="18"/>
        <v>#N/A</v>
      </c>
      <c r="C149" s="3" t="e">
        <f t="shared" si="19"/>
        <v>#N/A</v>
      </c>
      <c r="D149" s="3" t="e">
        <f t="shared" si="16"/>
        <v>#N/A</v>
      </c>
      <c r="E149" s="3" t="e">
        <f t="shared" si="17"/>
        <v>#N/A</v>
      </c>
      <c r="O149" s="1" t="s">
        <v>1771</v>
      </c>
      <c r="P149" t="str">
        <f>CONCATENATE(P3,"*0,5")</f>
        <v>TB*0,5</v>
      </c>
      <c r="Q149" s="3">
        <f>Q3*0.5</f>
        <v>0.15</v>
      </c>
      <c r="R149" s="1" t="s">
        <v>1771</v>
      </c>
      <c r="S149" t="str">
        <f>CONCATENATE(S3,"*0,5")</f>
        <v>TB*0,5</v>
      </c>
      <c r="T149" s="3">
        <f>T3*0.5</f>
        <v>0.15</v>
      </c>
      <c r="U149" s="1" t="s">
        <v>629</v>
      </c>
      <c r="V149" t="s">
        <v>64</v>
      </c>
      <c r="W149" s="3">
        <v>0.4</v>
      </c>
      <c r="AH149" t="s">
        <v>64</v>
      </c>
      <c r="AI149" t="s">
        <v>64</v>
      </c>
      <c r="AJ149">
        <v>1</v>
      </c>
    </row>
    <row r="150" spans="1:36" x14ac:dyDescent="0.25">
      <c r="A150" s="6" t="e">
        <f t="shared" si="11"/>
        <v>#N/A</v>
      </c>
      <c r="B150" s="3" t="e">
        <f t="shared" si="18"/>
        <v>#N/A</v>
      </c>
      <c r="C150" s="3" t="e">
        <f t="shared" si="19"/>
        <v>#N/A</v>
      </c>
      <c r="D150" s="3" t="e">
        <f t="shared" si="16"/>
        <v>#N/A</v>
      </c>
      <c r="E150" s="3" t="e">
        <f t="shared" si="17"/>
        <v>#N/A</v>
      </c>
      <c r="O150" s="1" t="s">
        <v>1771</v>
      </c>
      <c r="P150" t="str">
        <f t="shared" ref="P150:S213" si="20">CONCATENATE(P4,"*0,5")</f>
        <v>T1*0,5</v>
      </c>
      <c r="Q150" s="3">
        <f t="shared" ref="Q150:T213" si="21">Q4*0.5</f>
        <v>0.22500000000000001</v>
      </c>
      <c r="R150" s="1" t="s">
        <v>1771</v>
      </c>
      <c r="S150" t="str">
        <f t="shared" si="20"/>
        <v>T1*0,5</v>
      </c>
      <c r="T150" s="3">
        <f t="shared" si="21"/>
        <v>0.22500000000000001</v>
      </c>
      <c r="U150" s="1" t="s">
        <v>629</v>
      </c>
      <c r="V150" t="s">
        <v>630</v>
      </c>
      <c r="W150" s="3">
        <v>0.5</v>
      </c>
      <c r="AH150" t="s">
        <v>630</v>
      </c>
      <c r="AI150" t="s">
        <v>64</v>
      </c>
      <c r="AJ150">
        <v>1</v>
      </c>
    </row>
    <row r="151" spans="1:36" x14ac:dyDescent="0.25">
      <c r="A151" s="6" t="e">
        <f t="shared" si="11"/>
        <v>#N/A</v>
      </c>
      <c r="B151" s="3" t="e">
        <f t="shared" si="18"/>
        <v>#N/A</v>
      </c>
      <c r="C151" s="3" t="e">
        <f t="shared" si="19"/>
        <v>#N/A</v>
      </c>
      <c r="D151" s="3" t="e">
        <f t="shared" si="16"/>
        <v>#N/A</v>
      </c>
      <c r="E151" s="3" t="e">
        <f t="shared" si="17"/>
        <v>#N/A</v>
      </c>
      <c r="O151" s="1" t="s">
        <v>1771</v>
      </c>
      <c r="P151" t="str">
        <f t="shared" si="20"/>
        <v>T2a*0,5</v>
      </c>
      <c r="Q151" s="3">
        <f t="shared" si="21"/>
        <v>0.25</v>
      </c>
      <c r="R151" s="1" t="s">
        <v>1771</v>
      </c>
      <c r="S151" t="str">
        <f t="shared" si="20"/>
        <v>T2a*0,5</v>
      </c>
      <c r="T151" s="3">
        <f t="shared" si="21"/>
        <v>0.25</v>
      </c>
      <c r="U151" s="1" t="s">
        <v>629</v>
      </c>
      <c r="V151" t="s">
        <v>65</v>
      </c>
      <c r="W151" s="3">
        <v>0.5</v>
      </c>
      <c r="AH151" t="s">
        <v>65</v>
      </c>
      <c r="AI151" t="s">
        <v>65</v>
      </c>
      <c r="AJ151">
        <v>1</v>
      </c>
    </row>
    <row r="152" spans="1:36" x14ac:dyDescent="0.25">
      <c r="A152" s="6" t="e">
        <f t="shared" si="11"/>
        <v>#N/A</v>
      </c>
      <c r="B152" s="3" t="e">
        <f t="shared" si="18"/>
        <v>#N/A</v>
      </c>
      <c r="C152" s="3" t="e">
        <f t="shared" si="19"/>
        <v>#N/A</v>
      </c>
      <c r="D152" s="3" t="e">
        <f t="shared" si="16"/>
        <v>#N/A</v>
      </c>
      <c r="E152" s="3" t="e">
        <f t="shared" si="17"/>
        <v>#N/A</v>
      </c>
      <c r="O152" s="1" t="s">
        <v>1771</v>
      </c>
      <c r="P152" t="str">
        <f t="shared" si="20"/>
        <v>T2b*0,5</v>
      </c>
      <c r="Q152" s="3">
        <f t="shared" si="21"/>
        <v>0.25</v>
      </c>
      <c r="R152" s="1" t="s">
        <v>1771</v>
      </c>
      <c r="S152" t="str">
        <f t="shared" si="20"/>
        <v>T2b*0,5</v>
      </c>
      <c r="T152" s="3">
        <f t="shared" si="21"/>
        <v>0.25</v>
      </c>
      <c r="U152" s="1" t="s">
        <v>629</v>
      </c>
      <c r="V152" t="s">
        <v>631</v>
      </c>
      <c r="W152" s="3">
        <v>0.6</v>
      </c>
      <c r="AH152" t="s">
        <v>631</v>
      </c>
      <c r="AI152" t="s">
        <v>65</v>
      </c>
      <c r="AJ152">
        <v>1</v>
      </c>
    </row>
    <row r="153" spans="1:36" x14ac:dyDescent="0.25">
      <c r="A153" s="6" t="e">
        <f t="shared" si="11"/>
        <v>#N/A</v>
      </c>
      <c r="B153" s="3" t="e">
        <f t="shared" si="18"/>
        <v>#N/A</v>
      </c>
      <c r="C153" s="3" t="e">
        <f t="shared" si="19"/>
        <v>#N/A</v>
      </c>
      <c r="D153" s="3" t="e">
        <f t="shared" si="16"/>
        <v>#N/A</v>
      </c>
      <c r="E153" s="3" t="e">
        <f t="shared" si="17"/>
        <v>#N/A</v>
      </c>
      <c r="O153" s="1" t="s">
        <v>1771</v>
      </c>
      <c r="P153" t="str">
        <f t="shared" si="20"/>
        <v>T3a*0,5</v>
      </c>
      <c r="Q153" s="3">
        <f t="shared" si="21"/>
        <v>0.32500000000000001</v>
      </c>
      <c r="R153" s="1" t="s">
        <v>1771</v>
      </c>
      <c r="S153" t="str">
        <f t="shared" si="20"/>
        <v>T3a*0,5</v>
      </c>
      <c r="T153" s="3">
        <f t="shared" si="21"/>
        <v>0.32500000000000001</v>
      </c>
      <c r="U153" s="1" t="s">
        <v>629</v>
      </c>
      <c r="V153" t="s">
        <v>66</v>
      </c>
      <c r="W153" s="3">
        <v>1</v>
      </c>
      <c r="AH153" t="s">
        <v>66</v>
      </c>
      <c r="AI153" t="s">
        <v>66</v>
      </c>
      <c r="AJ153">
        <v>1</v>
      </c>
    </row>
    <row r="154" spans="1:36" x14ac:dyDescent="0.25">
      <c r="A154" s="6" t="e">
        <f t="shared" si="11"/>
        <v>#N/A</v>
      </c>
      <c r="B154" s="3" t="e">
        <f t="shared" si="18"/>
        <v>#N/A</v>
      </c>
      <c r="C154" s="3" t="e">
        <f t="shared" si="19"/>
        <v>#N/A</v>
      </c>
      <c r="D154" s="3" t="e">
        <f t="shared" si="16"/>
        <v>#N/A</v>
      </c>
      <c r="E154" s="3" t="e">
        <f t="shared" si="17"/>
        <v>#N/A</v>
      </c>
      <c r="O154" s="1" t="s">
        <v>1771</v>
      </c>
      <c r="P154" t="str">
        <f t="shared" si="20"/>
        <v>T3b*0,5</v>
      </c>
      <c r="Q154" s="3">
        <f t="shared" si="21"/>
        <v>0.32500000000000001</v>
      </c>
      <c r="R154" s="1" t="s">
        <v>1771</v>
      </c>
      <c r="S154" t="str">
        <f t="shared" si="20"/>
        <v>T3b*0,5</v>
      </c>
      <c r="T154" s="3">
        <f t="shared" si="21"/>
        <v>0.32500000000000001</v>
      </c>
      <c r="U154" s="1" t="s">
        <v>629</v>
      </c>
      <c r="V154" t="s">
        <v>632</v>
      </c>
      <c r="W154" s="3">
        <v>1.1000000000000001</v>
      </c>
      <c r="AH154" t="s">
        <v>632</v>
      </c>
      <c r="AI154" t="s">
        <v>66</v>
      </c>
      <c r="AJ154">
        <v>1</v>
      </c>
    </row>
    <row r="155" spans="1:36" x14ac:dyDescent="0.25">
      <c r="A155" s="6" t="e">
        <f t="shared" si="11"/>
        <v>#N/A</v>
      </c>
      <c r="B155" s="3" t="e">
        <f t="shared" si="18"/>
        <v>#N/A</v>
      </c>
      <c r="C155" s="3" t="e">
        <f t="shared" si="19"/>
        <v>#N/A</v>
      </c>
      <c r="D155" s="3" t="e">
        <f t="shared" si="16"/>
        <v>#N/A</v>
      </c>
      <c r="E155" s="3" t="e">
        <f t="shared" si="17"/>
        <v>#N/A</v>
      </c>
      <c r="O155" s="1" t="s">
        <v>1771</v>
      </c>
      <c r="P155" t="str">
        <f t="shared" si="20"/>
        <v>T3c*0,5</v>
      </c>
      <c r="Q155" s="3">
        <f t="shared" si="21"/>
        <v>0.32500000000000001</v>
      </c>
      <c r="R155" s="1" t="s">
        <v>1771</v>
      </c>
      <c r="S155" t="str">
        <f t="shared" si="20"/>
        <v>T3c*0,5</v>
      </c>
      <c r="T155" s="3">
        <f t="shared" si="21"/>
        <v>0.32500000000000001</v>
      </c>
      <c r="U155" s="1" t="s">
        <v>629</v>
      </c>
      <c r="V155" t="s">
        <v>1850</v>
      </c>
      <c r="W155" s="3">
        <v>1.25</v>
      </c>
      <c r="AH155" t="s">
        <v>1850</v>
      </c>
      <c r="AI155" t="s">
        <v>1850</v>
      </c>
      <c r="AJ155">
        <v>1</v>
      </c>
    </row>
    <row r="156" spans="1:36" x14ac:dyDescent="0.25">
      <c r="A156" s="6" t="e">
        <f t="shared" si="11"/>
        <v>#N/A</v>
      </c>
      <c r="B156" s="3" t="e">
        <f t="shared" si="18"/>
        <v>#N/A</v>
      </c>
      <c r="C156" s="3" t="e">
        <f t="shared" si="19"/>
        <v>#N/A</v>
      </c>
      <c r="D156" s="3" t="e">
        <f t="shared" si="16"/>
        <v>#N/A</v>
      </c>
      <c r="E156" s="3" t="e">
        <f t="shared" si="17"/>
        <v>#N/A</v>
      </c>
      <c r="O156" s="1" t="s">
        <v>1771</v>
      </c>
      <c r="P156" t="str">
        <f t="shared" si="20"/>
        <v>T3d*0,5</v>
      </c>
      <c r="Q156" s="3">
        <f t="shared" si="21"/>
        <v>0.32500000000000001</v>
      </c>
      <c r="R156" s="1" t="s">
        <v>1771</v>
      </c>
      <c r="S156" t="str">
        <f t="shared" si="20"/>
        <v>T3d*0,5</v>
      </c>
      <c r="T156" s="3">
        <f t="shared" si="21"/>
        <v>0.32500000000000001</v>
      </c>
      <c r="U156" s="1" t="s">
        <v>629</v>
      </c>
      <c r="V156" t="s">
        <v>1852</v>
      </c>
      <c r="W156" s="3">
        <v>1.35</v>
      </c>
      <c r="AH156" t="s">
        <v>1852</v>
      </c>
      <c r="AI156" t="s">
        <v>1850</v>
      </c>
      <c r="AJ156">
        <v>1</v>
      </c>
    </row>
    <row r="157" spans="1:36" x14ac:dyDescent="0.25">
      <c r="A157" s="6" t="e">
        <f t="shared" si="11"/>
        <v>#N/A</v>
      </c>
      <c r="B157" s="3" t="e">
        <f t="shared" si="18"/>
        <v>#N/A</v>
      </c>
      <c r="C157" s="3" t="e">
        <f t="shared" si="19"/>
        <v>#N/A</v>
      </c>
      <c r="D157" s="3" t="e">
        <f t="shared" si="16"/>
        <v>#N/A</v>
      </c>
      <c r="E157" s="3" t="e">
        <f t="shared" si="17"/>
        <v>#N/A</v>
      </c>
      <c r="O157" s="1" t="s">
        <v>1771</v>
      </c>
      <c r="P157" t="str">
        <f t="shared" si="20"/>
        <v>T4a*0,5</v>
      </c>
      <c r="Q157" s="3">
        <f t="shared" si="21"/>
        <v>0.4</v>
      </c>
      <c r="R157" s="1" t="s">
        <v>1771</v>
      </c>
      <c r="S157" t="str">
        <f t="shared" si="20"/>
        <v>T4a*0,5</v>
      </c>
      <c r="T157" s="3">
        <f t="shared" si="21"/>
        <v>0.4</v>
      </c>
      <c r="U157" s="1" t="s">
        <v>629</v>
      </c>
      <c r="V157" t="s">
        <v>1851</v>
      </c>
      <c r="W157" s="3">
        <v>1.25</v>
      </c>
      <c r="AH157" t="s">
        <v>1851</v>
      </c>
      <c r="AI157" t="s">
        <v>1851</v>
      </c>
      <c r="AJ157">
        <v>1</v>
      </c>
    </row>
    <row r="158" spans="1:36" x14ac:dyDescent="0.25">
      <c r="A158" s="6" t="e">
        <f t="shared" si="11"/>
        <v>#N/A</v>
      </c>
      <c r="B158" s="3" t="e">
        <f t="shared" si="18"/>
        <v>#N/A</v>
      </c>
      <c r="C158" s="3" t="e">
        <f t="shared" si="19"/>
        <v>#N/A</v>
      </c>
      <c r="D158" s="3" t="e">
        <f t="shared" si="16"/>
        <v>#N/A</v>
      </c>
      <c r="E158" s="3" t="e">
        <f t="shared" si="17"/>
        <v>#N/A</v>
      </c>
      <c r="O158" s="1" t="s">
        <v>1771</v>
      </c>
      <c r="P158" t="str">
        <f t="shared" si="20"/>
        <v>T4b*0,5</v>
      </c>
      <c r="Q158" s="3">
        <f t="shared" si="21"/>
        <v>0.4</v>
      </c>
      <c r="R158" s="1" t="s">
        <v>1771</v>
      </c>
      <c r="S158" t="str">
        <f t="shared" si="20"/>
        <v>T4b*0,5</v>
      </c>
      <c r="T158" s="3">
        <f t="shared" si="21"/>
        <v>0.4</v>
      </c>
      <c r="U158" s="1" t="s">
        <v>629</v>
      </c>
      <c r="V158" t="s">
        <v>1853</v>
      </c>
      <c r="W158" s="3">
        <v>1.35</v>
      </c>
      <c r="AH158" t="s">
        <v>1853</v>
      </c>
      <c r="AI158" t="s">
        <v>1851</v>
      </c>
      <c r="AJ158">
        <v>1</v>
      </c>
    </row>
    <row r="159" spans="1:36" x14ac:dyDescent="0.25">
      <c r="A159" s="6" t="e">
        <f t="shared" si="11"/>
        <v>#N/A</v>
      </c>
      <c r="B159" s="3" t="e">
        <f t="shared" si="18"/>
        <v>#N/A</v>
      </c>
      <c r="C159" s="3" t="e">
        <f t="shared" si="19"/>
        <v>#N/A</v>
      </c>
      <c r="D159" s="3" t="e">
        <f t="shared" si="16"/>
        <v>#N/A</v>
      </c>
      <c r="E159" s="3" t="e">
        <f t="shared" si="17"/>
        <v>#N/A</v>
      </c>
      <c r="O159" s="1" t="s">
        <v>1771</v>
      </c>
      <c r="P159" t="str">
        <f t="shared" si="20"/>
        <v>T4c*0,5</v>
      </c>
      <c r="Q159" s="3">
        <f t="shared" si="21"/>
        <v>0.4</v>
      </c>
      <c r="R159" s="1" t="s">
        <v>1771</v>
      </c>
      <c r="S159" t="str">
        <f t="shared" si="20"/>
        <v>T4c*0,5</v>
      </c>
      <c r="T159" s="3">
        <f t="shared" si="21"/>
        <v>0.4</v>
      </c>
      <c r="U159" s="1" t="s">
        <v>629</v>
      </c>
      <c r="V159" t="s">
        <v>1710</v>
      </c>
      <c r="W159" s="3">
        <v>1.5</v>
      </c>
      <c r="AH159" t="s">
        <v>1710</v>
      </c>
      <c r="AI159" t="s">
        <v>1710</v>
      </c>
      <c r="AJ159">
        <v>1</v>
      </c>
    </row>
    <row r="160" spans="1:36" x14ac:dyDescent="0.25">
      <c r="A160" s="6" t="e">
        <f t="shared" si="11"/>
        <v>#N/A</v>
      </c>
      <c r="B160" s="3" t="e">
        <f t="shared" si="18"/>
        <v>#N/A</v>
      </c>
      <c r="C160" s="3" t="e">
        <f t="shared" si="19"/>
        <v>#N/A</v>
      </c>
      <c r="D160" s="3" t="e">
        <f t="shared" si="16"/>
        <v>#N/A</v>
      </c>
      <c r="E160" s="3" t="e">
        <f t="shared" si="17"/>
        <v>#N/A</v>
      </c>
      <c r="O160" s="1" t="s">
        <v>1771</v>
      </c>
      <c r="P160" t="str">
        <f t="shared" si="20"/>
        <v>T4d*0,5</v>
      </c>
      <c r="Q160" s="3">
        <f t="shared" si="21"/>
        <v>0.4</v>
      </c>
      <c r="R160" s="1" t="s">
        <v>1771</v>
      </c>
      <c r="S160" t="str">
        <f t="shared" si="20"/>
        <v>T4d*0,5</v>
      </c>
      <c r="T160" s="3">
        <f t="shared" si="21"/>
        <v>0.4</v>
      </c>
      <c r="U160" s="1" t="s">
        <v>629</v>
      </c>
      <c r="V160" t="s">
        <v>1711</v>
      </c>
      <c r="W160" s="3">
        <v>1.6</v>
      </c>
      <c r="AH160" t="s">
        <v>1711</v>
      </c>
      <c r="AI160" t="s">
        <v>1710</v>
      </c>
      <c r="AJ160">
        <v>1</v>
      </c>
    </row>
    <row r="161" spans="1:36" x14ac:dyDescent="0.25">
      <c r="A161" s="6" t="e">
        <f t="shared" si="11"/>
        <v>#N/A</v>
      </c>
      <c r="B161" s="3" t="e">
        <f t="shared" si="18"/>
        <v>#N/A</v>
      </c>
      <c r="C161" s="3" t="e">
        <f t="shared" si="19"/>
        <v>#N/A</v>
      </c>
      <c r="D161" s="3" t="e">
        <f t="shared" si="16"/>
        <v>#N/A</v>
      </c>
      <c r="E161" s="3" t="e">
        <f t="shared" si="17"/>
        <v>#N/A</v>
      </c>
      <c r="O161" s="1" t="s">
        <v>1771</v>
      </c>
      <c r="P161" t="str">
        <f t="shared" si="20"/>
        <v>T4e*0,5</v>
      </c>
      <c r="Q161" s="3">
        <f t="shared" si="21"/>
        <v>0.4</v>
      </c>
      <c r="R161" s="1" t="s">
        <v>1771</v>
      </c>
      <c r="S161" t="str">
        <f t="shared" si="20"/>
        <v>T4e*0,5</v>
      </c>
      <c r="T161" s="3">
        <f t="shared" si="21"/>
        <v>0.4</v>
      </c>
      <c r="U161" s="1" t="s">
        <v>1771</v>
      </c>
      <c r="V161" t="str">
        <f>CONCATENATE(V3,"*0,5")</f>
        <v>TB*0,5</v>
      </c>
      <c r="W161" s="3">
        <f>W3*0.5</f>
        <v>0.15</v>
      </c>
      <c r="AH161" t="s">
        <v>1978</v>
      </c>
      <c r="AI161" t="s">
        <v>1638</v>
      </c>
      <c r="AJ161">
        <v>0.5</v>
      </c>
    </row>
    <row r="162" spans="1:36" x14ac:dyDescent="0.25">
      <c r="A162" s="6" t="e">
        <f t="shared" si="11"/>
        <v>#N/A</v>
      </c>
      <c r="B162" s="3" t="e">
        <f t="shared" si="18"/>
        <v>#N/A</v>
      </c>
      <c r="C162" s="3" t="e">
        <f t="shared" si="19"/>
        <v>#N/A</v>
      </c>
      <c r="D162" s="3" t="e">
        <f t="shared" si="16"/>
        <v>#N/A</v>
      </c>
      <c r="E162" s="3" t="e">
        <f t="shared" si="17"/>
        <v>#N/A</v>
      </c>
      <c r="O162" s="1" t="s">
        <v>1771</v>
      </c>
      <c r="P162" t="str">
        <f t="shared" si="20"/>
        <v>T5a*0,5</v>
      </c>
      <c r="Q162" s="3">
        <f t="shared" si="21"/>
        <v>0.45</v>
      </c>
      <c r="R162" s="1" t="s">
        <v>1771</v>
      </c>
      <c r="S162" t="str">
        <f t="shared" si="20"/>
        <v>T5a*0,5</v>
      </c>
      <c r="T162" s="3">
        <f t="shared" si="21"/>
        <v>0.45</v>
      </c>
      <c r="U162" s="1" t="s">
        <v>1771</v>
      </c>
      <c r="V162" t="str">
        <f t="shared" ref="V162:V225" si="22">CONCATENATE(V4,"*0,5")</f>
        <v>T1*0,5</v>
      </c>
      <c r="W162" s="3">
        <f t="shared" ref="W162:W225" si="23">W4*0.5</f>
        <v>0.22500000000000001</v>
      </c>
      <c r="AH162" t="s">
        <v>1979</v>
      </c>
      <c r="AI162" t="s">
        <v>56</v>
      </c>
      <c r="AJ162">
        <v>0.5</v>
      </c>
    </row>
    <row r="163" spans="1:36" x14ac:dyDescent="0.25">
      <c r="A163" s="6" t="e">
        <f t="shared" si="11"/>
        <v>#N/A</v>
      </c>
      <c r="B163" s="3" t="e">
        <f t="shared" si="18"/>
        <v>#N/A</v>
      </c>
      <c r="C163" s="3" t="e">
        <f t="shared" si="19"/>
        <v>#N/A</v>
      </c>
      <c r="D163" s="3" t="e">
        <f t="shared" si="16"/>
        <v>#N/A</v>
      </c>
      <c r="E163" s="3" t="e">
        <f t="shared" si="17"/>
        <v>#N/A</v>
      </c>
      <c r="O163" s="1" t="s">
        <v>1771</v>
      </c>
      <c r="P163" t="str">
        <f t="shared" si="20"/>
        <v>T5b*0,5</v>
      </c>
      <c r="Q163" s="3">
        <f t="shared" si="21"/>
        <v>0.45</v>
      </c>
      <c r="R163" s="1" t="s">
        <v>1771</v>
      </c>
      <c r="S163" t="str">
        <f t="shared" si="20"/>
        <v>T5b*0,5</v>
      </c>
      <c r="T163" s="3">
        <f t="shared" si="21"/>
        <v>0.45</v>
      </c>
      <c r="U163" s="1" t="s">
        <v>1771</v>
      </c>
      <c r="V163" t="str">
        <f t="shared" si="22"/>
        <v>T2a*0,5</v>
      </c>
      <c r="W163" s="3">
        <f t="shared" si="23"/>
        <v>0.25</v>
      </c>
      <c r="AH163" t="s">
        <v>1980</v>
      </c>
      <c r="AI163" t="s">
        <v>1784</v>
      </c>
      <c r="AJ163">
        <v>0.5</v>
      </c>
    </row>
    <row r="164" spans="1:36" x14ac:dyDescent="0.25">
      <c r="A164" s="6" t="e">
        <f t="shared" ref="A164:A227" si="24">IF($B$1="Solo",IF(L163="","",L163),IF($B$1="Duet",IF(O163="","",O163),IF($B$1="Mixed",IF(R163="","",R163),IF(U163="","",U163))))</f>
        <v>#N/A</v>
      </c>
      <c r="B164" s="3" t="e">
        <f t="shared" si="18"/>
        <v>#N/A</v>
      </c>
      <c r="C164" s="3" t="e">
        <f t="shared" si="19"/>
        <v>#N/A</v>
      </c>
      <c r="D164" s="3" t="e">
        <f t="shared" si="16"/>
        <v>#N/A</v>
      </c>
      <c r="E164" s="3" t="e">
        <f t="shared" si="17"/>
        <v>#N/A</v>
      </c>
      <c r="O164" s="1" t="s">
        <v>1771</v>
      </c>
      <c r="P164" t="str">
        <f t="shared" si="20"/>
        <v>T5c*0,5</v>
      </c>
      <c r="Q164" s="3">
        <f t="shared" si="21"/>
        <v>0.45</v>
      </c>
      <c r="R164" s="1" t="s">
        <v>1771</v>
      </c>
      <c r="S164" t="str">
        <f t="shared" si="20"/>
        <v>T5c*0,5</v>
      </c>
      <c r="T164" s="3">
        <f t="shared" si="21"/>
        <v>0.45</v>
      </c>
      <c r="U164" s="1" t="s">
        <v>1771</v>
      </c>
      <c r="V164" t="str">
        <f t="shared" si="22"/>
        <v>T2b*0,5</v>
      </c>
      <c r="W164" s="3">
        <f t="shared" si="23"/>
        <v>0.25</v>
      </c>
      <c r="AH164" t="s">
        <v>1981</v>
      </c>
      <c r="AI164" t="s">
        <v>1785</v>
      </c>
      <c r="AJ164">
        <v>0.5</v>
      </c>
    </row>
    <row r="165" spans="1:36" x14ac:dyDescent="0.25">
      <c r="A165" s="6" t="e">
        <f t="shared" si="24"/>
        <v>#N/A</v>
      </c>
      <c r="B165" s="3" t="e">
        <f t="shared" si="18"/>
        <v>#N/A</v>
      </c>
      <c r="C165" s="3" t="e">
        <f t="shared" si="19"/>
        <v>#N/A</v>
      </c>
      <c r="D165" s="3" t="e">
        <f t="shared" si="16"/>
        <v>#N/A</v>
      </c>
      <c r="E165" s="3" t="e">
        <f t="shared" si="17"/>
        <v>#N/A</v>
      </c>
      <c r="O165" s="1" t="s">
        <v>1771</v>
      </c>
      <c r="P165" t="str">
        <f t="shared" si="20"/>
        <v>T5d*0,5</v>
      </c>
      <c r="Q165" s="3">
        <f t="shared" si="21"/>
        <v>0.45</v>
      </c>
      <c r="R165" s="1" t="s">
        <v>1771</v>
      </c>
      <c r="S165" t="str">
        <f t="shared" si="20"/>
        <v>T5d*0,5</v>
      </c>
      <c r="T165" s="3">
        <f t="shared" si="21"/>
        <v>0.45</v>
      </c>
      <c r="U165" s="1" t="s">
        <v>1771</v>
      </c>
      <c r="V165" t="str">
        <f t="shared" si="22"/>
        <v>T3a*0,5</v>
      </c>
      <c r="W165" s="3">
        <f t="shared" si="23"/>
        <v>0.32500000000000001</v>
      </c>
      <c r="AH165" t="s">
        <v>1982</v>
      </c>
      <c r="AI165" t="s">
        <v>1786</v>
      </c>
      <c r="AJ165">
        <v>0.5</v>
      </c>
    </row>
    <row r="166" spans="1:36" x14ac:dyDescent="0.25">
      <c r="A166" s="6" t="e">
        <f t="shared" si="24"/>
        <v>#N/A</v>
      </c>
      <c r="B166" s="3" t="e">
        <f t="shared" si="18"/>
        <v>#N/A</v>
      </c>
      <c r="C166" s="3" t="e">
        <f t="shared" si="19"/>
        <v>#N/A</v>
      </c>
      <c r="D166" s="3" t="e">
        <f t="shared" si="16"/>
        <v>#N/A</v>
      </c>
      <c r="E166" s="3" t="e">
        <f t="shared" si="17"/>
        <v>#N/A</v>
      </c>
      <c r="O166" s="1" t="s">
        <v>1771</v>
      </c>
      <c r="P166" t="str">
        <f t="shared" si="20"/>
        <v>T5e*0,5</v>
      </c>
      <c r="Q166" s="3">
        <f t="shared" si="21"/>
        <v>0.45</v>
      </c>
      <c r="R166" s="1" t="s">
        <v>1771</v>
      </c>
      <c r="S166" t="str">
        <f t="shared" si="20"/>
        <v>T5e*0,5</v>
      </c>
      <c r="T166" s="3">
        <f t="shared" si="21"/>
        <v>0.45</v>
      </c>
      <c r="U166" s="1" t="s">
        <v>1771</v>
      </c>
      <c r="V166" t="str">
        <f t="shared" si="22"/>
        <v>T3b*0,5</v>
      </c>
      <c r="W166" s="3">
        <f t="shared" si="23"/>
        <v>0.32500000000000001</v>
      </c>
      <c r="AH166" t="s">
        <v>1983</v>
      </c>
      <c r="AI166" t="s">
        <v>1787</v>
      </c>
      <c r="AJ166">
        <v>0.5</v>
      </c>
    </row>
    <row r="167" spans="1:36" x14ac:dyDescent="0.25">
      <c r="A167" s="6" t="e">
        <f t="shared" si="24"/>
        <v>#N/A</v>
      </c>
      <c r="B167" s="3" t="e">
        <f t="shared" si="18"/>
        <v>#N/A</v>
      </c>
      <c r="C167" s="3" t="e">
        <f t="shared" si="19"/>
        <v>#N/A</v>
      </c>
      <c r="D167" s="3" t="e">
        <f t="shared" si="16"/>
        <v>#N/A</v>
      </c>
      <c r="E167" s="3" t="e">
        <f t="shared" si="17"/>
        <v>#N/A</v>
      </c>
      <c r="O167" s="1" t="s">
        <v>1771</v>
      </c>
      <c r="P167" t="str">
        <f t="shared" si="20"/>
        <v>T6a*0,5</v>
      </c>
      <c r="Q167" s="3">
        <f t="shared" si="21"/>
        <v>0.55000000000000004</v>
      </c>
      <c r="R167" s="1" t="s">
        <v>1771</v>
      </c>
      <c r="S167" t="str">
        <f t="shared" si="20"/>
        <v>T6a*0,5</v>
      </c>
      <c r="T167" s="3">
        <f t="shared" si="21"/>
        <v>0.55000000000000004</v>
      </c>
      <c r="U167" s="1" t="s">
        <v>1771</v>
      </c>
      <c r="V167" t="str">
        <f t="shared" si="22"/>
        <v>T3c*0,5</v>
      </c>
      <c r="W167" s="3">
        <f t="shared" si="23"/>
        <v>0.32500000000000001</v>
      </c>
      <c r="AH167" t="s">
        <v>1984</v>
      </c>
      <c r="AI167" t="s">
        <v>1788</v>
      </c>
      <c r="AJ167">
        <v>0.5</v>
      </c>
    </row>
    <row r="168" spans="1:36" x14ac:dyDescent="0.25">
      <c r="A168" s="6" t="e">
        <f t="shared" si="24"/>
        <v>#N/A</v>
      </c>
      <c r="B168" s="3" t="e">
        <f t="shared" si="18"/>
        <v>#N/A</v>
      </c>
      <c r="C168" s="3" t="e">
        <f t="shared" si="19"/>
        <v>#N/A</v>
      </c>
      <c r="D168" s="3" t="e">
        <f t="shared" si="16"/>
        <v>#N/A</v>
      </c>
      <c r="E168" s="3" t="e">
        <f t="shared" si="17"/>
        <v>#N/A</v>
      </c>
      <c r="O168" s="1" t="s">
        <v>1771</v>
      </c>
      <c r="P168" t="str">
        <f t="shared" si="20"/>
        <v>T6b*0,5</v>
      </c>
      <c r="Q168" s="3">
        <f t="shared" si="21"/>
        <v>0.55000000000000004</v>
      </c>
      <c r="R168" s="1" t="s">
        <v>1771</v>
      </c>
      <c r="S168" t="str">
        <f t="shared" si="20"/>
        <v>T6b*0,5</v>
      </c>
      <c r="T168" s="3">
        <f t="shared" si="21"/>
        <v>0.55000000000000004</v>
      </c>
      <c r="U168" s="1" t="s">
        <v>1771</v>
      </c>
      <c r="V168" t="str">
        <f t="shared" si="22"/>
        <v>T3d*0,5</v>
      </c>
      <c r="W168" s="3">
        <f t="shared" si="23"/>
        <v>0.32500000000000001</v>
      </c>
      <c r="AH168" t="s">
        <v>1985</v>
      </c>
      <c r="AI168" t="s">
        <v>1789</v>
      </c>
      <c r="AJ168">
        <v>0.5</v>
      </c>
    </row>
    <row r="169" spans="1:36" x14ac:dyDescent="0.25">
      <c r="A169" s="6" t="e">
        <f t="shared" si="24"/>
        <v>#N/A</v>
      </c>
      <c r="B169" s="3" t="e">
        <f t="shared" si="18"/>
        <v>#N/A</v>
      </c>
      <c r="C169" s="3" t="e">
        <f t="shared" si="19"/>
        <v>#N/A</v>
      </c>
      <c r="D169" s="3" t="e">
        <f t="shared" si="16"/>
        <v>#N/A</v>
      </c>
      <c r="E169" s="3" t="e">
        <f t="shared" si="17"/>
        <v>#N/A</v>
      </c>
      <c r="O169" s="1" t="s">
        <v>1771</v>
      </c>
      <c r="P169" t="str">
        <f t="shared" si="20"/>
        <v>T6c*0,5</v>
      </c>
      <c r="Q169" s="3">
        <f t="shared" si="21"/>
        <v>0.55000000000000004</v>
      </c>
      <c r="R169" s="1" t="s">
        <v>1771</v>
      </c>
      <c r="S169" t="str">
        <f t="shared" si="20"/>
        <v>T6c*0,5</v>
      </c>
      <c r="T169" s="3">
        <f t="shared" si="21"/>
        <v>0.55000000000000004</v>
      </c>
      <c r="U169" s="1" t="s">
        <v>1771</v>
      </c>
      <c r="V169" t="str">
        <f t="shared" si="22"/>
        <v>T4a*0,5</v>
      </c>
      <c r="W169" s="3">
        <f t="shared" si="23"/>
        <v>0.4</v>
      </c>
      <c r="AH169" t="s">
        <v>1986</v>
      </c>
      <c r="AI169" t="s">
        <v>1790</v>
      </c>
      <c r="AJ169">
        <v>0.5</v>
      </c>
    </row>
    <row r="170" spans="1:36" x14ac:dyDescent="0.25">
      <c r="A170" s="6" t="e">
        <f t="shared" si="24"/>
        <v>#N/A</v>
      </c>
      <c r="B170" s="3" t="e">
        <f t="shared" si="18"/>
        <v>#N/A</v>
      </c>
      <c r="C170" s="3" t="e">
        <f t="shared" si="19"/>
        <v>#N/A</v>
      </c>
      <c r="D170" s="3" t="e">
        <f t="shared" si="16"/>
        <v>#N/A</v>
      </c>
      <c r="E170" s="3" t="e">
        <f t="shared" si="17"/>
        <v>#N/A</v>
      </c>
      <c r="O170" s="1" t="s">
        <v>1771</v>
      </c>
      <c r="P170" t="str">
        <f t="shared" si="20"/>
        <v>T7*0,5</v>
      </c>
      <c r="Q170" s="3">
        <f t="shared" si="21"/>
        <v>0.75</v>
      </c>
      <c r="R170" s="1" t="s">
        <v>1771</v>
      </c>
      <c r="S170" t="str">
        <f t="shared" si="20"/>
        <v>T7*0,5</v>
      </c>
      <c r="T170" s="3">
        <f t="shared" si="21"/>
        <v>0.75</v>
      </c>
      <c r="U170" s="1" t="s">
        <v>1771</v>
      </c>
      <c r="V170" t="str">
        <f t="shared" si="22"/>
        <v>T4b*0,5</v>
      </c>
      <c r="W170" s="3">
        <f t="shared" si="23"/>
        <v>0.4</v>
      </c>
      <c r="AH170" t="s">
        <v>1987</v>
      </c>
      <c r="AI170" t="s">
        <v>1791</v>
      </c>
      <c r="AJ170">
        <v>0.5</v>
      </c>
    </row>
    <row r="171" spans="1:36" x14ac:dyDescent="0.25">
      <c r="A171" s="6" t="e">
        <f t="shared" si="24"/>
        <v>#N/A</v>
      </c>
      <c r="B171" s="3" t="e">
        <f t="shared" si="18"/>
        <v>#N/A</v>
      </c>
      <c r="C171" s="3" t="e">
        <f t="shared" si="19"/>
        <v>#N/A</v>
      </c>
      <c r="D171" s="3" t="e">
        <f t="shared" si="16"/>
        <v>#N/A</v>
      </c>
      <c r="E171" s="3" t="e">
        <f t="shared" si="17"/>
        <v>#N/A</v>
      </c>
      <c r="O171" s="1" t="s">
        <v>1771</v>
      </c>
      <c r="P171" t="str">
        <f t="shared" si="20"/>
        <v>T8*0,5</v>
      </c>
      <c r="Q171" s="3">
        <f t="shared" si="21"/>
        <v>0.85</v>
      </c>
      <c r="R171" s="1" t="s">
        <v>1771</v>
      </c>
      <c r="S171" t="str">
        <f t="shared" si="20"/>
        <v>T8*0,5</v>
      </c>
      <c r="T171" s="3">
        <f t="shared" si="21"/>
        <v>0.85</v>
      </c>
      <c r="U171" s="1" t="s">
        <v>1771</v>
      </c>
      <c r="V171" t="str">
        <f t="shared" si="22"/>
        <v>T4c*0,5</v>
      </c>
      <c r="W171" s="3">
        <f t="shared" si="23"/>
        <v>0.4</v>
      </c>
      <c r="AH171" t="s">
        <v>1988</v>
      </c>
      <c r="AI171" t="s">
        <v>1792</v>
      </c>
      <c r="AJ171">
        <v>0.5</v>
      </c>
    </row>
    <row r="172" spans="1:36" x14ac:dyDescent="0.25">
      <c r="A172" s="6" t="e">
        <f t="shared" si="24"/>
        <v>#N/A</v>
      </c>
      <c r="B172" s="3" t="e">
        <f t="shared" si="18"/>
        <v>#N/A</v>
      </c>
      <c r="C172" s="3" t="e">
        <f t="shared" si="19"/>
        <v>#N/A</v>
      </c>
      <c r="D172" s="3" t="e">
        <f t="shared" si="16"/>
        <v>#N/A</v>
      </c>
      <c r="E172" s="3" t="e">
        <f t="shared" si="17"/>
        <v>#N/A</v>
      </c>
      <c r="O172" s="1" t="s">
        <v>1771</v>
      </c>
      <c r="P172" t="str">
        <f t="shared" si="20"/>
        <v>T9a*0,5</v>
      </c>
      <c r="Q172" s="3">
        <f t="shared" si="21"/>
        <v>1</v>
      </c>
      <c r="R172" s="1" t="s">
        <v>1771</v>
      </c>
      <c r="S172" t="str">
        <f t="shared" si="20"/>
        <v>T9a*0,5</v>
      </c>
      <c r="T172" s="3">
        <f t="shared" si="21"/>
        <v>1</v>
      </c>
      <c r="U172" s="1" t="s">
        <v>1771</v>
      </c>
      <c r="V172" t="str">
        <f t="shared" si="22"/>
        <v>T4d*0,5</v>
      </c>
      <c r="W172" s="3">
        <f t="shared" si="23"/>
        <v>0.4</v>
      </c>
      <c r="AH172" t="s">
        <v>1989</v>
      </c>
      <c r="AI172" t="s">
        <v>1793</v>
      </c>
      <c r="AJ172">
        <v>0.5</v>
      </c>
    </row>
    <row r="173" spans="1:36" x14ac:dyDescent="0.25">
      <c r="A173" s="6" t="e">
        <f t="shared" si="24"/>
        <v>#N/A</v>
      </c>
      <c r="B173" s="3" t="e">
        <f t="shared" si="18"/>
        <v>#N/A</v>
      </c>
      <c r="C173" s="3" t="e">
        <f t="shared" si="19"/>
        <v>#N/A</v>
      </c>
      <c r="D173" s="3" t="e">
        <f t="shared" si="16"/>
        <v>#N/A</v>
      </c>
      <c r="E173" s="3" t="e">
        <f t="shared" si="17"/>
        <v>#N/A</v>
      </c>
      <c r="O173" s="1" t="s">
        <v>1771</v>
      </c>
      <c r="P173" t="str">
        <f t="shared" si="20"/>
        <v>T9b*0,5</v>
      </c>
      <c r="Q173" s="3">
        <f t="shared" si="21"/>
        <v>1</v>
      </c>
      <c r="R173" s="1" t="s">
        <v>1771</v>
      </c>
      <c r="S173" t="str">
        <f t="shared" si="20"/>
        <v>T9b*0,5</v>
      </c>
      <c r="T173" s="3">
        <f t="shared" si="21"/>
        <v>1</v>
      </c>
      <c r="U173" s="1" t="s">
        <v>1771</v>
      </c>
      <c r="V173" t="str">
        <f t="shared" si="22"/>
        <v>T4e*0,5</v>
      </c>
      <c r="W173" s="3">
        <f t="shared" si="23"/>
        <v>0.4</v>
      </c>
      <c r="AH173" t="s">
        <v>1990</v>
      </c>
      <c r="AI173" t="s">
        <v>1859</v>
      </c>
      <c r="AJ173">
        <v>0.5</v>
      </c>
    </row>
    <row r="174" spans="1:36" x14ac:dyDescent="0.25">
      <c r="A174" s="6" t="e">
        <f t="shared" si="24"/>
        <v>#N/A</v>
      </c>
      <c r="B174" s="3" t="e">
        <f t="shared" si="18"/>
        <v>#N/A</v>
      </c>
      <c r="C174" s="3" t="e">
        <f t="shared" si="19"/>
        <v>#N/A</v>
      </c>
      <c r="D174" s="3" t="e">
        <f t="shared" si="16"/>
        <v>#N/A</v>
      </c>
      <c r="E174" s="3" t="e">
        <f t="shared" si="17"/>
        <v>#N/A</v>
      </c>
      <c r="O174" s="1" t="s">
        <v>1772</v>
      </c>
      <c r="P174" t="str">
        <f t="shared" si="20"/>
        <v>SB*0,5</v>
      </c>
      <c r="Q174" s="3">
        <f t="shared" si="21"/>
        <v>7.4999999999999997E-2</v>
      </c>
      <c r="R174" s="1" t="s">
        <v>1772</v>
      </c>
      <c r="S174" t="str">
        <f t="shared" si="20"/>
        <v>SB*0,5</v>
      </c>
      <c r="T174" s="3">
        <f t="shared" si="21"/>
        <v>7.4999999999999997E-2</v>
      </c>
      <c r="U174" s="1" t="s">
        <v>1771</v>
      </c>
      <c r="V174" t="str">
        <f t="shared" si="22"/>
        <v>T5a*0,5</v>
      </c>
      <c r="W174" s="3">
        <f t="shared" si="23"/>
        <v>0.45</v>
      </c>
      <c r="AH174" t="s">
        <v>1991</v>
      </c>
      <c r="AI174" t="s">
        <v>1794</v>
      </c>
      <c r="AJ174">
        <v>0.5</v>
      </c>
    </row>
    <row r="175" spans="1:36" x14ac:dyDescent="0.25">
      <c r="A175" s="6" t="e">
        <f t="shared" si="24"/>
        <v>#N/A</v>
      </c>
      <c r="B175" s="3" t="e">
        <f t="shared" si="18"/>
        <v>#N/A</v>
      </c>
      <c r="C175" s="3" t="e">
        <f t="shared" si="19"/>
        <v>#N/A</v>
      </c>
      <c r="D175" s="3" t="e">
        <f t="shared" si="16"/>
        <v>#N/A</v>
      </c>
      <c r="E175" s="3" t="e">
        <f t="shared" si="17"/>
        <v>#N/A</v>
      </c>
      <c r="O175" s="1" t="s">
        <v>1772</v>
      </c>
      <c r="P175" t="str">
        <f t="shared" si="20"/>
        <v>SCB*0,5</v>
      </c>
      <c r="Q175" s="3">
        <f t="shared" si="21"/>
        <v>0.17499999999999999</v>
      </c>
      <c r="R175" s="1" t="s">
        <v>1772</v>
      </c>
      <c r="S175" t="str">
        <f t="shared" si="20"/>
        <v>SCB*0,5</v>
      </c>
      <c r="T175" s="3">
        <f t="shared" si="21"/>
        <v>0.17499999999999999</v>
      </c>
      <c r="U175" s="1" t="s">
        <v>1771</v>
      </c>
      <c r="V175" t="str">
        <f t="shared" si="22"/>
        <v>T5b*0,5</v>
      </c>
      <c r="W175" s="3">
        <f t="shared" si="23"/>
        <v>0.45</v>
      </c>
      <c r="AH175" t="s">
        <v>1992</v>
      </c>
      <c r="AI175" t="s">
        <v>1795</v>
      </c>
      <c r="AJ175">
        <v>0.5</v>
      </c>
    </row>
    <row r="176" spans="1:36" x14ac:dyDescent="0.25">
      <c r="A176" s="6" t="e">
        <f t="shared" si="24"/>
        <v>#N/A</v>
      </c>
      <c r="B176" s="3" t="e">
        <f t="shared" si="18"/>
        <v>#N/A</v>
      </c>
      <c r="C176" s="3" t="e">
        <f t="shared" si="19"/>
        <v>#N/A</v>
      </c>
      <c r="D176" s="3" t="e">
        <f t="shared" si="16"/>
        <v>#N/A</v>
      </c>
      <c r="E176" s="3" t="e">
        <f t="shared" si="17"/>
        <v>#N/A</v>
      </c>
      <c r="O176" s="1" t="s">
        <v>1772</v>
      </c>
      <c r="P176" t="str">
        <f t="shared" si="20"/>
        <v>SCDB*0,5</v>
      </c>
      <c r="Q176" s="3">
        <f t="shared" si="21"/>
        <v>0.2</v>
      </c>
      <c r="R176" s="1" t="s">
        <v>1772</v>
      </c>
      <c r="S176" t="str">
        <f t="shared" si="20"/>
        <v>SCDB*0,5</v>
      </c>
      <c r="T176" s="3">
        <f t="shared" si="21"/>
        <v>0.2</v>
      </c>
      <c r="U176" s="1" t="s">
        <v>1771</v>
      </c>
      <c r="V176" t="str">
        <f t="shared" si="22"/>
        <v>T5c*0,5</v>
      </c>
      <c r="W176" s="3">
        <f t="shared" si="23"/>
        <v>0.45</v>
      </c>
      <c r="AH176" t="s">
        <v>1993</v>
      </c>
      <c r="AI176" t="s">
        <v>1796</v>
      </c>
      <c r="AJ176">
        <v>0.5</v>
      </c>
    </row>
    <row r="177" spans="1:36" x14ac:dyDescent="0.25">
      <c r="A177" s="6" t="e">
        <f t="shared" si="24"/>
        <v>#N/A</v>
      </c>
      <c r="B177" s="3" t="e">
        <f t="shared" si="18"/>
        <v>#N/A</v>
      </c>
      <c r="C177" s="3" t="e">
        <f t="shared" si="19"/>
        <v>#N/A</v>
      </c>
      <c r="D177" s="3" t="e">
        <f t="shared" si="16"/>
        <v>#N/A</v>
      </c>
      <c r="E177" s="3" t="e">
        <f t="shared" si="17"/>
        <v>#N/A</v>
      </c>
      <c r="O177" s="1" t="s">
        <v>1772</v>
      </c>
      <c r="P177" t="str">
        <f t="shared" si="20"/>
        <v>S1*0,5</v>
      </c>
      <c r="Q177" s="3">
        <f t="shared" si="21"/>
        <v>0.17499999999999999</v>
      </c>
      <c r="R177" s="1" t="s">
        <v>1772</v>
      </c>
      <c r="S177" t="str">
        <f t="shared" si="20"/>
        <v>S1*0,5</v>
      </c>
      <c r="T177" s="3">
        <f t="shared" si="21"/>
        <v>0.17499999999999999</v>
      </c>
      <c r="U177" s="1" t="s">
        <v>1771</v>
      </c>
      <c r="V177" t="str">
        <f t="shared" si="22"/>
        <v>T5d*0,5</v>
      </c>
      <c r="W177" s="3">
        <f t="shared" si="23"/>
        <v>0.45</v>
      </c>
      <c r="AH177" t="s">
        <v>1994</v>
      </c>
      <c r="AI177" t="s">
        <v>1797</v>
      </c>
      <c r="AJ177">
        <v>0.5</v>
      </c>
    </row>
    <row r="178" spans="1:36" x14ac:dyDescent="0.25">
      <c r="A178" s="6" t="e">
        <f t="shared" si="24"/>
        <v>#N/A</v>
      </c>
      <c r="B178" s="3" t="e">
        <f t="shared" si="18"/>
        <v>#N/A</v>
      </c>
      <c r="C178" s="3" t="e">
        <f t="shared" si="19"/>
        <v>#N/A</v>
      </c>
      <c r="D178" s="3" t="e">
        <f t="shared" si="16"/>
        <v>#N/A</v>
      </c>
      <c r="E178" s="3" t="e">
        <f t="shared" si="17"/>
        <v>#N/A</v>
      </c>
      <c r="O178" s="1" t="s">
        <v>1772</v>
      </c>
      <c r="P178" t="str">
        <f t="shared" si="20"/>
        <v>SC1*0,5</v>
      </c>
      <c r="Q178" s="3">
        <f t="shared" si="21"/>
        <v>0.4</v>
      </c>
      <c r="R178" s="1" t="s">
        <v>1772</v>
      </c>
      <c r="S178" t="str">
        <f t="shared" si="20"/>
        <v>SC1*0,5</v>
      </c>
      <c r="T178" s="3">
        <f t="shared" si="21"/>
        <v>0.4</v>
      </c>
      <c r="U178" s="1" t="s">
        <v>1771</v>
      </c>
      <c r="V178" t="str">
        <f t="shared" si="22"/>
        <v>T5e*0,5</v>
      </c>
      <c r="W178" s="3">
        <f t="shared" si="23"/>
        <v>0.45</v>
      </c>
      <c r="AH178" t="s">
        <v>1995</v>
      </c>
      <c r="AI178" t="s">
        <v>1798</v>
      </c>
      <c r="AJ178">
        <v>0.5</v>
      </c>
    </row>
    <row r="179" spans="1:36" x14ac:dyDescent="0.25">
      <c r="A179" s="6" t="e">
        <f t="shared" si="24"/>
        <v>#N/A</v>
      </c>
      <c r="B179" s="3" t="e">
        <f t="shared" si="18"/>
        <v>#N/A</v>
      </c>
      <c r="C179" s="3" t="e">
        <f t="shared" si="19"/>
        <v>#N/A</v>
      </c>
      <c r="D179" s="3" t="e">
        <f t="shared" si="16"/>
        <v>#N/A</v>
      </c>
      <c r="E179" s="3" t="e">
        <f t="shared" si="17"/>
        <v>#N/A</v>
      </c>
      <c r="O179" s="1" t="s">
        <v>1772</v>
      </c>
      <c r="P179" t="str">
        <f t="shared" si="20"/>
        <v>SCD1*0,5</v>
      </c>
      <c r="Q179" s="3">
        <f t="shared" si="21"/>
        <v>0.42499999999999999</v>
      </c>
      <c r="R179" s="1" t="s">
        <v>1772</v>
      </c>
      <c r="S179" t="str">
        <f t="shared" si="20"/>
        <v>SCD1*0,5</v>
      </c>
      <c r="T179" s="3">
        <f t="shared" si="21"/>
        <v>0.42499999999999999</v>
      </c>
      <c r="U179" s="1" t="s">
        <v>1771</v>
      </c>
      <c r="V179" t="str">
        <f t="shared" si="22"/>
        <v>T6a*0,5</v>
      </c>
      <c r="W179" s="3">
        <f t="shared" si="23"/>
        <v>0.55000000000000004</v>
      </c>
      <c r="AH179" t="s">
        <v>1996</v>
      </c>
      <c r="AI179" t="s">
        <v>1799</v>
      </c>
      <c r="AJ179">
        <v>0.5</v>
      </c>
    </row>
    <row r="180" spans="1:36" x14ac:dyDescent="0.25">
      <c r="A180" s="6" t="e">
        <f t="shared" si="24"/>
        <v>#N/A</v>
      </c>
      <c r="B180" s="3" t="e">
        <f t="shared" si="18"/>
        <v>#N/A</v>
      </c>
      <c r="C180" s="3" t="e">
        <f t="shared" si="19"/>
        <v>#N/A</v>
      </c>
      <c r="D180" s="3" t="e">
        <f t="shared" si="16"/>
        <v>#N/A</v>
      </c>
      <c r="E180" s="3" t="e">
        <f t="shared" si="17"/>
        <v>#N/A</v>
      </c>
      <c r="O180" s="1" t="s">
        <v>1772</v>
      </c>
      <c r="P180" t="str">
        <f t="shared" si="20"/>
        <v>S2*0,5</v>
      </c>
      <c r="Q180" s="3">
        <f t="shared" si="21"/>
        <v>0.375</v>
      </c>
      <c r="R180" s="1" t="s">
        <v>1772</v>
      </c>
      <c r="S180" t="str">
        <f t="shared" si="20"/>
        <v>S2*0,5</v>
      </c>
      <c r="T180" s="3">
        <f t="shared" si="21"/>
        <v>0.375</v>
      </c>
      <c r="U180" s="1" t="s">
        <v>1771</v>
      </c>
      <c r="V180" t="str">
        <f t="shared" si="22"/>
        <v>T6b*0,5</v>
      </c>
      <c r="W180" s="3">
        <f t="shared" si="23"/>
        <v>0.55000000000000004</v>
      </c>
      <c r="AH180" t="s">
        <v>1997</v>
      </c>
      <c r="AI180" t="s">
        <v>1800</v>
      </c>
      <c r="AJ180">
        <v>0.5</v>
      </c>
    </row>
    <row r="181" spans="1:36" x14ac:dyDescent="0.25">
      <c r="A181" s="6" t="e">
        <f t="shared" si="24"/>
        <v>#N/A</v>
      </c>
      <c r="B181" s="3" t="e">
        <f t="shared" si="18"/>
        <v>#N/A</v>
      </c>
      <c r="C181" s="3" t="e">
        <f t="shared" si="19"/>
        <v>#N/A</v>
      </c>
      <c r="D181" s="3" t="e">
        <f t="shared" si="16"/>
        <v>#N/A</v>
      </c>
      <c r="E181" s="3" t="e">
        <f t="shared" si="17"/>
        <v>#N/A</v>
      </c>
      <c r="O181" s="1" t="s">
        <v>1772</v>
      </c>
      <c r="P181" t="str">
        <f t="shared" si="20"/>
        <v>SC2*0,5</v>
      </c>
      <c r="Q181" s="3">
        <f t="shared" si="21"/>
        <v>0.8</v>
      </c>
      <c r="R181" s="1" t="s">
        <v>1772</v>
      </c>
      <c r="S181" t="str">
        <f t="shared" si="20"/>
        <v>SC2*0,5</v>
      </c>
      <c r="T181" s="3">
        <f t="shared" si="21"/>
        <v>0.8</v>
      </c>
      <c r="U181" s="1" t="s">
        <v>1771</v>
      </c>
      <c r="V181" t="str">
        <f t="shared" si="22"/>
        <v>T6c*0,5</v>
      </c>
      <c r="W181" s="3">
        <f t="shared" si="23"/>
        <v>0.55000000000000004</v>
      </c>
      <c r="AH181" t="s">
        <v>1998</v>
      </c>
      <c r="AI181" t="s">
        <v>1801</v>
      </c>
      <c r="AJ181">
        <v>0.5</v>
      </c>
    </row>
    <row r="182" spans="1:36" x14ac:dyDescent="0.25">
      <c r="A182" s="6" t="e">
        <f t="shared" si="24"/>
        <v>#N/A</v>
      </c>
      <c r="B182" s="3" t="e">
        <f t="shared" si="18"/>
        <v>#N/A</v>
      </c>
      <c r="C182" s="3" t="e">
        <f t="shared" si="19"/>
        <v>#N/A</v>
      </c>
      <c r="D182" s="3" t="e">
        <f t="shared" si="16"/>
        <v>#N/A</v>
      </c>
      <c r="E182" s="3" t="e">
        <f t="shared" si="17"/>
        <v>#N/A</v>
      </c>
      <c r="O182" s="1" t="s">
        <v>1772</v>
      </c>
      <c r="P182" t="str">
        <f t="shared" si="20"/>
        <v>SCD2*0,5</v>
      </c>
      <c r="Q182" s="3">
        <f t="shared" si="21"/>
        <v>0.82499999999999996</v>
      </c>
      <c r="R182" s="1" t="s">
        <v>1772</v>
      </c>
      <c r="S182" t="str">
        <f t="shared" si="20"/>
        <v>SCD2*0,5</v>
      </c>
      <c r="T182" s="3">
        <f t="shared" si="21"/>
        <v>0.82499999999999996</v>
      </c>
      <c r="U182" s="1" t="s">
        <v>1771</v>
      </c>
      <c r="V182" t="str">
        <f t="shared" si="22"/>
        <v>T7*0,5</v>
      </c>
      <c r="W182" s="3">
        <f t="shared" si="23"/>
        <v>0.75</v>
      </c>
      <c r="AH182" t="s">
        <v>1999</v>
      </c>
      <c r="AI182" t="s">
        <v>58</v>
      </c>
      <c r="AJ182">
        <v>0.5</v>
      </c>
    </row>
    <row r="183" spans="1:36" x14ac:dyDescent="0.25">
      <c r="A183" s="6" t="e">
        <f t="shared" si="24"/>
        <v>#N/A</v>
      </c>
      <c r="B183" s="3" t="e">
        <f t="shared" si="18"/>
        <v>#N/A</v>
      </c>
      <c r="C183" s="3" t="e">
        <f t="shared" si="19"/>
        <v>#N/A</v>
      </c>
      <c r="D183" s="3" t="e">
        <f t="shared" si="16"/>
        <v>#N/A</v>
      </c>
      <c r="E183" s="3" t="e">
        <f t="shared" si="17"/>
        <v>#N/A</v>
      </c>
      <c r="O183" s="1" t="s">
        <v>1772</v>
      </c>
      <c r="P183" t="str">
        <f t="shared" si="20"/>
        <v>S3*0,5</v>
      </c>
      <c r="Q183" s="3">
        <f t="shared" si="21"/>
        <v>0.57499999999999996</v>
      </c>
      <c r="R183" s="1" t="s">
        <v>1772</v>
      </c>
      <c r="S183" t="str">
        <f t="shared" si="20"/>
        <v>S3*0,5</v>
      </c>
      <c r="T183" s="3">
        <f t="shared" si="21"/>
        <v>0.57499999999999996</v>
      </c>
      <c r="U183" s="1" t="s">
        <v>1771</v>
      </c>
      <c r="V183" t="str">
        <f t="shared" si="22"/>
        <v>T8*0,5</v>
      </c>
      <c r="W183" s="3">
        <f t="shared" si="23"/>
        <v>0.85</v>
      </c>
      <c r="AH183" t="s">
        <v>2000</v>
      </c>
      <c r="AI183" t="s">
        <v>59</v>
      </c>
      <c r="AJ183">
        <v>0.5</v>
      </c>
    </row>
    <row r="184" spans="1:36" x14ac:dyDescent="0.25">
      <c r="A184" s="6" t="e">
        <f t="shared" si="24"/>
        <v>#N/A</v>
      </c>
      <c r="B184" s="3" t="e">
        <f t="shared" si="18"/>
        <v>#N/A</v>
      </c>
      <c r="C184" s="3" t="e">
        <f t="shared" si="19"/>
        <v>#N/A</v>
      </c>
      <c r="D184" s="3" t="e">
        <f t="shared" si="16"/>
        <v>#N/A</v>
      </c>
      <c r="E184" s="3" t="e">
        <f t="shared" si="17"/>
        <v>#N/A</v>
      </c>
      <c r="O184" s="1" t="s">
        <v>1772</v>
      </c>
      <c r="P184" t="str">
        <f t="shared" si="20"/>
        <v>SC3*0,5</v>
      </c>
      <c r="Q184" s="3">
        <f t="shared" si="21"/>
        <v>1.2</v>
      </c>
      <c r="R184" s="1" t="s">
        <v>1772</v>
      </c>
      <c r="S184" t="str">
        <f t="shared" si="20"/>
        <v>SC3*0,5</v>
      </c>
      <c r="T184" s="3">
        <f t="shared" si="21"/>
        <v>1.2</v>
      </c>
      <c r="U184" s="1" t="s">
        <v>1771</v>
      </c>
      <c r="V184" t="str">
        <f t="shared" si="22"/>
        <v>T9a*0,5</v>
      </c>
      <c r="W184" s="3">
        <f t="shared" si="23"/>
        <v>1</v>
      </c>
      <c r="AH184" t="s">
        <v>2001</v>
      </c>
      <c r="AI184" t="s">
        <v>1802</v>
      </c>
      <c r="AJ184">
        <v>0.5</v>
      </c>
    </row>
    <row r="185" spans="1:36" x14ac:dyDescent="0.25">
      <c r="A185" s="6" t="e">
        <f t="shared" si="24"/>
        <v>#N/A</v>
      </c>
      <c r="B185" s="3" t="e">
        <f t="shared" si="18"/>
        <v>#N/A</v>
      </c>
      <c r="C185" s="3" t="e">
        <f t="shared" si="19"/>
        <v>#N/A</v>
      </c>
      <c r="D185" s="3" t="e">
        <f t="shared" si="16"/>
        <v>#N/A</v>
      </c>
      <c r="E185" s="3" t="e">
        <f t="shared" si="17"/>
        <v>#N/A</v>
      </c>
      <c r="O185" s="1" t="s">
        <v>1772</v>
      </c>
      <c r="P185" t="str">
        <f t="shared" si="20"/>
        <v>SCD3*0,5</v>
      </c>
      <c r="Q185" s="3">
        <f t="shared" si="21"/>
        <v>1.2250000000000001</v>
      </c>
      <c r="R185" s="1" t="s">
        <v>1772</v>
      </c>
      <c r="S185" t="str">
        <f t="shared" si="20"/>
        <v>SCD3*0,5</v>
      </c>
      <c r="T185" s="3">
        <f t="shared" si="21"/>
        <v>1.2250000000000001</v>
      </c>
      <c r="U185" s="1" t="s">
        <v>1771</v>
      </c>
      <c r="V185" t="str">
        <f t="shared" si="22"/>
        <v>T9b*0,5</v>
      </c>
      <c r="W185" s="3">
        <f t="shared" si="23"/>
        <v>1</v>
      </c>
      <c r="AH185" t="s">
        <v>2002</v>
      </c>
      <c r="AI185" t="s">
        <v>1803</v>
      </c>
      <c r="AJ185">
        <v>0.5</v>
      </c>
    </row>
    <row r="186" spans="1:36" x14ac:dyDescent="0.25">
      <c r="A186" s="6" t="e">
        <f t="shared" si="24"/>
        <v>#N/A</v>
      </c>
      <c r="B186" s="3" t="e">
        <f t="shared" si="18"/>
        <v>#N/A</v>
      </c>
      <c r="C186" s="3" t="e">
        <f t="shared" si="19"/>
        <v>#N/A</v>
      </c>
      <c r="D186" s="3" t="e">
        <f t="shared" si="16"/>
        <v>#N/A</v>
      </c>
      <c r="E186" s="3" t="e">
        <f t="shared" si="17"/>
        <v>#N/A</v>
      </c>
      <c r="O186" s="1" t="s">
        <v>1772</v>
      </c>
      <c r="P186" t="str">
        <f t="shared" si="20"/>
        <v>S4*0,5</v>
      </c>
      <c r="Q186" s="3">
        <f t="shared" si="21"/>
        <v>0.77500000000000002</v>
      </c>
      <c r="R186" s="1" t="s">
        <v>1772</v>
      </c>
      <c r="S186" t="str">
        <f t="shared" si="20"/>
        <v>S4*0,5</v>
      </c>
      <c r="T186" s="3">
        <f t="shared" si="21"/>
        <v>0.77500000000000002</v>
      </c>
      <c r="U186" s="1" t="s">
        <v>1772</v>
      </c>
      <c r="V186" t="str">
        <f t="shared" si="22"/>
        <v>SB*0,5</v>
      </c>
      <c r="W186" s="3">
        <f t="shared" si="23"/>
        <v>7.4999999999999997E-2</v>
      </c>
      <c r="AH186" t="s">
        <v>2156</v>
      </c>
      <c r="AI186" t="s">
        <v>1639</v>
      </c>
      <c r="AJ186">
        <v>0.5</v>
      </c>
    </row>
    <row r="187" spans="1:36" x14ac:dyDescent="0.25">
      <c r="A187" s="6" t="e">
        <f t="shared" si="24"/>
        <v>#N/A</v>
      </c>
      <c r="B187" s="3" t="e">
        <f t="shared" si="18"/>
        <v>#N/A</v>
      </c>
      <c r="C187" s="3" t="e">
        <f t="shared" si="19"/>
        <v>#N/A</v>
      </c>
      <c r="D187" s="3" t="e">
        <f t="shared" si="16"/>
        <v>#N/A</v>
      </c>
      <c r="E187" s="3" t="e">
        <f t="shared" si="17"/>
        <v>#N/A</v>
      </c>
      <c r="O187" s="1" t="s">
        <v>1772</v>
      </c>
      <c r="P187" t="str">
        <f t="shared" si="20"/>
        <v>SC4*0,5</v>
      </c>
      <c r="Q187" s="3">
        <f t="shared" si="21"/>
        <v>1.6</v>
      </c>
      <c r="R187" s="1" t="s">
        <v>1772</v>
      </c>
      <c r="S187" t="str">
        <f t="shared" si="20"/>
        <v>SC4*0,5</v>
      </c>
      <c r="T187" s="3">
        <f t="shared" si="21"/>
        <v>1.6</v>
      </c>
      <c r="U187" s="1" t="s">
        <v>1772</v>
      </c>
      <c r="V187" t="str">
        <f t="shared" si="22"/>
        <v>SCB*0,5</v>
      </c>
      <c r="W187" s="3">
        <f t="shared" si="23"/>
        <v>0.17499999999999999</v>
      </c>
      <c r="AH187" t="s">
        <v>2157</v>
      </c>
      <c r="AI187" t="s">
        <v>1640</v>
      </c>
      <c r="AJ187">
        <v>0.5</v>
      </c>
    </row>
    <row r="188" spans="1:36" x14ac:dyDescent="0.25">
      <c r="A188" s="6" t="e">
        <f t="shared" si="24"/>
        <v>#N/A</v>
      </c>
      <c r="B188" s="3" t="e">
        <f t="shared" si="18"/>
        <v>#N/A</v>
      </c>
      <c r="C188" s="3" t="e">
        <f t="shared" si="19"/>
        <v>#N/A</v>
      </c>
      <c r="D188" s="3" t="e">
        <f t="shared" si="16"/>
        <v>#N/A</v>
      </c>
      <c r="E188" s="3" t="e">
        <f t="shared" si="17"/>
        <v>#N/A</v>
      </c>
      <c r="O188" s="1" t="s">
        <v>1772</v>
      </c>
      <c r="P188" t="str">
        <f t="shared" si="20"/>
        <v>SCD4*0,5</v>
      </c>
      <c r="Q188" s="3">
        <f t="shared" si="21"/>
        <v>1.625</v>
      </c>
      <c r="R188" s="1" t="s">
        <v>1772</v>
      </c>
      <c r="S188" t="str">
        <f t="shared" si="20"/>
        <v>SCD4*0,5</v>
      </c>
      <c r="T188" s="3">
        <f t="shared" si="21"/>
        <v>1.625</v>
      </c>
      <c r="U188" s="1" t="s">
        <v>1772</v>
      </c>
      <c r="V188" t="str">
        <f t="shared" si="22"/>
        <v>SCDB*0,5</v>
      </c>
      <c r="W188" s="3">
        <f t="shared" si="23"/>
        <v>0.2</v>
      </c>
      <c r="AH188" t="s">
        <v>2158</v>
      </c>
      <c r="AI188" t="s">
        <v>1641</v>
      </c>
      <c r="AJ188">
        <v>0.5</v>
      </c>
    </row>
    <row r="189" spans="1:36" x14ac:dyDescent="0.25">
      <c r="A189" s="6" t="e">
        <f t="shared" si="24"/>
        <v>#N/A</v>
      </c>
      <c r="B189" s="3" t="e">
        <f t="shared" si="18"/>
        <v>#N/A</v>
      </c>
      <c r="C189" s="3" t="e">
        <f t="shared" si="19"/>
        <v>#N/A</v>
      </c>
      <c r="D189" s="3" t="e">
        <f t="shared" si="16"/>
        <v>#N/A</v>
      </c>
      <c r="E189" s="3" t="e">
        <f t="shared" si="17"/>
        <v>#N/A</v>
      </c>
      <c r="O189" s="1" t="s">
        <v>1772</v>
      </c>
      <c r="P189" t="str">
        <f t="shared" si="20"/>
        <v>S5*0,5</v>
      </c>
      <c r="Q189" s="3">
        <f t="shared" si="21"/>
        <v>0.97499999999999998</v>
      </c>
      <c r="R189" s="1" t="s">
        <v>1772</v>
      </c>
      <c r="S189" t="str">
        <f t="shared" si="20"/>
        <v>S5*0,5</v>
      </c>
      <c r="T189" s="3">
        <f t="shared" si="21"/>
        <v>0.97499999999999998</v>
      </c>
      <c r="U189" s="1" t="s">
        <v>1772</v>
      </c>
      <c r="V189" t="str">
        <f t="shared" si="22"/>
        <v>S1*0,5</v>
      </c>
      <c r="W189" s="3">
        <f t="shared" si="23"/>
        <v>0.17499999999999999</v>
      </c>
      <c r="AH189" t="s">
        <v>2159</v>
      </c>
      <c r="AI189" t="s">
        <v>1642</v>
      </c>
      <c r="AJ189">
        <v>0.5</v>
      </c>
    </row>
    <row r="190" spans="1:36" x14ac:dyDescent="0.25">
      <c r="A190" s="6" t="e">
        <f t="shared" si="24"/>
        <v>#N/A</v>
      </c>
      <c r="B190" s="3" t="e">
        <f t="shared" si="18"/>
        <v>#N/A</v>
      </c>
      <c r="C190" s="3" t="e">
        <f t="shared" si="19"/>
        <v>#N/A</v>
      </c>
      <c r="D190" s="3" t="e">
        <f t="shared" si="16"/>
        <v>#N/A</v>
      </c>
      <c r="E190" s="3" t="e">
        <f t="shared" si="17"/>
        <v>#N/A</v>
      </c>
      <c r="O190" s="1" t="s">
        <v>1772</v>
      </c>
      <c r="P190" t="str">
        <f t="shared" si="20"/>
        <v>SC5*0,5</v>
      </c>
      <c r="Q190" s="3">
        <f t="shared" si="21"/>
        <v>2</v>
      </c>
      <c r="R190" s="1" t="s">
        <v>1772</v>
      </c>
      <c r="S190" t="str">
        <f t="shared" si="20"/>
        <v>SC5*0,5</v>
      </c>
      <c r="T190" s="3">
        <f t="shared" si="21"/>
        <v>2</v>
      </c>
      <c r="U190" s="1" t="s">
        <v>1772</v>
      </c>
      <c r="V190" t="str">
        <f t="shared" si="22"/>
        <v>SC1*0,5</v>
      </c>
      <c r="W190" s="3">
        <f t="shared" si="23"/>
        <v>0.4</v>
      </c>
      <c r="AH190" t="s">
        <v>2160</v>
      </c>
      <c r="AI190" t="s">
        <v>1643</v>
      </c>
      <c r="AJ190">
        <v>0.5</v>
      </c>
    </row>
    <row r="191" spans="1:36" x14ac:dyDescent="0.25">
      <c r="A191" s="6" t="e">
        <f t="shared" si="24"/>
        <v>#N/A</v>
      </c>
      <c r="B191" s="3" t="e">
        <f t="shared" si="18"/>
        <v>#N/A</v>
      </c>
      <c r="C191" s="3" t="e">
        <f t="shared" si="19"/>
        <v>#N/A</v>
      </c>
      <c r="D191" s="3" t="e">
        <f t="shared" si="16"/>
        <v>#N/A</v>
      </c>
      <c r="E191" s="3" t="e">
        <f t="shared" si="17"/>
        <v>#N/A</v>
      </c>
      <c r="O191" s="1" t="s">
        <v>1772</v>
      </c>
      <c r="P191" t="str">
        <f t="shared" si="20"/>
        <v>SCD5*0,5</v>
      </c>
      <c r="Q191" s="3">
        <f t="shared" si="21"/>
        <v>2.0249999999999999</v>
      </c>
      <c r="R191" s="1" t="s">
        <v>1772</v>
      </c>
      <c r="S191" t="str">
        <f t="shared" si="20"/>
        <v>SCD5*0,5</v>
      </c>
      <c r="T191" s="3">
        <f t="shared" si="21"/>
        <v>2.0249999999999999</v>
      </c>
      <c r="U191" s="1" t="s">
        <v>1772</v>
      </c>
      <c r="V191" t="str">
        <f t="shared" si="22"/>
        <v>SCD1*0,5</v>
      </c>
      <c r="W191" s="3">
        <f t="shared" si="23"/>
        <v>0.42499999999999999</v>
      </c>
      <c r="AH191" t="s">
        <v>2161</v>
      </c>
      <c r="AI191" t="s">
        <v>1644</v>
      </c>
      <c r="AJ191">
        <v>0.5</v>
      </c>
    </row>
    <row r="192" spans="1:36" x14ac:dyDescent="0.25">
      <c r="A192" s="6" t="e">
        <f t="shared" si="24"/>
        <v>#N/A</v>
      </c>
      <c r="B192" s="3" t="e">
        <f t="shared" si="18"/>
        <v>#N/A</v>
      </c>
      <c r="C192" s="3" t="e">
        <f t="shared" si="19"/>
        <v>#N/A</v>
      </c>
      <c r="D192" s="3" t="e">
        <f t="shared" si="16"/>
        <v>#N/A</v>
      </c>
      <c r="E192" s="3" t="e">
        <f t="shared" si="17"/>
        <v>#N/A</v>
      </c>
      <c r="O192" s="1" t="s">
        <v>1772</v>
      </c>
      <c r="P192" t="str">
        <f t="shared" si="20"/>
        <v>S6*0,5</v>
      </c>
      <c r="Q192" s="3">
        <f t="shared" si="21"/>
        <v>1.175</v>
      </c>
      <c r="R192" s="1" t="s">
        <v>1772</v>
      </c>
      <c r="S192" t="str">
        <f t="shared" si="20"/>
        <v>S6*0,5</v>
      </c>
      <c r="T192" s="3">
        <f t="shared" si="21"/>
        <v>1.175</v>
      </c>
      <c r="U192" s="1" t="s">
        <v>1772</v>
      </c>
      <c r="V192" t="str">
        <f t="shared" si="22"/>
        <v>S2*0,5</v>
      </c>
      <c r="W192" s="3">
        <f t="shared" si="23"/>
        <v>0.375</v>
      </c>
      <c r="AH192" t="s">
        <v>2162</v>
      </c>
      <c r="AI192" t="s">
        <v>1645</v>
      </c>
      <c r="AJ192">
        <v>0.5</v>
      </c>
    </row>
    <row r="193" spans="1:36" x14ac:dyDescent="0.25">
      <c r="A193" s="6" t="e">
        <f t="shared" si="24"/>
        <v>#N/A</v>
      </c>
      <c r="B193" s="3" t="e">
        <f t="shared" si="18"/>
        <v>#N/A</v>
      </c>
      <c r="C193" s="3" t="e">
        <f t="shared" si="19"/>
        <v>#N/A</v>
      </c>
      <c r="D193" s="3" t="e">
        <f t="shared" si="16"/>
        <v>#N/A</v>
      </c>
      <c r="E193" s="3" t="e">
        <f t="shared" si="17"/>
        <v>#N/A</v>
      </c>
      <c r="O193" s="1" t="s">
        <v>1772</v>
      </c>
      <c r="P193" t="str">
        <f t="shared" si="20"/>
        <v>SC6*0,5</v>
      </c>
      <c r="Q193" s="3">
        <f t="shared" si="21"/>
        <v>2.4</v>
      </c>
      <c r="R193" s="1" t="s">
        <v>1772</v>
      </c>
      <c r="S193" t="str">
        <f t="shared" si="20"/>
        <v>SC6*0,5</v>
      </c>
      <c r="T193" s="3">
        <f t="shared" si="21"/>
        <v>2.4</v>
      </c>
      <c r="U193" s="1" t="s">
        <v>1772</v>
      </c>
      <c r="V193" t="str">
        <f t="shared" si="22"/>
        <v>SC2*0,5</v>
      </c>
      <c r="W193" s="3">
        <f t="shared" si="23"/>
        <v>0.8</v>
      </c>
      <c r="AH193" t="s">
        <v>2163</v>
      </c>
      <c r="AI193" t="s">
        <v>1646</v>
      </c>
      <c r="AJ193">
        <v>0.5</v>
      </c>
    </row>
    <row r="194" spans="1:36" x14ac:dyDescent="0.25">
      <c r="A194" s="6" t="e">
        <f t="shared" si="24"/>
        <v>#N/A</v>
      </c>
      <c r="B194" s="3" t="e">
        <f t="shared" si="18"/>
        <v>#N/A</v>
      </c>
      <c r="C194" s="3" t="e">
        <f t="shared" si="19"/>
        <v>#N/A</v>
      </c>
      <c r="D194" s="3" t="e">
        <f t="shared" si="16"/>
        <v>#N/A</v>
      </c>
      <c r="E194" s="3" t="e">
        <f t="shared" si="17"/>
        <v>#N/A</v>
      </c>
      <c r="O194" s="1" t="s">
        <v>1772</v>
      </c>
      <c r="P194" t="str">
        <f t="shared" si="20"/>
        <v>SCD6*0,5</v>
      </c>
      <c r="Q194" s="3">
        <f t="shared" si="21"/>
        <v>2.4249999999999998</v>
      </c>
      <c r="R194" s="1" t="s">
        <v>1772</v>
      </c>
      <c r="S194" t="str">
        <f t="shared" si="20"/>
        <v>SCD6*0,5</v>
      </c>
      <c r="T194" s="3">
        <f t="shared" si="21"/>
        <v>2.4249999999999998</v>
      </c>
      <c r="U194" s="1" t="s">
        <v>1772</v>
      </c>
      <c r="V194" t="str">
        <f t="shared" si="22"/>
        <v>SCD2*0,5</v>
      </c>
      <c r="W194" s="3">
        <f t="shared" si="23"/>
        <v>0.82499999999999996</v>
      </c>
      <c r="AH194" t="s">
        <v>2164</v>
      </c>
      <c r="AI194" t="s">
        <v>1647</v>
      </c>
      <c r="AJ194">
        <v>0.5</v>
      </c>
    </row>
    <row r="195" spans="1:36" x14ac:dyDescent="0.25">
      <c r="A195" s="6" t="e">
        <f t="shared" si="24"/>
        <v>#N/A</v>
      </c>
      <c r="B195" s="3" t="e">
        <f t="shared" si="18"/>
        <v>#N/A</v>
      </c>
      <c r="C195" s="3" t="e">
        <f t="shared" si="19"/>
        <v>#N/A</v>
      </c>
      <c r="D195" s="3" t="e">
        <f t="shared" si="16"/>
        <v>#N/A</v>
      </c>
      <c r="E195" s="3" t="e">
        <f t="shared" si="17"/>
        <v>#N/A</v>
      </c>
      <c r="O195" s="1" t="s">
        <v>1772</v>
      </c>
      <c r="P195" t="str">
        <f t="shared" si="20"/>
        <v>S7*0,5</v>
      </c>
      <c r="Q195" s="3">
        <f t="shared" si="21"/>
        <v>1.375</v>
      </c>
      <c r="R195" s="1" t="s">
        <v>1772</v>
      </c>
      <c r="S195" t="str">
        <f t="shared" si="20"/>
        <v>S7*0,5</v>
      </c>
      <c r="T195" s="3">
        <f t="shared" si="21"/>
        <v>1.375</v>
      </c>
      <c r="U195" s="1" t="s">
        <v>1772</v>
      </c>
      <c r="V195" t="str">
        <f t="shared" si="22"/>
        <v>S3*0,5</v>
      </c>
      <c r="W195" s="3">
        <f t="shared" si="23"/>
        <v>0.57499999999999996</v>
      </c>
      <c r="AH195" t="s">
        <v>2165</v>
      </c>
      <c r="AI195" t="s">
        <v>1648</v>
      </c>
      <c r="AJ195">
        <v>0.5</v>
      </c>
    </row>
    <row r="196" spans="1:36" x14ac:dyDescent="0.25">
      <c r="A196" s="6" t="e">
        <f t="shared" si="24"/>
        <v>#N/A</v>
      </c>
      <c r="B196" s="3" t="e">
        <f t="shared" si="18"/>
        <v>#N/A</v>
      </c>
      <c r="C196" s="3" t="e">
        <f t="shared" si="19"/>
        <v>#N/A</v>
      </c>
      <c r="D196" s="3" t="e">
        <f t="shared" si="16"/>
        <v>#N/A</v>
      </c>
      <c r="E196" s="3" t="e">
        <f t="shared" si="17"/>
        <v>#N/A</v>
      </c>
      <c r="O196" s="1" t="s">
        <v>1772</v>
      </c>
      <c r="P196" t="str">
        <f t="shared" si="20"/>
        <v>S8*0,5</v>
      </c>
      <c r="Q196" s="3">
        <f t="shared" si="21"/>
        <v>1.575</v>
      </c>
      <c r="R196" s="1" t="s">
        <v>1772</v>
      </c>
      <c r="S196" t="str">
        <f t="shared" si="20"/>
        <v>S8*0,5</v>
      </c>
      <c r="T196" s="3">
        <f t="shared" si="21"/>
        <v>1.575</v>
      </c>
      <c r="U196" s="1" t="s">
        <v>1772</v>
      </c>
      <c r="V196" t="str">
        <f t="shared" si="22"/>
        <v>SC3*0,5</v>
      </c>
      <c r="W196" s="3">
        <f t="shared" si="23"/>
        <v>1.2</v>
      </c>
      <c r="AH196" t="s">
        <v>2166</v>
      </c>
      <c r="AI196" t="s">
        <v>1649</v>
      </c>
      <c r="AJ196">
        <v>0.5</v>
      </c>
    </row>
    <row r="197" spans="1:36" x14ac:dyDescent="0.25">
      <c r="A197" s="6" t="e">
        <f t="shared" si="24"/>
        <v>#N/A</v>
      </c>
      <c r="B197" s="3" t="e">
        <f t="shared" si="18"/>
        <v>#N/A</v>
      </c>
      <c r="C197" s="3" t="e">
        <f t="shared" si="19"/>
        <v>#N/A</v>
      </c>
      <c r="D197" s="3" t="e">
        <f t="shared" ref="D197:D260" si="25">IF($D$1="Team",IF(AD196="","",AD196),"")</f>
        <v>#N/A</v>
      </c>
      <c r="E197" s="3" t="e">
        <f t="shared" ref="E197:E260" si="26">IF($D$1="Team",IF(AE196="","",AE196),"")</f>
        <v>#N/A</v>
      </c>
      <c r="O197" s="1" t="s">
        <v>1772</v>
      </c>
      <c r="P197" t="str">
        <f t="shared" si="20"/>
        <v>S9*0,5</v>
      </c>
      <c r="Q197" s="3">
        <f t="shared" si="21"/>
        <v>1.7749999999999999</v>
      </c>
      <c r="R197" s="1" t="s">
        <v>1772</v>
      </c>
      <c r="S197" t="str">
        <f t="shared" si="20"/>
        <v>S9*0,5</v>
      </c>
      <c r="T197" s="3">
        <f t="shared" si="21"/>
        <v>1.7749999999999999</v>
      </c>
      <c r="U197" s="1" t="s">
        <v>1772</v>
      </c>
      <c r="V197" t="str">
        <f t="shared" si="22"/>
        <v>SCD3*0,5</v>
      </c>
      <c r="W197" s="3">
        <f t="shared" si="23"/>
        <v>1.2250000000000001</v>
      </c>
      <c r="AH197" t="s">
        <v>2167</v>
      </c>
      <c r="AI197" t="s">
        <v>1650</v>
      </c>
      <c r="AJ197">
        <v>0.5</v>
      </c>
    </row>
    <row r="198" spans="1:36" x14ac:dyDescent="0.25">
      <c r="A198" s="6" t="e">
        <f t="shared" si="24"/>
        <v>#N/A</v>
      </c>
      <c r="B198" s="3" t="e">
        <f t="shared" si="18"/>
        <v>#N/A</v>
      </c>
      <c r="C198" s="3" t="e">
        <f t="shared" si="19"/>
        <v>#N/A</v>
      </c>
      <c r="D198" s="3" t="e">
        <f t="shared" si="25"/>
        <v>#N/A</v>
      </c>
      <c r="E198" s="3" t="e">
        <f t="shared" si="26"/>
        <v>#N/A</v>
      </c>
      <c r="O198" s="1" t="s">
        <v>1772</v>
      </c>
      <c r="P198" t="str">
        <f t="shared" si="20"/>
        <v>S10*0,5</v>
      </c>
      <c r="Q198" s="3">
        <f t="shared" si="21"/>
        <v>1.9750000000000001</v>
      </c>
      <c r="R198" s="1" t="s">
        <v>1772</v>
      </c>
      <c r="S198" t="str">
        <f t="shared" si="20"/>
        <v>S10*0,5</v>
      </c>
      <c r="T198" s="3">
        <f t="shared" si="21"/>
        <v>1.9750000000000001</v>
      </c>
      <c r="U198" s="1" t="s">
        <v>1772</v>
      </c>
      <c r="V198" t="str">
        <f t="shared" si="22"/>
        <v>S4*0,5</v>
      </c>
      <c r="W198" s="3">
        <f t="shared" si="23"/>
        <v>0.77500000000000002</v>
      </c>
      <c r="AH198" t="s">
        <v>2168</v>
      </c>
      <c r="AI198" t="s">
        <v>1651</v>
      </c>
      <c r="AJ198">
        <v>0.5</v>
      </c>
    </row>
    <row r="199" spans="1:36" x14ac:dyDescent="0.25">
      <c r="A199" s="6" t="e">
        <f t="shared" si="24"/>
        <v>#N/A</v>
      </c>
      <c r="B199" s="3" t="e">
        <f t="shared" si="18"/>
        <v>#N/A</v>
      </c>
      <c r="C199" s="3" t="e">
        <f t="shared" si="19"/>
        <v>#N/A</v>
      </c>
      <c r="D199" s="3" t="e">
        <f t="shared" si="25"/>
        <v>#N/A</v>
      </c>
      <c r="E199" s="3" t="e">
        <f t="shared" si="26"/>
        <v>#N/A</v>
      </c>
      <c r="O199" s="1" t="s">
        <v>1773</v>
      </c>
      <c r="P199" t="str">
        <f t="shared" si="20"/>
        <v>RB*0,5</v>
      </c>
      <c r="Q199" s="3">
        <f t="shared" si="21"/>
        <v>0.05</v>
      </c>
      <c r="R199" s="1" t="s">
        <v>1773</v>
      </c>
      <c r="S199" t="str">
        <f t="shared" si="20"/>
        <v>RB*0,5</v>
      </c>
      <c r="T199" s="3">
        <f t="shared" si="21"/>
        <v>0.05</v>
      </c>
      <c r="U199" s="1" t="s">
        <v>1772</v>
      </c>
      <c r="V199" t="str">
        <f t="shared" si="22"/>
        <v>SC4*0,5</v>
      </c>
      <c r="W199" s="3">
        <f t="shared" si="23"/>
        <v>1.6</v>
      </c>
      <c r="AH199" t="s">
        <v>2169</v>
      </c>
      <c r="AI199" t="s">
        <v>1652</v>
      </c>
      <c r="AJ199">
        <v>0.5</v>
      </c>
    </row>
    <row r="200" spans="1:36" x14ac:dyDescent="0.25">
      <c r="A200" s="6" t="e">
        <f t="shared" si="24"/>
        <v>#N/A</v>
      </c>
      <c r="B200" s="3" t="e">
        <f t="shared" si="18"/>
        <v>#N/A</v>
      </c>
      <c r="C200" s="3" t="e">
        <f t="shared" si="19"/>
        <v>#N/A</v>
      </c>
      <c r="D200" s="3" t="e">
        <f t="shared" si="25"/>
        <v>#N/A</v>
      </c>
      <c r="E200" s="3" t="e">
        <f t="shared" si="26"/>
        <v>#N/A</v>
      </c>
      <c r="O200" s="1" t="s">
        <v>1773</v>
      </c>
      <c r="P200" t="str">
        <f t="shared" si="20"/>
        <v>1RB*0,5</v>
      </c>
      <c r="Q200" s="3">
        <f t="shared" si="21"/>
        <v>7.4999999999999997E-2</v>
      </c>
      <c r="R200" s="1" t="s">
        <v>1773</v>
      </c>
      <c r="S200" t="str">
        <f t="shared" si="20"/>
        <v>1RB*0,5</v>
      </c>
      <c r="T200" s="3">
        <f t="shared" si="21"/>
        <v>7.4999999999999997E-2</v>
      </c>
      <c r="U200" s="1" t="s">
        <v>1772</v>
      </c>
      <c r="V200" t="str">
        <f t="shared" si="22"/>
        <v>SCD4*0,5</v>
      </c>
      <c r="W200" s="3">
        <f t="shared" si="23"/>
        <v>1.625</v>
      </c>
      <c r="AH200" t="s">
        <v>2170</v>
      </c>
      <c r="AI200" t="s">
        <v>1653</v>
      </c>
      <c r="AJ200">
        <v>0.5</v>
      </c>
    </row>
    <row r="201" spans="1:36" x14ac:dyDescent="0.25">
      <c r="A201" s="6" t="e">
        <f t="shared" si="24"/>
        <v>#N/A</v>
      </c>
      <c r="B201" s="3" t="e">
        <f t="shared" ref="B201:B264" si="27">IF($B$1="Solo",IF(M200="","",M200),IF($B$1="Duet",IF(P200="","",P200),IF($B$1="Mixed",IF(S200="","",S200),IF(V200="","",V200))))</f>
        <v>#N/A</v>
      </c>
      <c r="C201" s="3" t="e">
        <f t="shared" ref="C201:C264" si="28">IF($B$1="Solo",IF(N200="","",N200),IF($B$1="Duet",IF(Q200="","",Q200),IF($B$1="Mixed",IF(T200="","",T200),IF(W200="","",W200))))</f>
        <v>#N/A</v>
      </c>
      <c r="D201" s="3" t="e">
        <f t="shared" si="25"/>
        <v>#N/A</v>
      </c>
      <c r="E201" s="3" t="e">
        <f t="shared" si="26"/>
        <v>#N/A</v>
      </c>
      <c r="O201" s="1" t="s">
        <v>1773</v>
      </c>
      <c r="P201" t="str">
        <f t="shared" si="20"/>
        <v>2RB*0,5</v>
      </c>
      <c r="Q201" s="3">
        <f t="shared" si="21"/>
        <v>0.1</v>
      </c>
      <c r="R201" s="1" t="s">
        <v>1773</v>
      </c>
      <c r="S201" t="str">
        <f t="shared" si="20"/>
        <v>2RB*0,5</v>
      </c>
      <c r="T201" s="3">
        <f t="shared" si="21"/>
        <v>0.1</v>
      </c>
      <c r="U201" s="1" t="s">
        <v>1772</v>
      </c>
      <c r="V201" t="str">
        <f t="shared" si="22"/>
        <v>S5*0,5</v>
      </c>
      <c r="W201" s="3">
        <f t="shared" si="23"/>
        <v>0.97499999999999998</v>
      </c>
      <c r="AH201" t="s">
        <v>2171</v>
      </c>
      <c r="AI201" t="s">
        <v>1654</v>
      </c>
      <c r="AJ201">
        <v>0.5</v>
      </c>
    </row>
    <row r="202" spans="1:36" x14ac:dyDescent="0.25">
      <c r="A202" s="6" t="e">
        <f t="shared" si="24"/>
        <v>#N/A</v>
      </c>
      <c r="B202" s="3" t="e">
        <f t="shared" si="27"/>
        <v>#N/A</v>
      </c>
      <c r="C202" s="3" t="e">
        <f t="shared" si="28"/>
        <v>#N/A</v>
      </c>
      <c r="D202" s="3" t="e">
        <f t="shared" si="25"/>
        <v>#N/A</v>
      </c>
      <c r="E202" s="3" t="e">
        <f t="shared" si="26"/>
        <v>#N/A</v>
      </c>
      <c r="O202" s="1" t="s">
        <v>1773</v>
      </c>
      <c r="P202" t="str">
        <f t="shared" si="20"/>
        <v>ROB*0,5</v>
      </c>
      <c r="Q202" s="3">
        <f t="shared" si="21"/>
        <v>0.125</v>
      </c>
      <c r="R202" s="1" t="s">
        <v>1773</v>
      </c>
      <c r="S202" t="str">
        <f t="shared" si="20"/>
        <v>ROB*0,5</v>
      </c>
      <c r="T202" s="3">
        <f t="shared" si="21"/>
        <v>0.125</v>
      </c>
      <c r="U202" s="1" t="s">
        <v>1772</v>
      </c>
      <c r="V202" t="str">
        <f t="shared" si="22"/>
        <v>SC5*0,5</v>
      </c>
      <c r="W202" s="3">
        <f t="shared" si="23"/>
        <v>2</v>
      </c>
      <c r="AH202" t="s">
        <v>2172</v>
      </c>
      <c r="AI202" t="s">
        <v>1655</v>
      </c>
      <c r="AJ202">
        <v>0.5</v>
      </c>
    </row>
    <row r="203" spans="1:36" x14ac:dyDescent="0.25">
      <c r="A203" s="6" t="e">
        <f t="shared" si="24"/>
        <v>#N/A</v>
      </c>
      <c r="B203" s="3" t="e">
        <f t="shared" si="27"/>
        <v>#N/A</v>
      </c>
      <c r="C203" s="3" t="e">
        <f t="shared" si="28"/>
        <v>#N/A</v>
      </c>
      <c r="D203" s="3" t="e">
        <f t="shared" si="25"/>
        <v>#N/A</v>
      </c>
      <c r="E203" s="3" t="e">
        <f t="shared" si="26"/>
        <v>#N/A</v>
      </c>
      <c r="O203" s="1" t="s">
        <v>1773</v>
      </c>
      <c r="P203" t="str">
        <f t="shared" si="20"/>
        <v>RCB*0,5</v>
      </c>
      <c r="Q203" s="3">
        <f t="shared" si="21"/>
        <v>0.125</v>
      </c>
      <c r="R203" s="1" t="s">
        <v>1773</v>
      </c>
      <c r="S203" t="str">
        <f t="shared" si="20"/>
        <v>RCB*0,5</v>
      </c>
      <c r="T203" s="3">
        <f t="shared" si="21"/>
        <v>0.125</v>
      </c>
      <c r="U203" s="1" t="s">
        <v>1772</v>
      </c>
      <c r="V203" t="str">
        <f t="shared" si="22"/>
        <v>SCD5*0,5</v>
      </c>
      <c r="W203" s="3">
        <f t="shared" si="23"/>
        <v>2.0249999999999999</v>
      </c>
      <c r="AH203" t="s">
        <v>2173</v>
      </c>
      <c r="AI203" t="s">
        <v>1656</v>
      </c>
      <c r="AJ203">
        <v>0.5</v>
      </c>
    </row>
    <row r="204" spans="1:36" x14ac:dyDescent="0.25">
      <c r="A204" s="6" t="e">
        <f t="shared" si="24"/>
        <v>#N/A</v>
      </c>
      <c r="B204" s="3" t="e">
        <f t="shared" si="27"/>
        <v>#N/A</v>
      </c>
      <c r="C204" s="3" t="e">
        <f t="shared" si="28"/>
        <v>#N/A</v>
      </c>
      <c r="D204" s="3" t="e">
        <f t="shared" si="25"/>
        <v>#N/A</v>
      </c>
      <c r="E204" s="3" t="e">
        <f t="shared" si="26"/>
        <v>#N/A</v>
      </c>
      <c r="O204" s="1" t="s">
        <v>1773</v>
      </c>
      <c r="P204" t="str">
        <f t="shared" si="20"/>
        <v>R1*0,5</v>
      </c>
      <c r="Q204" s="3">
        <f t="shared" si="21"/>
        <v>0.1</v>
      </c>
      <c r="R204" s="1" t="s">
        <v>1773</v>
      </c>
      <c r="S204" t="str">
        <f t="shared" si="20"/>
        <v>R1*0,5</v>
      </c>
      <c r="T204" s="3">
        <f t="shared" si="21"/>
        <v>0.1</v>
      </c>
      <c r="U204" s="1" t="s">
        <v>1772</v>
      </c>
      <c r="V204" t="str">
        <f t="shared" si="22"/>
        <v>S6*0,5</v>
      </c>
      <c r="W204" s="3">
        <f t="shared" si="23"/>
        <v>1.175</v>
      </c>
      <c r="AH204" t="s">
        <v>2174</v>
      </c>
      <c r="AI204" t="s">
        <v>1657</v>
      </c>
      <c r="AJ204">
        <v>0.5</v>
      </c>
    </row>
    <row r="205" spans="1:36" x14ac:dyDescent="0.25">
      <c r="A205" s="6" t="e">
        <f t="shared" si="24"/>
        <v>#N/A</v>
      </c>
      <c r="B205" s="3" t="e">
        <f t="shared" si="27"/>
        <v>#N/A</v>
      </c>
      <c r="C205" s="3" t="e">
        <f t="shared" si="28"/>
        <v>#N/A</v>
      </c>
      <c r="D205" s="3" t="e">
        <f t="shared" si="25"/>
        <v>#N/A</v>
      </c>
      <c r="E205" s="3" t="e">
        <f t="shared" si="26"/>
        <v>#N/A</v>
      </c>
      <c r="O205" s="1" t="s">
        <v>1773</v>
      </c>
      <c r="P205" t="str">
        <f t="shared" si="20"/>
        <v>1R1*0,5</v>
      </c>
      <c r="Q205" s="3">
        <f t="shared" si="21"/>
        <v>0.17499999999999999</v>
      </c>
      <c r="R205" s="1" t="s">
        <v>1773</v>
      </c>
      <c r="S205" t="str">
        <f t="shared" si="20"/>
        <v>1R1*0,5</v>
      </c>
      <c r="T205" s="3">
        <f t="shared" si="21"/>
        <v>0.17499999999999999</v>
      </c>
      <c r="U205" s="1" t="s">
        <v>1772</v>
      </c>
      <c r="V205" t="str">
        <f t="shared" si="22"/>
        <v>SC6*0,5</v>
      </c>
      <c r="W205" s="3">
        <f t="shared" si="23"/>
        <v>2.4</v>
      </c>
      <c r="AH205" t="s">
        <v>2175</v>
      </c>
      <c r="AI205" t="s">
        <v>1658</v>
      </c>
      <c r="AJ205">
        <v>0.5</v>
      </c>
    </row>
    <row r="206" spans="1:36" x14ac:dyDescent="0.25">
      <c r="A206" s="6" t="e">
        <f t="shared" si="24"/>
        <v>#N/A</v>
      </c>
      <c r="B206" s="3" t="e">
        <f t="shared" si="27"/>
        <v>#N/A</v>
      </c>
      <c r="C206" s="3" t="e">
        <f t="shared" si="28"/>
        <v>#N/A</v>
      </c>
      <c r="D206" s="3" t="e">
        <f t="shared" si="25"/>
        <v>#N/A</v>
      </c>
      <c r="E206" s="3" t="e">
        <f t="shared" si="26"/>
        <v>#N/A</v>
      </c>
      <c r="O206" s="1" t="s">
        <v>1773</v>
      </c>
      <c r="P206" t="str">
        <f t="shared" si="20"/>
        <v>2R1*0,5</v>
      </c>
      <c r="Q206" s="3">
        <f t="shared" si="21"/>
        <v>0.22500000000000001</v>
      </c>
      <c r="R206" s="1" t="s">
        <v>1773</v>
      </c>
      <c r="S206" t="str">
        <f t="shared" si="20"/>
        <v>2R1*0,5</v>
      </c>
      <c r="T206" s="3">
        <f t="shared" si="21"/>
        <v>0.22500000000000001</v>
      </c>
      <c r="U206" s="1" t="s">
        <v>1772</v>
      </c>
      <c r="V206" t="str">
        <f t="shared" si="22"/>
        <v>SCD6*0,5</v>
      </c>
      <c r="W206" s="3">
        <f t="shared" si="23"/>
        <v>2.4249999999999998</v>
      </c>
      <c r="AH206" t="s">
        <v>2176</v>
      </c>
      <c r="AI206" t="s">
        <v>1659</v>
      </c>
      <c r="AJ206">
        <v>0.5</v>
      </c>
    </row>
    <row r="207" spans="1:36" x14ac:dyDescent="0.25">
      <c r="A207" s="6" t="e">
        <f t="shared" si="24"/>
        <v>#N/A</v>
      </c>
      <c r="B207" s="3" t="e">
        <f t="shared" si="27"/>
        <v>#N/A</v>
      </c>
      <c r="C207" s="3" t="e">
        <f t="shared" si="28"/>
        <v>#N/A</v>
      </c>
      <c r="D207" s="3" t="e">
        <f t="shared" si="25"/>
        <v>#N/A</v>
      </c>
      <c r="E207" s="3" t="e">
        <f t="shared" si="26"/>
        <v>#N/A</v>
      </c>
      <c r="O207" s="1" t="s">
        <v>1773</v>
      </c>
      <c r="P207" t="str">
        <f t="shared" si="20"/>
        <v>RD1*0,5</v>
      </c>
      <c r="Q207" s="3">
        <f t="shared" si="21"/>
        <v>0.25</v>
      </c>
      <c r="R207" s="1" t="s">
        <v>1773</v>
      </c>
      <c r="S207" t="str">
        <f t="shared" si="20"/>
        <v>RD1*0,5</v>
      </c>
      <c r="T207" s="3">
        <f t="shared" si="21"/>
        <v>0.25</v>
      </c>
      <c r="U207" s="1" t="s">
        <v>1772</v>
      </c>
      <c r="V207" t="str">
        <f t="shared" si="22"/>
        <v>S7*0,5</v>
      </c>
      <c r="W207" s="3">
        <f t="shared" si="23"/>
        <v>1.375</v>
      </c>
      <c r="AH207" t="s">
        <v>2177</v>
      </c>
      <c r="AI207" t="s">
        <v>1660</v>
      </c>
      <c r="AJ207">
        <v>0.5</v>
      </c>
    </row>
    <row r="208" spans="1:36" x14ac:dyDescent="0.25">
      <c r="A208" s="6" t="e">
        <f t="shared" si="24"/>
        <v>#N/A</v>
      </c>
      <c r="B208" s="3" t="e">
        <f t="shared" si="27"/>
        <v>#N/A</v>
      </c>
      <c r="C208" s="3" t="e">
        <f t="shared" si="28"/>
        <v>#N/A</v>
      </c>
      <c r="D208" s="3" t="e">
        <f t="shared" si="25"/>
        <v>#N/A</v>
      </c>
      <c r="E208" s="3" t="e">
        <f t="shared" si="26"/>
        <v>#N/A</v>
      </c>
      <c r="O208" s="1" t="s">
        <v>1773</v>
      </c>
      <c r="P208" t="str">
        <f t="shared" si="20"/>
        <v>RU1*0,5</v>
      </c>
      <c r="Q208" s="3">
        <f t="shared" si="21"/>
        <v>0.27500000000000002</v>
      </c>
      <c r="R208" s="1" t="s">
        <v>1773</v>
      </c>
      <c r="S208" t="str">
        <f t="shared" si="20"/>
        <v>RU1*0,5</v>
      </c>
      <c r="T208" s="3">
        <f t="shared" si="21"/>
        <v>0.27500000000000002</v>
      </c>
      <c r="U208" s="1" t="s">
        <v>1772</v>
      </c>
      <c r="V208" t="str">
        <f t="shared" si="22"/>
        <v>S8*0,5</v>
      </c>
      <c r="W208" s="3">
        <f t="shared" si="23"/>
        <v>1.575</v>
      </c>
      <c r="AH208" t="s">
        <v>2178</v>
      </c>
      <c r="AI208" t="s">
        <v>1661</v>
      </c>
      <c r="AJ208">
        <v>0.5</v>
      </c>
    </row>
    <row r="209" spans="1:36" x14ac:dyDescent="0.25">
      <c r="A209" s="6" t="e">
        <f t="shared" si="24"/>
        <v>#N/A</v>
      </c>
      <c r="B209" s="3" t="e">
        <f t="shared" si="27"/>
        <v>#N/A</v>
      </c>
      <c r="C209" s="3" t="e">
        <f t="shared" si="28"/>
        <v>#N/A</v>
      </c>
      <c r="D209" s="3" t="e">
        <f t="shared" si="25"/>
        <v>#N/A</v>
      </c>
      <c r="E209" s="3" t="e">
        <f t="shared" si="26"/>
        <v>#N/A</v>
      </c>
      <c r="O209" s="1" t="s">
        <v>1773</v>
      </c>
      <c r="P209" t="str">
        <f t="shared" si="20"/>
        <v>RO1*0,5</v>
      </c>
      <c r="Q209" s="3">
        <f t="shared" si="21"/>
        <v>0.27500000000000002</v>
      </c>
      <c r="R209" s="1" t="s">
        <v>1773</v>
      </c>
      <c r="S209" t="str">
        <f t="shared" si="20"/>
        <v>RO1*0,5</v>
      </c>
      <c r="T209" s="3">
        <f t="shared" si="21"/>
        <v>0.27500000000000002</v>
      </c>
      <c r="U209" s="1" t="s">
        <v>1772</v>
      </c>
      <c r="V209" t="str">
        <f t="shared" si="22"/>
        <v>S9*0,5</v>
      </c>
      <c r="W209" s="3">
        <f t="shared" si="23"/>
        <v>1.7749999999999999</v>
      </c>
      <c r="AH209" t="s">
        <v>2179</v>
      </c>
      <c r="AI209" t="s">
        <v>1662</v>
      </c>
      <c r="AJ209">
        <v>0.5</v>
      </c>
    </row>
    <row r="210" spans="1:36" x14ac:dyDescent="0.25">
      <c r="A210" s="6" t="e">
        <f t="shared" si="24"/>
        <v>#N/A</v>
      </c>
      <c r="B210" s="3" t="e">
        <f t="shared" si="27"/>
        <v>#N/A</v>
      </c>
      <c r="C210" s="3" t="e">
        <f t="shared" si="28"/>
        <v>#N/A</v>
      </c>
      <c r="D210" s="3" t="e">
        <f t="shared" si="25"/>
        <v>#N/A</v>
      </c>
      <c r="E210" s="3" t="e">
        <f t="shared" si="26"/>
        <v>#N/A</v>
      </c>
      <c r="O210" s="1" t="s">
        <v>1773</v>
      </c>
      <c r="P210" t="str">
        <f t="shared" si="20"/>
        <v>RC1*0,5</v>
      </c>
      <c r="Q210" s="3">
        <f t="shared" si="21"/>
        <v>0.27500000000000002</v>
      </c>
      <c r="R210" s="1" t="s">
        <v>1773</v>
      </c>
      <c r="S210" t="str">
        <f t="shared" si="20"/>
        <v>RC1*0,5</v>
      </c>
      <c r="T210" s="3">
        <f t="shared" si="21"/>
        <v>0.27500000000000002</v>
      </c>
      <c r="U210" s="1" t="s">
        <v>1772</v>
      </c>
      <c r="V210" t="str">
        <f t="shared" si="22"/>
        <v>S10*0,5</v>
      </c>
      <c r="W210" s="3">
        <f t="shared" si="23"/>
        <v>1.9750000000000001</v>
      </c>
      <c r="AH210" t="s">
        <v>2180</v>
      </c>
      <c r="AI210" t="s">
        <v>1663</v>
      </c>
      <c r="AJ210">
        <v>0.5</v>
      </c>
    </row>
    <row r="211" spans="1:36" x14ac:dyDescent="0.25">
      <c r="A211" s="6" t="e">
        <f t="shared" si="24"/>
        <v>#N/A</v>
      </c>
      <c r="B211" s="3" t="e">
        <f t="shared" si="27"/>
        <v>#N/A</v>
      </c>
      <c r="C211" s="3" t="e">
        <f t="shared" si="28"/>
        <v>#N/A</v>
      </c>
      <c r="D211" s="3" t="e">
        <f t="shared" si="25"/>
        <v>#N/A</v>
      </c>
      <c r="E211" s="3" t="e">
        <f t="shared" si="26"/>
        <v>#N/A</v>
      </c>
      <c r="O211" s="1" t="s">
        <v>1773</v>
      </c>
      <c r="P211" t="str">
        <f t="shared" si="20"/>
        <v>R2*0,5</v>
      </c>
      <c r="Q211" s="3">
        <f t="shared" si="21"/>
        <v>0.2</v>
      </c>
      <c r="R211" s="1" t="s">
        <v>1773</v>
      </c>
      <c r="S211" t="str">
        <f t="shared" si="20"/>
        <v>R2*0,5</v>
      </c>
      <c r="T211" s="3">
        <f t="shared" si="21"/>
        <v>0.2</v>
      </c>
      <c r="U211" s="1" t="s">
        <v>1773</v>
      </c>
      <c r="V211" t="str">
        <f t="shared" si="22"/>
        <v>RB*0,5</v>
      </c>
      <c r="W211" s="3">
        <f t="shared" si="23"/>
        <v>0.05</v>
      </c>
      <c r="AH211" t="s">
        <v>2181</v>
      </c>
      <c r="AI211" t="s">
        <v>1664</v>
      </c>
      <c r="AJ211">
        <v>0.5</v>
      </c>
    </row>
    <row r="212" spans="1:36" x14ac:dyDescent="0.25">
      <c r="A212" s="6" t="e">
        <f t="shared" si="24"/>
        <v>#N/A</v>
      </c>
      <c r="B212" s="3" t="e">
        <f t="shared" si="27"/>
        <v>#N/A</v>
      </c>
      <c r="C212" s="3" t="e">
        <f t="shared" si="28"/>
        <v>#N/A</v>
      </c>
      <c r="D212" s="3" t="e">
        <f t="shared" si="25"/>
        <v>#N/A</v>
      </c>
      <c r="E212" s="3" t="e">
        <f t="shared" si="26"/>
        <v>#N/A</v>
      </c>
      <c r="O212" s="1" t="s">
        <v>1773</v>
      </c>
      <c r="P212" t="str">
        <f t="shared" si="20"/>
        <v>1R2*0,5</v>
      </c>
      <c r="Q212" s="3">
        <f t="shared" si="21"/>
        <v>0.375</v>
      </c>
      <c r="R212" s="1" t="s">
        <v>1773</v>
      </c>
      <c r="S212" t="str">
        <f t="shared" si="20"/>
        <v>1R2*0,5</v>
      </c>
      <c r="T212" s="3">
        <f t="shared" si="21"/>
        <v>0.375</v>
      </c>
      <c r="U212" s="1" t="s">
        <v>1773</v>
      </c>
      <c r="V212" t="str">
        <f t="shared" si="22"/>
        <v>1RB*0,5</v>
      </c>
      <c r="W212" s="3">
        <f t="shared" si="23"/>
        <v>7.4999999999999997E-2</v>
      </c>
      <c r="AH212" t="s">
        <v>2182</v>
      </c>
      <c r="AI212" t="s">
        <v>1665</v>
      </c>
      <c r="AJ212">
        <v>0.5</v>
      </c>
    </row>
    <row r="213" spans="1:36" x14ac:dyDescent="0.25">
      <c r="A213" s="6" t="e">
        <f t="shared" si="24"/>
        <v>#N/A</v>
      </c>
      <c r="B213" s="3" t="e">
        <f t="shared" si="27"/>
        <v>#N/A</v>
      </c>
      <c r="C213" s="3" t="e">
        <f t="shared" si="28"/>
        <v>#N/A</v>
      </c>
      <c r="D213" s="3" t="e">
        <f t="shared" si="25"/>
        <v>#N/A</v>
      </c>
      <c r="E213" s="3" t="e">
        <f t="shared" si="26"/>
        <v>#N/A</v>
      </c>
      <c r="O213" s="1" t="s">
        <v>1773</v>
      </c>
      <c r="P213" t="str">
        <f t="shared" si="20"/>
        <v>2R2*0,5</v>
      </c>
      <c r="Q213" s="3">
        <f t="shared" si="21"/>
        <v>0.47499999999999998</v>
      </c>
      <c r="R213" s="1" t="s">
        <v>1773</v>
      </c>
      <c r="S213" t="str">
        <f t="shared" si="20"/>
        <v>2R2*0,5</v>
      </c>
      <c r="T213" s="3">
        <f t="shared" si="21"/>
        <v>0.47499999999999998</v>
      </c>
      <c r="U213" s="1" t="s">
        <v>1773</v>
      </c>
      <c r="V213" t="str">
        <f t="shared" si="22"/>
        <v>2RB*0,5</v>
      </c>
      <c r="W213" s="3">
        <f t="shared" si="23"/>
        <v>0.1</v>
      </c>
      <c r="AH213" t="s">
        <v>2183</v>
      </c>
      <c r="AI213" t="s">
        <v>1666</v>
      </c>
      <c r="AJ213">
        <v>0.5</v>
      </c>
    </row>
    <row r="214" spans="1:36" x14ac:dyDescent="0.25">
      <c r="A214" s="6" t="e">
        <f t="shared" si="24"/>
        <v>#N/A</v>
      </c>
      <c r="B214" s="3" t="e">
        <f t="shared" si="27"/>
        <v>#N/A</v>
      </c>
      <c r="C214" s="3" t="e">
        <f t="shared" si="28"/>
        <v>#N/A</v>
      </c>
      <c r="D214" s="3" t="e">
        <f t="shared" si="25"/>
        <v>#N/A</v>
      </c>
      <c r="E214" s="3" t="e">
        <f t="shared" si="26"/>
        <v>#N/A</v>
      </c>
      <c r="O214" s="1" t="s">
        <v>1773</v>
      </c>
      <c r="P214" t="str">
        <f t="shared" ref="P214:S277" si="29">CONCATENATE(P68,"*0,5")</f>
        <v>RD2*0,5</v>
      </c>
      <c r="Q214" s="3">
        <f t="shared" ref="Q214:T277" si="30">Q68*0.5</f>
        <v>0.52500000000000002</v>
      </c>
      <c r="R214" s="1" t="s">
        <v>1773</v>
      </c>
      <c r="S214" t="str">
        <f t="shared" si="29"/>
        <v>RD2*0,5</v>
      </c>
      <c r="T214" s="3">
        <f t="shared" si="30"/>
        <v>0.52500000000000002</v>
      </c>
      <c r="U214" s="1" t="s">
        <v>1773</v>
      </c>
      <c r="V214" t="str">
        <f t="shared" si="22"/>
        <v>ROB*0,5</v>
      </c>
      <c r="W214" s="3">
        <f t="shared" si="23"/>
        <v>0.125</v>
      </c>
      <c r="AH214" t="s">
        <v>2184</v>
      </c>
      <c r="AI214" t="s">
        <v>1804</v>
      </c>
      <c r="AJ214">
        <v>0.5</v>
      </c>
    </row>
    <row r="215" spans="1:36" x14ac:dyDescent="0.25">
      <c r="A215" s="6" t="e">
        <f t="shared" si="24"/>
        <v>#N/A</v>
      </c>
      <c r="B215" s="3" t="e">
        <f t="shared" si="27"/>
        <v>#N/A</v>
      </c>
      <c r="C215" s="3" t="e">
        <f t="shared" si="28"/>
        <v>#N/A</v>
      </c>
      <c r="D215" s="3" t="e">
        <f t="shared" si="25"/>
        <v>#N/A</v>
      </c>
      <c r="E215" s="3" t="e">
        <f t="shared" si="26"/>
        <v>#N/A</v>
      </c>
      <c r="O215" s="1" t="s">
        <v>1773</v>
      </c>
      <c r="P215" t="str">
        <f t="shared" si="29"/>
        <v>RU2*0,5</v>
      </c>
      <c r="Q215" s="3">
        <f t="shared" si="30"/>
        <v>0.57499999999999996</v>
      </c>
      <c r="R215" s="1" t="s">
        <v>1773</v>
      </c>
      <c r="S215" t="str">
        <f t="shared" si="29"/>
        <v>RU2*0,5</v>
      </c>
      <c r="T215" s="3">
        <f t="shared" si="30"/>
        <v>0.57499999999999996</v>
      </c>
      <c r="U215" s="1" t="s">
        <v>1773</v>
      </c>
      <c r="V215" t="str">
        <f t="shared" si="22"/>
        <v>RCB*0,5</v>
      </c>
      <c r="W215" s="3">
        <f t="shared" si="23"/>
        <v>0.125</v>
      </c>
      <c r="AH215" t="s">
        <v>2185</v>
      </c>
      <c r="AI215" t="s">
        <v>1805</v>
      </c>
      <c r="AJ215">
        <v>0.5</v>
      </c>
    </row>
    <row r="216" spans="1:36" x14ac:dyDescent="0.25">
      <c r="A216" s="6" t="e">
        <f t="shared" si="24"/>
        <v>#N/A</v>
      </c>
      <c r="B216" s="3" t="e">
        <f t="shared" si="27"/>
        <v>#N/A</v>
      </c>
      <c r="C216" s="3" t="e">
        <f t="shared" si="28"/>
        <v>#N/A</v>
      </c>
      <c r="D216" s="3" t="e">
        <f t="shared" si="25"/>
        <v>#N/A</v>
      </c>
      <c r="E216" s="3" t="e">
        <f t="shared" si="26"/>
        <v>#N/A</v>
      </c>
      <c r="O216" s="1" t="s">
        <v>1773</v>
      </c>
      <c r="P216" t="str">
        <f t="shared" si="29"/>
        <v>R3*0,5</v>
      </c>
      <c r="Q216" s="3">
        <f t="shared" si="30"/>
        <v>0.3</v>
      </c>
      <c r="R216" s="1" t="s">
        <v>1773</v>
      </c>
      <c r="S216" t="str">
        <f t="shared" si="29"/>
        <v>R3*0,5</v>
      </c>
      <c r="T216" s="3">
        <f t="shared" si="30"/>
        <v>0.3</v>
      </c>
      <c r="U216" s="1" t="s">
        <v>1773</v>
      </c>
      <c r="V216" t="str">
        <f t="shared" si="22"/>
        <v>R1*0,5</v>
      </c>
      <c r="W216" s="3">
        <f t="shared" si="23"/>
        <v>0.1</v>
      </c>
      <c r="AH216" t="s">
        <v>2186</v>
      </c>
      <c r="AI216" t="s">
        <v>60</v>
      </c>
      <c r="AJ216">
        <v>0.5</v>
      </c>
    </row>
    <row r="217" spans="1:36" x14ac:dyDescent="0.25">
      <c r="A217" s="6" t="e">
        <f t="shared" si="24"/>
        <v>#N/A</v>
      </c>
      <c r="B217" s="3" t="e">
        <f t="shared" si="27"/>
        <v>#N/A</v>
      </c>
      <c r="C217" s="3" t="e">
        <f t="shared" si="28"/>
        <v>#N/A</v>
      </c>
      <c r="D217" s="3" t="e">
        <f t="shared" si="25"/>
        <v>#N/A</v>
      </c>
      <c r="E217" s="3" t="e">
        <f t="shared" si="26"/>
        <v>#N/A</v>
      </c>
      <c r="O217" s="1" t="s">
        <v>1773</v>
      </c>
      <c r="P217" t="str">
        <f t="shared" si="29"/>
        <v>1R3*0,5</v>
      </c>
      <c r="Q217" s="3">
        <f t="shared" si="30"/>
        <v>0.57499999999999996</v>
      </c>
      <c r="R217" s="1" t="s">
        <v>1773</v>
      </c>
      <c r="S217" t="str">
        <f t="shared" si="29"/>
        <v>1R3*0,5</v>
      </c>
      <c r="T217" s="3">
        <f t="shared" si="30"/>
        <v>0.57499999999999996</v>
      </c>
      <c r="U217" s="1" t="s">
        <v>1773</v>
      </c>
      <c r="V217" t="str">
        <f t="shared" si="22"/>
        <v>1R1*0,5</v>
      </c>
      <c r="W217" s="3">
        <f t="shared" si="23"/>
        <v>0.17499999999999999</v>
      </c>
      <c r="AH217" t="s">
        <v>2187</v>
      </c>
      <c r="AI217" t="s">
        <v>1667</v>
      </c>
      <c r="AJ217">
        <v>0.5</v>
      </c>
    </row>
    <row r="218" spans="1:36" x14ac:dyDescent="0.25">
      <c r="A218" s="6" t="e">
        <f t="shared" si="24"/>
        <v>#N/A</v>
      </c>
      <c r="B218" s="3" t="e">
        <f t="shared" si="27"/>
        <v>#N/A</v>
      </c>
      <c r="C218" s="3" t="e">
        <f t="shared" si="28"/>
        <v>#N/A</v>
      </c>
      <c r="D218" s="3" t="e">
        <f t="shared" si="25"/>
        <v>#N/A</v>
      </c>
      <c r="E218" s="3" t="e">
        <f t="shared" si="26"/>
        <v>#N/A</v>
      </c>
      <c r="O218" s="1" t="s">
        <v>1773</v>
      </c>
      <c r="P218" t="str">
        <f t="shared" si="29"/>
        <v>2R3*0,5</v>
      </c>
      <c r="Q218" s="3">
        <f t="shared" si="30"/>
        <v>0.72499999999999998</v>
      </c>
      <c r="R218" s="1" t="s">
        <v>1773</v>
      </c>
      <c r="S218" t="str">
        <f t="shared" si="29"/>
        <v>2R3*0,5</v>
      </c>
      <c r="T218" s="3">
        <f t="shared" si="30"/>
        <v>0.72499999999999998</v>
      </c>
      <c r="U218" s="1" t="s">
        <v>1773</v>
      </c>
      <c r="V218" t="str">
        <f t="shared" si="22"/>
        <v>2R1*0,5</v>
      </c>
      <c r="W218" s="3">
        <f t="shared" si="23"/>
        <v>0.22500000000000001</v>
      </c>
      <c r="AH218" t="s">
        <v>2188</v>
      </c>
      <c r="AI218" t="s">
        <v>1668</v>
      </c>
      <c r="AJ218">
        <v>0.5</v>
      </c>
    </row>
    <row r="219" spans="1:36" x14ac:dyDescent="0.25">
      <c r="A219" s="6" t="e">
        <f t="shared" si="24"/>
        <v>#N/A</v>
      </c>
      <c r="B219" s="3" t="e">
        <f t="shared" si="27"/>
        <v>#N/A</v>
      </c>
      <c r="C219" s="3" t="e">
        <f t="shared" si="28"/>
        <v>#N/A</v>
      </c>
      <c r="D219" s="3" t="e">
        <f t="shared" si="25"/>
        <v>#N/A</v>
      </c>
      <c r="E219" s="3" t="e">
        <f t="shared" si="26"/>
        <v>#N/A</v>
      </c>
      <c r="O219" s="1" t="s">
        <v>1773</v>
      </c>
      <c r="P219" t="str">
        <f t="shared" si="29"/>
        <v>RU3*0,5</v>
      </c>
      <c r="Q219" s="3">
        <f t="shared" si="30"/>
        <v>0.875</v>
      </c>
      <c r="R219" s="1" t="s">
        <v>1773</v>
      </c>
      <c r="S219" t="str">
        <f t="shared" si="29"/>
        <v>RU3*0,5</v>
      </c>
      <c r="T219" s="3">
        <f t="shared" si="30"/>
        <v>0.875</v>
      </c>
      <c r="U219" s="1" t="s">
        <v>1773</v>
      </c>
      <c r="V219" t="str">
        <f t="shared" si="22"/>
        <v>RD1*0,5</v>
      </c>
      <c r="W219" s="3">
        <f t="shared" si="23"/>
        <v>0.25</v>
      </c>
      <c r="AH219" t="s">
        <v>2189</v>
      </c>
      <c r="AI219" t="s">
        <v>1669</v>
      </c>
      <c r="AJ219">
        <v>0.5</v>
      </c>
    </row>
    <row r="220" spans="1:36" x14ac:dyDescent="0.25">
      <c r="A220" s="6" t="e">
        <f t="shared" si="24"/>
        <v>#N/A</v>
      </c>
      <c r="B220" s="3" t="e">
        <f t="shared" si="27"/>
        <v>#N/A</v>
      </c>
      <c r="C220" s="3" t="e">
        <f t="shared" si="28"/>
        <v>#N/A</v>
      </c>
      <c r="D220" s="3" t="e">
        <f t="shared" si="25"/>
        <v>#N/A</v>
      </c>
      <c r="E220" s="3" t="e">
        <f t="shared" si="26"/>
        <v>#N/A</v>
      </c>
      <c r="O220" s="1" t="s">
        <v>1773</v>
      </c>
      <c r="P220" t="str">
        <f t="shared" si="29"/>
        <v>R4*0,5</v>
      </c>
      <c r="Q220" s="3">
        <f t="shared" si="30"/>
        <v>0.4</v>
      </c>
      <c r="R220" s="1" t="s">
        <v>1773</v>
      </c>
      <c r="S220" t="str">
        <f t="shared" si="29"/>
        <v>R4*0,5</v>
      </c>
      <c r="T220" s="3">
        <f t="shared" si="30"/>
        <v>0.4</v>
      </c>
      <c r="U220" s="1" t="s">
        <v>1773</v>
      </c>
      <c r="V220" t="str">
        <f t="shared" si="22"/>
        <v>RU1*0,5</v>
      </c>
      <c r="W220" s="3">
        <f t="shared" si="23"/>
        <v>0.27500000000000002</v>
      </c>
      <c r="AH220" t="s">
        <v>2190</v>
      </c>
      <c r="AI220" t="s">
        <v>1670</v>
      </c>
      <c r="AJ220">
        <v>0.5</v>
      </c>
    </row>
    <row r="221" spans="1:36" x14ac:dyDescent="0.25">
      <c r="A221" s="6" t="e">
        <f t="shared" si="24"/>
        <v>#N/A</v>
      </c>
      <c r="B221" s="3" t="e">
        <f t="shared" si="27"/>
        <v>#N/A</v>
      </c>
      <c r="C221" s="3" t="e">
        <f t="shared" si="28"/>
        <v>#N/A</v>
      </c>
      <c r="D221" s="3" t="e">
        <f t="shared" si="25"/>
        <v>#N/A</v>
      </c>
      <c r="E221" s="3" t="e">
        <f t="shared" si="26"/>
        <v>#N/A</v>
      </c>
      <c r="O221" s="1" t="s">
        <v>1773</v>
      </c>
      <c r="P221" t="str">
        <f t="shared" si="29"/>
        <v>1R4*0,5</v>
      </c>
      <c r="Q221" s="3">
        <f t="shared" si="30"/>
        <v>0.77500000000000002</v>
      </c>
      <c r="R221" s="1" t="s">
        <v>1773</v>
      </c>
      <c r="S221" t="str">
        <f t="shared" si="29"/>
        <v>1R4*0,5</v>
      </c>
      <c r="T221" s="3">
        <f t="shared" si="30"/>
        <v>0.77500000000000002</v>
      </c>
      <c r="U221" s="1" t="s">
        <v>1773</v>
      </c>
      <c r="V221" t="str">
        <f t="shared" si="22"/>
        <v>RO1*0,5</v>
      </c>
      <c r="W221" s="3">
        <f t="shared" si="23"/>
        <v>0.27500000000000002</v>
      </c>
      <c r="AH221" t="s">
        <v>2191</v>
      </c>
      <c r="AI221" t="s">
        <v>1671</v>
      </c>
      <c r="AJ221">
        <v>0.5</v>
      </c>
    </row>
    <row r="222" spans="1:36" x14ac:dyDescent="0.25">
      <c r="A222" s="6" t="e">
        <f t="shared" si="24"/>
        <v>#N/A</v>
      </c>
      <c r="B222" s="3" t="e">
        <f t="shared" si="27"/>
        <v>#N/A</v>
      </c>
      <c r="C222" s="3" t="e">
        <f t="shared" si="28"/>
        <v>#N/A</v>
      </c>
      <c r="D222" s="3" t="e">
        <f t="shared" si="25"/>
        <v>#N/A</v>
      </c>
      <c r="E222" s="3" t="e">
        <f t="shared" si="26"/>
        <v>#N/A</v>
      </c>
      <c r="O222" s="1" t="s">
        <v>1773</v>
      </c>
      <c r="P222" t="str">
        <f t="shared" si="29"/>
        <v>2R4*0,5</v>
      </c>
      <c r="Q222" s="3">
        <f t="shared" si="30"/>
        <v>0.97499999999999998</v>
      </c>
      <c r="R222" s="1" t="s">
        <v>1773</v>
      </c>
      <c r="S222" t="str">
        <f t="shared" si="29"/>
        <v>2R4*0,5</v>
      </c>
      <c r="T222" s="3">
        <f t="shared" si="30"/>
        <v>0.97499999999999998</v>
      </c>
      <c r="U222" s="1" t="s">
        <v>1773</v>
      </c>
      <c r="V222" t="str">
        <f t="shared" si="22"/>
        <v>RC1*0,5</v>
      </c>
      <c r="W222" s="3">
        <f t="shared" si="23"/>
        <v>0.27500000000000002</v>
      </c>
      <c r="AH222" t="s">
        <v>2192</v>
      </c>
      <c r="AI222" t="s">
        <v>1672</v>
      </c>
      <c r="AJ222">
        <v>0.5</v>
      </c>
    </row>
    <row r="223" spans="1:36" x14ac:dyDescent="0.25">
      <c r="A223" s="6" t="e">
        <f t="shared" si="24"/>
        <v>#N/A</v>
      </c>
      <c r="B223" s="3" t="e">
        <f t="shared" si="27"/>
        <v>#N/A</v>
      </c>
      <c r="C223" s="3" t="e">
        <f t="shared" si="28"/>
        <v>#N/A</v>
      </c>
      <c r="D223" s="3" t="e">
        <f t="shared" si="25"/>
        <v>#N/A</v>
      </c>
      <c r="E223" s="3" t="e">
        <f t="shared" si="26"/>
        <v>#N/A</v>
      </c>
      <c r="O223" s="1" t="s">
        <v>1773</v>
      </c>
      <c r="P223" t="str">
        <f t="shared" si="29"/>
        <v>RD4*0,5</v>
      </c>
      <c r="Q223" s="3">
        <f t="shared" si="30"/>
        <v>1.075</v>
      </c>
      <c r="R223" s="1" t="s">
        <v>1773</v>
      </c>
      <c r="S223" t="str">
        <f t="shared" si="29"/>
        <v>RD4*0,5</v>
      </c>
      <c r="T223" s="3">
        <f t="shared" si="30"/>
        <v>1.075</v>
      </c>
      <c r="U223" s="1" t="s">
        <v>1773</v>
      </c>
      <c r="V223" t="str">
        <f t="shared" si="22"/>
        <v>R2*0,5</v>
      </c>
      <c r="W223" s="3">
        <f t="shared" si="23"/>
        <v>0.2</v>
      </c>
      <c r="AH223" t="s">
        <v>2193</v>
      </c>
      <c r="AI223" t="s">
        <v>61</v>
      </c>
      <c r="AJ223">
        <v>0.5</v>
      </c>
    </row>
    <row r="224" spans="1:36" x14ac:dyDescent="0.25">
      <c r="A224" s="6" t="e">
        <f t="shared" si="24"/>
        <v>#N/A</v>
      </c>
      <c r="B224" s="3" t="e">
        <f t="shared" si="27"/>
        <v>#N/A</v>
      </c>
      <c r="C224" s="3" t="e">
        <f t="shared" si="28"/>
        <v>#N/A</v>
      </c>
      <c r="D224" s="3" t="e">
        <f t="shared" si="25"/>
        <v>#N/A</v>
      </c>
      <c r="E224" s="3" t="e">
        <f t="shared" si="26"/>
        <v>#N/A</v>
      </c>
      <c r="O224" s="1" t="s">
        <v>1773</v>
      </c>
      <c r="P224" t="str">
        <f t="shared" si="29"/>
        <v>RU4*0,5</v>
      </c>
      <c r="Q224" s="3">
        <f t="shared" si="30"/>
        <v>1.175</v>
      </c>
      <c r="R224" s="1" t="s">
        <v>1773</v>
      </c>
      <c r="S224" t="str">
        <f t="shared" si="29"/>
        <v>RU4*0,5</v>
      </c>
      <c r="T224" s="3">
        <f t="shared" si="30"/>
        <v>1.175</v>
      </c>
      <c r="U224" s="1" t="s">
        <v>1773</v>
      </c>
      <c r="V224" t="str">
        <f t="shared" si="22"/>
        <v>1R2*0,5</v>
      </c>
      <c r="W224" s="3">
        <f t="shared" si="23"/>
        <v>0.375</v>
      </c>
      <c r="AH224" t="s">
        <v>2194</v>
      </c>
      <c r="AI224" t="s">
        <v>1673</v>
      </c>
      <c r="AJ224">
        <v>0.5</v>
      </c>
    </row>
    <row r="225" spans="1:36" x14ac:dyDescent="0.25">
      <c r="A225" s="6" t="e">
        <f t="shared" si="24"/>
        <v>#N/A</v>
      </c>
      <c r="B225" s="3" t="e">
        <f t="shared" si="27"/>
        <v>#N/A</v>
      </c>
      <c r="C225" s="3" t="e">
        <f t="shared" si="28"/>
        <v>#N/A</v>
      </c>
      <c r="D225" s="3" t="e">
        <f t="shared" si="25"/>
        <v>#N/A</v>
      </c>
      <c r="E225" s="3" t="e">
        <f t="shared" si="26"/>
        <v>#N/A</v>
      </c>
      <c r="O225" s="1" t="s">
        <v>1773</v>
      </c>
      <c r="P225" t="str">
        <f t="shared" si="29"/>
        <v>1R5*0,5</v>
      </c>
      <c r="Q225" s="3">
        <f t="shared" si="30"/>
        <v>0.97499999999999998</v>
      </c>
      <c r="R225" s="1" t="s">
        <v>1773</v>
      </c>
      <c r="S225" t="str">
        <f t="shared" si="29"/>
        <v>1R5*0,5</v>
      </c>
      <c r="T225" s="3">
        <f t="shared" si="30"/>
        <v>0.97499999999999998</v>
      </c>
      <c r="U225" s="1" t="s">
        <v>1773</v>
      </c>
      <c r="V225" t="str">
        <f t="shared" si="22"/>
        <v>2R2*0,5</v>
      </c>
      <c r="W225" s="3">
        <f t="shared" si="23"/>
        <v>0.47499999999999998</v>
      </c>
      <c r="AH225" t="s">
        <v>2195</v>
      </c>
      <c r="AI225" t="s">
        <v>1674</v>
      </c>
      <c r="AJ225">
        <v>0.5</v>
      </c>
    </row>
    <row r="226" spans="1:36" x14ac:dyDescent="0.25">
      <c r="A226" s="6" t="e">
        <f t="shared" si="24"/>
        <v>#N/A</v>
      </c>
      <c r="B226" s="3" t="e">
        <f t="shared" si="27"/>
        <v>#N/A</v>
      </c>
      <c r="C226" s="3" t="e">
        <f t="shared" si="28"/>
        <v>#N/A</v>
      </c>
      <c r="D226" s="3" t="e">
        <f t="shared" si="25"/>
        <v>#N/A</v>
      </c>
      <c r="E226" s="3" t="e">
        <f t="shared" si="26"/>
        <v>#N/A</v>
      </c>
      <c r="O226" s="1" t="s">
        <v>1773</v>
      </c>
      <c r="P226" t="str">
        <f t="shared" si="29"/>
        <v>2R5*0,5</v>
      </c>
      <c r="Q226" s="3">
        <f t="shared" si="30"/>
        <v>1.2250000000000001</v>
      </c>
      <c r="R226" s="1" t="s">
        <v>1773</v>
      </c>
      <c r="S226" t="str">
        <f t="shared" si="29"/>
        <v>2R5*0,5</v>
      </c>
      <c r="T226" s="3">
        <f t="shared" si="30"/>
        <v>1.2250000000000001</v>
      </c>
      <c r="U226" s="1" t="s">
        <v>1773</v>
      </c>
      <c r="V226" t="str">
        <f t="shared" ref="V226:V289" si="31">CONCATENATE(V68,"*0,5")</f>
        <v>RD2*0,5</v>
      </c>
      <c r="W226" s="3">
        <f t="shared" ref="W226:W289" si="32">W68*0.5</f>
        <v>0.52500000000000002</v>
      </c>
      <c r="AH226" t="s">
        <v>2196</v>
      </c>
      <c r="AI226" t="s">
        <v>1675</v>
      </c>
      <c r="AJ226">
        <v>0.5</v>
      </c>
    </row>
    <row r="227" spans="1:36" x14ac:dyDescent="0.25">
      <c r="A227" s="6" t="e">
        <f t="shared" si="24"/>
        <v>#N/A</v>
      </c>
      <c r="B227" s="3" t="e">
        <f t="shared" si="27"/>
        <v>#N/A</v>
      </c>
      <c r="C227" s="3" t="e">
        <f t="shared" si="28"/>
        <v>#N/A</v>
      </c>
      <c r="D227" s="3" t="e">
        <f t="shared" si="25"/>
        <v>#N/A</v>
      </c>
      <c r="E227" s="3" t="e">
        <f t="shared" si="26"/>
        <v>#N/A</v>
      </c>
      <c r="O227" s="1" t="s">
        <v>1773</v>
      </c>
      <c r="P227" t="str">
        <f t="shared" si="29"/>
        <v>RU5*0,5</v>
      </c>
      <c r="Q227" s="3">
        <f t="shared" si="30"/>
        <v>1.4750000000000001</v>
      </c>
      <c r="R227" s="1" t="s">
        <v>1773</v>
      </c>
      <c r="S227" t="str">
        <f t="shared" si="29"/>
        <v>RU5*0,5</v>
      </c>
      <c r="T227" s="3">
        <f t="shared" si="30"/>
        <v>1.4750000000000001</v>
      </c>
      <c r="U227" s="1" t="s">
        <v>1773</v>
      </c>
      <c r="V227" t="str">
        <f t="shared" si="31"/>
        <v>RU2*0,5</v>
      </c>
      <c r="W227" s="3">
        <f t="shared" si="32"/>
        <v>0.57499999999999996</v>
      </c>
      <c r="AH227" t="s">
        <v>2197</v>
      </c>
      <c r="AI227" t="s">
        <v>1676</v>
      </c>
      <c r="AJ227">
        <v>0.5</v>
      </c>
    </row>
    <row r="228" spans="1:36" x14ac:dyDescent="0.25">
      <c r="A228" s="6" t="e">
        <f t="shared" ref="A228:A291" si="33">IF($B$1="Solo",IF(L227="","",L227),IF($B$1="Duet",IF(O227="","",O227),IF($B$1="Mixed",IF(R227="","",R227),IF(U227="","",U227))))</f>
        <v>#N/A</v>
      </c>
      <c r="B228" s="3" t="e">
        <f t="shared" si="27"/>
        <v>#N/A</v>
      </c>
      <c r="C228" s="3" t="e">
        <f t="shared" si="28"/>
        <v>#N/A</v>
      </c>
      <c r="D228" s="3" t="e">
        <f t="shared" si="25"/>
        <v>#N/A</v>
      </c>
      <c r="E228" s="3" t="e">
        <f t="shared" si="26"/>
        <v>#N/A</v>
      </c>
      <c r="O228" s="1" t="s">
        <v>1773</v>
      </c>
      <c r="P228" t="str">
        <f t="shared" si="29"/>
        <v>1R6*0,5</v>
      </c>
      <c r="Q228" s="3">
        <f t="shared" si="30"/>
        <v>1.175</v>
      </c>
      <c r="R228" s="1" t="s">
        <v>1773</v>
      </c>
      <c r="S228" t="str">
        <f t="shared" si="29"/>
        <v>1R6*0,5</v>
      </c>
      <c r="T228" s="3">
        <f t="shared" si="30"/>
        <v>1.175</v>
      </c>
      <c r="U228" s="1" t="s">
        <v>1773</v>
      </c>
      <c r="V228" t="str">
        <f t="shared" si="31"/>
        <v>R3*0,5</v>
      </c>
      <c r="W228" s="3">
        <f t="shared" si="32"/>
        <v>0.3</v>
      </c>
      <c r="AH228" t="s">
        <v>2198</v>
      </c>
      <c r="AI228" t="s">
        <v>62</v>
      </c>
      <c r="AJ228">
        <v>0.5</v>
      </c>
    </row>
    <row r="229" spans="1:36" x14ac:dyDescent="0.25">
      <c r="A229" s="6" t="e">
        <f t="shared" si="33"/>
        <v>#N/A</v>
      </c>
      <c r="B229" s="3" t="e">
        <f t="shared" si="27"/>
        <v>#N/A</v>
      </c>
      <c r="C229" s="3" t="e">
        <f t="shared" si="28"/>
        <v>#N/A</v>
      </c>
      <c r="D229" s="3" t="e">
        <f t="shared" si="25"/>
        <v>#N/A</v>
      </c>
      <c r="E229" s="3" t="e">
        <f t="shared" si="26"/>
        <v>#N/A</v>
      </c>
      <c r="O229" s="1" t="s">
        <v>1773</v>
      </c>
      <c r="P229" t="str">
        <f t="shared" si="29"/>
        <v>2R6*0,5</v>
      </c>
      <c r="Q229" s="3">
        <f t="shared" si="30"/>
        <v>1.4750000000000001</v>
      </c>
      <c r="R229" s="1" t="s">
        <v>1773</v>
      </c>
      <c r="S229" t="str">
        <f t="shared" si="29"/>
        <v>2R6*0,5</v>
      </c>
      <c r="T229" s="3">
        <f t="shared" si="30"/>
        <v>1.4750000000000001</v>
      </c>
      <c r="U229" s="1" t="s">
        <v>1773</v>
      </c>
      <c r="V229" t="str">
        <f t="shared" si="31"/>
        <v>1R3*0,5</v>
      </c>
      <c r="W229" s="3">
        <f t="shared" si="32"/>
        <v>0.57499999999999996</v>
      </c>
      <c r="AH229" t="s">
        <v>2199</v>
      </c>
      <c r="AI229" t="s">
        <v>1677</v>
      </c>
      <c r="AJ229">
        <v>0.5</v>
      </c>
    </row>
    <row r="230" spans="1:36" x14ac:dyDescent="0.25">
      <c r="A230" s="6" t="e">
        <f t="shared" si="33"/>
        <v>#N/A</v>
      </c>
      <c r="B230" s="3" t="e">
        <f t="shared" si="27"/>
        <v>#N/A</v>
      </c>
      <c r="C230" s="3" t="e">
        <f t="shared" si="28"/>
        <v>#N/A</v>
      </c>
      <c r="D230" s="3" t="e">
        <f t="shared" si="25"/>
        <v>#N/A</v>
      </c>
      <c r="E230" s="3" t="e">
        <f t="shared" si="26"/>
        <v>#N/A</v>
      </c>
      <c r="O230" s="1" t="s">
        <v>1773</v>
      </c>
      <c r="P230" t="str">
        <f t="shared" si="29"/>
        <v>RD6*0,5</v>
      </c>
      <c r="Q230" s="3">
        <f t="shared" si="30"/>
        <v>1.675</v>
      </c>
      <c r="R230" s="1" t="s">
        <v>1773</v>
      </c>
      <c r="S230" t="str">
        <f t="shared" si="29"/>
        <v>RD6*0,5</v>
      </c>
      <c r="T230" s="3">
        <f t="shared" si="30"/>
        <v>1.675</v>
      </c>
      <c r="U230" s="1" t="s">
        <v>1773</v>
      </c>
      <c r="V230" t="str">
        <f t="shared" si="31"/>
        <v>2R3*0,5</v>
      </c>
      <c r="W230" s="3">
        <f t="shared" si="32"/>
        <v>0.72499999999999998</v>
      </c>
      <c r="AH230" t="s">
        <v>2200</v>
      </c>
      <c r="AI230" t="s">
        <v>1678</v>
      </c>
      <c r="AJ230">
        <v>0.5</v>
      </c>
    </row>
    <row r="231" spans="1:36" x14ac:dyDescent="0.25">
      <c r="A231" s="6" t="e">
        <f t="shared" si="33"/>
        <v>#N/A</v>
      </c>
      <c r="B231" s="3" t="e">
        <f t="shared" si="27"/>
        <v>#N/A</v>
      </c>
      <c r="C231" s="3" t="e">
        <f t="shared" si="28"/>
        <v>#N/A</v>
      </c>
      <c r="D231" s="3" t="e">
        <f t="shared" si="25"/>
        <v>#N/A</v>
      </c>
      <c r="E231" s="3" t="e">
        <f t="shared" si="26"/>
        <v>#N/A</v>
      </c>
      <c r="O231" s="1" t="s">
        <v>1773</v>
      </c>
      <c r="P231" t="str">
        <f t="shared" si="29"/>
        <v>RU6*0,5</v>
      </c>
      <c r="Q231" s="3">
        <f t="shared" si="30"/>
        <v>1.7749999999999999</v>
      </c>
      <c r="R231" s="1" t="s">
        <v>1773</v>
      </c>
      <c r="S231" t="str">
        <f t="shared" si="29"/>
        <v>RU6*0,5</v>
      </c>
      <c r="T231" s="3">
        <f t="shared" si="30"/>
        <v>1.7749999999999999</v>
      </c>
      <c r="U231" s="1" t="s">
        <v>1773</v>
      </c>
      <c r="V231" t="str">
        <f t="shared" si="31"/>
        <v>RU3*0,5</v>
      </c>
      <c r="W231" s="3">
        <f t="shared" si="32"/>
        <v>0.875</v>
      </c>
      <c r="AH231" t="s">
        <v>2201</v>
      </c>
      <c r="AI231" t="s">
        <v>1679</v>
      </c>
      <c r="AJ231">
        <v>0.5</v>
      </c>
    </row>
    <row r="232" spans="1:36" x14ac:dyDescent="0.25">
      <c r="A232" s="6" t="e">
        <f t="shared" si="33"/>
        <v>#N/A</v>
      </c>
      <c r="B232" s="3" t="e">
        <f t="shared" si="27"/>
        <v>#N/A</v>
      </c>
      <c r="C232" s="3" t="e">
        <f t="shared" si="28"/>
        <v>#N/A</v>
      </c>
      <c r="D232" s="3" t="e">
        <f t="shared" si="25"/>
        <v>#N/A</v>
      </c>
      <c r="E232" s="3" t="e">
        <f t="shared" si="26"/>
        <v>#N/A</v>
      </c>
      <c r="O232" s="1" t="s">
        <v>1773</v>
      </c>
      <c r="P232" t="str">
        <f t="shared" si="29"/>
        <v>2R7*0,5</v>
      </c>
      <c r="Q232" s="3">
        <f t="shared" si="30"/>
        <v>1.7250000000000001</v>
      </c>
      <c r="R232" s="1" t="s">
        <v>1773</v>
      </c>
      <c r="S232" t="str">
        <f t="shared" si="29"/>
        <v>2R7*0,5</v>
      </c>
      <c r="T232" s="3">
        <f t="shared" si="30"/>
        <v>1.7250000000000001</v>
      </c>
      <c r="U232" s="1" t="s">
        <v>1773</v>
      </c>
      <c r="V232" t="str">
        <f t="shared" si="31"/>
        <v>R4*0,5</v>
      </c>
      <c r="W232" s="3">
        <f t="shared" si="32"/>
        <v>0.4</v>
      </c>
      <c r="AH232" t="s">
        <v>2202</v>
      </c>
      <c r="AI232" t="s">
        <v>63</v>
      </c>
      <c r="AJ232">
        <v>0.5</v>
      </c>
    </row>
    <row r="233" spans="1:36" x14ac:dyDescent="0.25">
      <c r="A233" s="6" t="e">
        <f t="shared" si="33"/>
        <v>#N/A</v>
      </c>
      <c r="B233" s="3" t="e">
        <f t="shared" si="27"/>
        <v>#N/A</v>
      </c>
      <c r="C233" s="3" t="e">
        <f t="shared" si="28"/>
        <v>#N/A</v>
      </c>
      <c r="D233" s="3" t="e">
        <f t="shared" si="25"/>
        <v>#N/A</v>
      </c>
      <c r="E233" s="3" t="e">
        <f t="shared" si="26"/>
        <v>#N/A</v>
      </c>
      <c r="O233" s="1" t="s">
        <v>1773</v>
      </c>
      <c r="P233" t="str">
        <f t="shared" si="29"/>
        <v>RU7*0,5</v>
      </c>
      <c r="Q233" s="3">
        <f t="shared" si="30"/>
        <v>2.0750000000000002</v>
      </c>
      <c r="R233" s="1" t="s">
        <v>1773</v>
      </c>
      <c r="S233" t="str">
        <f t="shared" si="29"/>
        <v>RU7*0,5</v>
      </c>
      <c r="T233" s="3">
        <f t="shared" si="30"/>
        <v>2.0750000000000002</v>
      </c>
      <c r="U233" s="1" t="s">
        <v>1773</v>
      </c>
      <c r="V233" t="str">
        <f t="shared" si="31"/>
        <v>1R4*0,5</v>
      </c>
      <c r="W233" s="3">
        <f t="shared" si="32"/>
        <v>0.77500000000000002</v>
      </c>
      <c r="AH233" t="s">
        <v>2203</v>
      </c>
      <c r="AI233" t="s">
        <v>1680</v>
      </c>
      <c r="AJ233">
        <v>0.5</v>
      </c>
    </row>
    <row r="234" spans="1:36" x14ac:dyDescent="0.25">
      <c r="A234" s="6" t="e">
        <f t="shared" si="33"/>
        <v>#N/A</v>
      </c>
      <c r="B234" s="3" t="e">
        <f t="shared" si="27"/>
        <v>#N/A</v>
      </c>
      <c r="C234" s="3" t="e">
        <f t="shared" si="28"/>
        <v>#N/A</v>
      </c>
      <c r="D234" s="3" t="e">
        <f t="shared" si="25"/>
        <v>#N/A</v>
      </c>
      <c r="E234" s="3" t="e">
        <f t="shared" si="26"/>
        <v>#N/A</v>
      </c>
      <c r="O234" s="1" t="s">
        <v>1773</v>
      </c>
      <c r="P234" t="str">
        <f t="shared" si="29"/>
        <v>2R8*0,5</v>
      </c>
      <c r="Q234" s="3">
        <f t="shared" si="30"/>
        <v>1.9750000000000001</v>
      </c>
      <c r="R234" s="1" t="s">
        <v>1773</v>
      </c>
      <c r="S234" t="str">
        <f t="shared" si="29"/>
        <v>2R8*0,5</v>
      </c>
      <c r="T234" s="3">
        <f t="shared" si="30"/>
        <v>1.9750000000000001</v>
      </c>
      <c r="U234" s="1" t="s">
        <v>1773</v>
      </c>
      <c r="V234" t="str">
        <f t="shared" si="31"/>
        <v>2R4*0,5</v>
      </c>
      <c r="W234" s="3">
        <f t="shared" si="32"/>
        <v>0.97499999999999998</v>
      </c>
      <c r="AH234" t="s">
        <v>2204</v>
      </c>
      <c r="AI234" t="s">
        <v>1681</v>
      </c>
      <c r="AJ234">
        <v>0.5</v>
      </c>
    </row>
    <row r="235" spans="1:36" x14ac:dyDescent="0.25">
      <c r="A235" s="6" t="e">
        <f t="shared" si="33"/>
        <v>#N/A</v>
      </c>
      <c r="B235" s="3" t="e">
        <f t="shared" si="27"/>
        <v>#N/A</v>
      </c>
      <c r="C235" s="3" t="e">
        <f t="shared" si="28"/>
        <v>#N/A</v>
      </c>
      <c r="D235" s="3" t="e">
        <f t="shared" si="25"/>
        <v>#N/A</v>
      </c>
      <c r="E235" s="3" t="e">
        <f t="shared" si="26"/>
        <v>#N/A</v>
      </c>
      <c r="O235" s="1" t="s">
        <v>1773</v>
      </c>
      <c r="P235" t="str">
        <f t="shared" si="29"/>
        <v>RU8*0,5</v>
      </c>
      <c r="Q235" s="3">
        <f t="shared" si="30"/>
        <v>2.375</v>
      </c>
      <c r="R235" s="1" t="s">
        <v>1773</v>
      </c>
      <c r="S235" t="str">
        <f t="shared" si="29"/>
        <v>RU8*0,5</v>
      </c>
      <c r="T235" s="3">
        <f t="shared" si="30"/>
        <v>2.375</v>
      </c>
      <c r="U235" s="1" t="s">
        <v>1773</v>
      </c>
      <c r="V235" t="str">
        <f t="shared" si="31"/>
        <v>RD4*0,5</v>
      </c>
      <c r="W235" s="3">
        <f t="shared" si="32"/>
        <v>1.075</v>
      </c>
      <c r="AH235" t="s">
        <v>2205</v>
      </c>
      <c r="AI235" t="s">
        <v>1682</v>
      </c>
      <c r="AJ235">
        <v>0.5</v>
      </c>
    </row>
    <row r="236" spans="1:36" x14ac:dyDescent="0.25">
      <c r="A236" s="6" t="e">
        <f t="shared" si="33"/>
        <v>#N/A</v>
      </c>
      <c r="B236" s="3" t="e">
        <f t="shared" si="27"/>
        <v>#N/A</v>
      </c>
      <c r="C236" s="3" t="e">
        <f t="shared" si="28"/>
        <v>#N/A</v>
      </c>
      <c r="D236" s="3" t="e">
        <f t="shared" si="25"/>
        <v>#N/A</v>
      </c>
      <c r="E236" s="3" t="e">
        <f t="shared" si="26"/>
        <v>#N/A</v>
      </c>
      <c r="O236" s="1" t="s">
        <v>1773</v>
      </c>
      <c r="P236" t="str">
        <f t="shared" si="29"/>
        <v>2R9*0,5</v>
      </c>
      <c r="Q236" s="3">
        <f t="shared" si="30"/>
        <v>2.2250000000000001</v>
      </c>
      <c r="R236" s="1" t="s">
        <v>1773</v>
      </c>
      <c r="S236" t="str">
        <f t="shared" si="29"/>
        <v>2R9*0,5</v>
      </c>
      <c r="T236" s="3">
        <f t="shared" si="30"/>
        <v>2.2250000000000001</v>
      </c>
      <c r="U236" s="1" t="s">
        <v>1773</v>
      </c>
      <c r="V236" t="str">
        <f t="shared" si="31"/>
        <v>RU4*0,5</v>
      </c>
      <c r="W236" s="3">
        <f t="shared" si="32"/>
        <v>1.175</v>
      </c>
      <c r="AH236" t="s">
        <v>2206</v>
      </c>
      <c r="AI236" t="s">
        <v>1683</v>
      </c>
      <c r="AJ236">
        <v>0.5</v>
      </c>
    </row>
    <row r="237" spans="1:36" x14ac:dyDescent="0.25">
      <c r="A237" s="6" t="e">
        <f t="shared" si="33"/>
        <v>#N/A</v>
      </c>
      <c r="B237" s="3" t="e">
        <f t="shared" si="27"/>
        <v>#N/A</v>
      </c>
      <c r="C237" s="3" t="e">
        <f t="shared" si="28"/>
        <v>#N/A</v>
      </c>
      <c r="D237" s="3" t="e">
        <f t="shared" si="25"/>
        <v>#N/A</v>
      </c>
      <c r="E237" s="3" t="e">
        <f t="shared" si="26"/>
        <v>#N/A</v>
      </c>
      <c r="O237" s="1" t="s">
        <v>1773</v>
      </c>
      <c r="P237" t="str">
        <f t="shared" si="29"/>
        <v>RU9*0,5</v>
      </c>
      <c r="Q237" s="3">
        <f t="shared" si="30"/>
        <v>2.6749999999999998</v>
      </c>
      <c r="R237" s="1" t="s">
        <v>1773</v>
      </c>
      <c r="S237" t="str">
        <f t="shared" si="29"/>
        <v>RU9*0,5</v>
      </c>
      <c r="T237" s="3">
        <f t="shared" si="30"/>
        <v>2.6749999999999998</v>
      </c>
      <c r="U237" s="1" t="s">
        <v>1773</v>
      </c>
      <c r="V237" t="str">
        <f t="shared" si="31"/>
        <v>1R5*0,5</v>
      </c>
      <c r="W237" s="3">
        <f t="shared" si="32"/>
        <v>0.97499999999999998</v>
      </c>
      <c r="AH237" t="s">
        <v>2207</v>
      </c>
      <c r="AI237" t="s">
        <v>1684</v>
      </c>
      <c r="AJ237">
        <v>0.5</v>
      </c>
    </row>
    <row r="238" spans="1:36" x14ac:dyDescent="0.25">
      <c r="A238" s="6" t="e">
        <f t="shared" si="33"/>
        <v>#N/A</v>
      </c>
      <c r="B238" s="3" t="e">
        <f t="shared" si="27"/>
        <v>#N/A</v>
      </c>
      <c r="C238" s="3" t="e">
        <f t="shared" si="28"/>
        <v>#N/A</v>
      </c>
      <c r="D238" s="3" t="e">
        <f t="shared" si="25"/>
        <v>#N/A</v>
      </c>
      <c r="E238" s="3" t="e">
        <f t="shared" si="26"/>
        <v>#N/A</v>
      </c>
      <c r="O238" s="1" t="s">
        <v>1773</v>
      </c>
      <c r="P238" t="str">
        <f t="shared" si="29"/>
        <v>2R10*0,5</v>
      </c>
      <c r="Q238" s="3">
        <f t="shared" si="30"/>
        <v>2.4750000000000001</v>
      </c>
      <c r="R238" s="1" t="s">
        <v>1773</v>
      </c>
      <c r="S238" t="str">
        <f t="shared" si="29"/>
        <v>2R10*0,5</v>
      </c>
      <c r="T238" s="3">
        <f t="shared" si="30"/>
        <v>2.4750000000000001</v>
      </c>
      <c r="U238" s="1" t="s">
        <v>1773</v>
      </c>
      <c r="V238" t="str">
        <f t="shared" si="31"/>
        <v>2R5*0,5</v>
      </c>
      <c r="W238" s="3">
        <f t="shared" si="32"/>
        <v>1.2250000000000001</v>
      </c>
      <c r="AH238" t="s">
        <v>2208</v>
      </c>
      <c r="AI238" t="s">
        <v>1685</v>
      </c>
      <c r="AJ238">
        <v>0.5</v>
      </c>
    </row>
    <row r="239" spans="1:36" x14ac:dyDescent="0.25">
      <c r="A239" s="6" t="e">
        <f t="shared" si="33"/>
        <v>#N/A</v>
      </c>
      <c r="B239" s="3" t="e">
        <f t="shared" si="27"/>
        <v>#N/A</v>
      </c>
      <c r="C239" s="3" t="e">
        <f t="shared" si="28"/>
        <v>#N/A</v>
      </c>
      <c r="D239" s="3" t="e">
        <f t="shared" si="25"/>
        <v>#N/A</v>
      </c>
      <c r="E239" s="3" t="e">
        <f t="shared" si="26"/>
        <v>#N/A</v>
      </c>
      <c r="O239" s="1" t="s">
        <v>1773</v>
      </c>
      <c r="P239" t="str">
        <f t="shared" si="29"/>
        <v>RU10*0,5</v>
      </c>
      <c r="Q239" s="3">
        <f t="shared" si="30"/>
        <v>2.9750000000000001</v>
      </c>
      <c r="R239" s="1" t="s">
        <v>1773</v>
      </c>
      <c r="S239" t="str">
        <f t="shared" si="29"/>
        <v>RU10*0,5</v>
      </c>
      <c r="T239" s="3">
        <f t="shared" si="30"/>
        <v>2.9750000000000001</v>
      </c>
      <c r="U239" s="1" t="s">
        <v>1773</v>
      </c>
      <c r="V239" t="str">
        <f t="shared" si="31"/>
        <v>RU5*0,5</v>
      </c>
      <c r="W239" s="3">
        <f t="shared" si="32"/>
        <v>1.4750000000000001</v>
      </c>
      <c r="AH239" t="s">
        <v>2209</v>
      </c>
      <c r="AI239" t="s">
        <v>1686</v>
      </c>
      <c r="AJ239">
        <v>0.5</v>
      </c>
    </row>
    <row r="240" spans="1:36" x14ac:dyDescent="0.25">
      <c r="A240" s="6" t="e">
        <f t="shared" si="33"/>
        <v>#N/A</v>
      </c>
      <c r="B240" s="3" t="e">
        <f t="shared" si="27"/>
        <v>#N/A</v>
      </c>
      <c r="C240" s="3" t="e">
        <f t="shared" si="28"/>
        <v>#N/A</v>
      </c>
      <c r="D240" s="3" t="e">
        <f t="shared" si="25"/>
        <v>#N/A</v>
      </c>
      <c r="E240" s="3" t="e">
        <f t="shared" si="26"/>
        <v>#N/A</v>
      </c>
      <c r="O240" s="1" t="s">
        <v>1637</v>
      </c>
      <c r="P240" t="str">
        <f t="shared" si="29"/>
        <v>AB*0,5</v>
      </c>
      <c r="Q240" s="3">
        <f t="shared" si="30"/>
        <v>2.5000000000000001E-2</v>
      </c>
      <c r="R240" s="1" t="s">
        <v>1637</v>
      </c>
      <c r="S240" t="str">
        <f t="shared" si="29"/>
        <v>AB*0,5</v>
      </c>
      <c r="T240" s="3">
        <f t="shared" si="30"/>
        <v>2.5000000000000001E-2</v>
      </c>
      <c r="U240" s="1" t="s">
        <v>1773</v>
      </c>
      <c r="V240" t="str">
        <f t="shared" si="31"/>
        <v>1R6*0,5</v>
      </c>
      <c r="W240" s="3">
        <f t="shared" si="32"/>
        <v>1.175</v>
      </c>
      <c r="AH240" t="s">
        <v>2210</v>
      </c>
      <c r="AI240" t="s">
        <v>1687</v>
      </c>
      <c r="AJ240">
        <v>0.5</v>
      </c>
    </row>
    <row r="241" spans="1:36" x14ac:dyDescent="0.25">
      <c r="A241" s="6" t="e">
        <f t="shared" si="33"/>
        <v>#N/A</v>
      </c>
      <c r="B241" s="3" t="e">
        <f t="shared" si="27"/>
        <v>#N/A</v>
      </c>
      <c r="C241" s="3" t="e">
        <f t="shared" si="28"/>
        <v>#N/A</v>
      </c>
      <c r="D241" s="3" t="e">
        <f t="shared" si="25"/>
        <v>#N/A</v>
      </c>
      <c r="E241" s="3" t="e">
        <f t="shared" si="26"/>
        <v>#N/A</v>
      </c>
      <c r="O241" s="1" t="s">
        <v>1637</v>
      </c>
      <c r="P241" t="str">
        <f t="shared" si="29"/>
        <v>A1a*0,5</v>
      </c>
      <c r="Q241" s="3">
        <f t="shared" si="30"/>
        <v>0.05</v>
      </c>
      <c r="R241" s="1" t="s">
        <v>1637</v>
      </c>
      <c r="S241" t="str">
        <f t="shared" si="29"/>
        <v>A1a*0,5</v>
      </c>
      <c r="T241" s="3">
        <f t="shared" si="30"/>
        <v>0.05</v>
      </c>
      <c r="U241" s="1" t="s">
        <v>1773</v>
      </c>
      <c r="V241" t="str">
        <f t="shared" si="31"/>
        <v>2R6*0,5</v>
      </c>
      <c r="W241" s="3">
        <f t="shared" si="32"/>
        <v>1.4750000000000001</v>
      </c>
      <c r="AH241" t="s">
        <v>2211</v>
      </c>
      <c r="AI241" t="s">
        <v>1688</v>
      </c>
      <c r="AJ241">
        <v>0.5</v>
      </c>
    </row>
    <row r="242" spans="1:36" x14ac:dyDescent="0.25">
      <c r="A242" s="6" t="e">
        <f t="shared" si="33"/>
        <v>#N/A</v>
      </c>
      <c r="B242" s="3" t="e">
        <f t="shared" si="27"/>
        <v>#N/A</v>
      </c>
      <c r="C242" s="3" t="e">
        <f t="shared" si="28"/>
        <v>#N/A</v>
      </c>
      <c r="D242" s="3" t="e">
        <f t="shared" si="25"/>
        <v>#N/A</v>
      </c>
      <c r="E242" s="3" t="e">
        <f t="shared" si="26"/>
        <v>#N/A</v>
      </c>
      <c r="O242" s="1" t="s">
        <v>1637</v>
      </c>
      <c r="P242" t="str">
        <f t="shared" si="29"/>
        <v>A1b*0,5</v>
      </c>
      <c r="Q242" s="3">
        <f t="shared" si="30"/>
        <v>0.05</v>
      </c>
      <c r="R242" s="1" t="s">
        <v>1637</v>
      </c>
      <c r="S242" t="str">
        <f t="shared" si="29"/>
        <v>A1b*0,5</v>
      </c>
      <c r="T242" s="3">
        <f t="shared" si="30"/>
        <v>0.05</v>
      </c>
      <c r="U242" s="1" t="s">
        <v>1773</v>
      </c>
      <c r="V242" t="str">
        <f t="shared" si="31"/>
        <v>RD6*0,5</v>
      </c>
      <c r="W242" s="3">
        <f t="shared" si="32"/>
        <v>1.675</v>
      </c>
      <c r="AH242" t="s">
        <v>2212</v>
      </c>
      <c r="AI242" t="s">
        <v>1689</v>
      </c>
      <c r="AJ242">
        <v>0.5</v>
      </c>
    </row>
    <row r="243" spans="1:36" x14ac:dyDescent="0.25">
      <c r="A243" s="6" t="e">
        <f t="shared" si="33"/>
        <v>#N/A</v>
      </c>
      <c r="B243" s="3" t="e">
        <f t="shared" si="27"/>
        <v>#N/A</v>
      </c>
      <c r="C243" s="3" t="e">
        <f t="shared" si="28"/>
        <v>#N/A</v>
      </c>
      <c r="D243" s="3" t="e">
        <f t="shared" si="25"/>
        <v>#N/A</v>
      </c>
      <c r="E243" s="3" t="e">
        <f t="shared" si="26"/>
        <v>#N/A</v>
      </c>
      <c r="O243" s="1" t="s">
        <v>1637</v>
      </c>
      <c r="P243" t="str">
        <f t="shared" si="29"/>
        <v>A1c*0,5</v>
      </c>
      <c r="Q243" s="3">
        <f t="shared" si="30"/>
        <v>0.05</v>
      </c>
      <c r="R243" s="1" t="s">
        <v>1637</v>
      </c>
      <c r="S243" t="str">
        <f t="shared" si="29"/>
        <v>A1c*0,5</v>
      </c>
      <c r="T243" s="3">
        <f t="shared" si="30"/>
        <v>0.05</v>
      </c>
      <c r="U243" s="1" t="s">
        <v>1773</v>
      </c>
      <c r="V243" t="str">
        <f t="shared" si="31"/>
        <v>RU6*0,5</v>
      </c>
      <c r="W243" s="3">
        <f t="shared" si="32"/>
        <v>1.7749999999999999</v>
      </c>
      <c r="AH243" t="s">
        <v>2213</v>
      </c>
      <c r="AI243" t="s">
        <v>1690</v>
      </c>
      <c r="AJ243">
        <v>0.5</v>
      </c>
    </row>
    <row r="244" spans="1:36" x14ac:dyDescent="0.25">
      <c r="A244" s="6" t="e">
        <f t="shared" si="33"/>
        <v>#N/A</v>
      </c>
      <c r="B244" s="3" t="e">
        <f t="shared" si="27"/>
        <v>#N/A</v>
      </c>
      <c r="C244" s="3" t="e">
        <f t="shared" si="28"/>
        <v>#N/A</v>
      </c>
      <c r="D244" s="3" t="e">
        <f t="shared" si="25"/>
        <v>#N/A</v>
      </c>
      <c r="E244" s="3" t="e">
        <f t="shared" si="26"/>
        <v>#N/A</v>
      </c>
      <c r="O244" s="1" t="s">
        <v>1637</v>
      </c>
      <c r="P244" t="str">
        <f t="shared" si="29"/>
        <v>A1d*0,5</v>
      </c>
      <c r="Q244" s="3">
        <f t="shared" si="30"/>
        <v>0.05</v>
      </c>
      <c r="R244" s="1" t="s">
        <v>1637</v>
      </c>
      <c r="S244" t="str">
        <f t="shared" si="29"/>
        <v>A1d*0,5</v>
      </c>
      <c r="T244" s="3">
        <f t="shared" si="30"/>
        <v>0.05</v>
      </c>
      <c r="U244" s="1" t="s">
        <v>1773</v>
      </c>
      <c r="V244" t="str">
        <f t="shared" si="31"/>
        <v>2R7*0,5</v>
      </c>
      <c r="W244" s="3">
        <f t="shared" si="32"/>
        <v>1.7250000000000001</v>
      </c>
      <c r="AH244" t="s">
        <v>2214</v>
      </c>
      <c r="AI244" t="s">
        <v>1691</v>
      </c>
      <c r="AJ244">
        <v>0.5</v>
      </c>
    </row>
    <row r="245" spans="1:36" x14ac:dyDescent="0.25">
      <c r="A245" s="6" t="e">
        <f t="shared" si="33"/>
        <v>#N/A</v>
      </c>
      <c r="B245" s="3" t="e">
        <f t="shared" si="27"/>
        <v>#N/A</v>
      </c>
      <c r="C245" s="3" t="e">
        <f t="shared" si="28"/>
        <v>#N/A</v>
      </c>
      <c r="D245" s="3" t="e">
        <f t="shared" si="25"/>
        <v>#N/A</v>
      </c>
      <c r="E245" s="3" t="e">
        <f t="shared" si="26"/>
        <v>#N/A</v>
      </c>
      <c r="O245" s="1" t="s">
        <v>1637</v>
      </c>
      <c r="P245" t="str">
        <f t="shared" si="29"/>
        <v>A2a*0,5</v>
      </c>
      <c r="Q245" s="3">
        <f t="shared" si="30"/>
        <v>7.4999999999999997E-2</v>
      </c>
      <c r="R245" s="1" t="s">
        <v>1637</v>
      </c>
      <c r="S245" t="str">
        <f t="shared" si="29"/>
        <v>A2a*0,5</v>
      </c>
      <c r="T245" s="3">
        <f t="shared" si="30"/>
        <v>7.4999999999999997E-2</v>
      </c>
      <c r="U245" s="1" t="s">
        <v>1773</v>
      </c>
      <c r="V245" t="str">
        <f t="shared" si="31"/>
        <v>RU7*0,5</v>
      </c>
      <c r="W245" s="3">
        <f t="shared" si="32"/>
        <v>2.0750000000000002</v>
      </c>
      <c r="AH245" t="s">
        <v>2215</v>
      </c>
      <c r="AI245" t="s">
        <v>1692</v>
      </c>
      <c r="AJ245">
        <v>0.5</v>
      </c>
    </row>
    <row r="246" spans="1:36" x14ac:dyDescent="0.25">
      <c r="A246" s="6" t="e">
        <f t="shared" si="33"/>
        <v>#N/A</v>
      </c>
      <c r="B246" s="3" t="e">
        <f t="shared" si="27"/>
        <v>#N/A</v>
      </c>
      <c r="C246" s="3" t="e">
        <f t="shared" si="28"/>
        <v>#N/A</v>
      </c>
      <c r="D246" s="3" t="e">
        <f t="shared" si="25"/>
        <v>#N/A</v>
      </c>
      <c r="E246" s="3" t="e">
        <f t="shared" si="26"/>
        <v>#N/A</v>
      </c>
      <c r="O246" s="1" t="s">
        <v>1637</v>
      </c>
      <c r="P246" t="str">
        <f t="shared" si="29"/>
        <v>A2b*0,5</v>
      </c>
      <c r="Q246" s="3">
        <f t="shared" si="30"/>
        <v>7.4999999999999997E-2</v>
      </c>
      <c r="R246" s="1" t="s">
        <v>1637</v>
      </c>
      <c r="S246" t="str">
        <f t="shared" si="29"/>
        <v>A2b*0,5</v>
      </c>
      <c r="T246" s="3">
        <f t="shared" si="30"/>
        <v>7.4999999999999997E-2</v>
      </c>
      <c r="U246" s="1" t="s">
        <v>1773</v>
      </c>
      <c r="V246" t="str">
        <f t="shared" si="31"/>
        <v>2R8*0,5</v>
      </c>
      <c r="W246" s="3">
        <f t="shared" si="32"/>
        <v>1.9750000000000001</v>
      </c>
      <c r="AH246" t="s">
        <v>2216</v>
      </c>
      <c r="AI246" t="s">
        <v>1693</v>
      </c>
      <c r="AJ246">
        <v>0.5</v>
      </c>
    </row>
    <row r="247" spans="1:36" x14ac:dyDescent="0.25">
      <c r="A247" s="6" t="e">
        <f t="shared" si="33"/>
        <v>#N/A</v>
      </c>
      <c r="B247" s="3" t="e">
        <f t="shared" si="27"/>
        <v>#N/A</v>
      </c>
      <c r="C247" s="3" t="e">
        <f t="shared" si="28"/>
        <v>#N/A</v>
      </c>
      <c r="D247" s="3" t="e">
        <f t="shared" si="25"/>
        <v>#N/A</v>
      </c>
      <c r="E247" s="3" t="e">
        <f t="shared" si="26"/>
        <v>#N/A</v>
      </c>
      <c r="O247" s="1" t="s">
        <v>1637</v>
      </c>
      <c r="P247" t="str">
        <f t="shared" si="29"/>
        <v>A3a*0,5</v>
      </c>
      <c r="Q247" s="3">
        <f t="shared" si="30"/>
        <v>0.1</v>
      </c>
      <c r="R247" s="1" t="s">
        <v>1637</v>
      </c>
      <c r="S247" t="str">
        <f t="shared" si="29"/>
        <v>A3a*0,5</v>
      </c>
      <c r="T247" s="3">
        <f t="shared" si="30"/>
        <v>0.1</v>
      </c>
      <c r="U247" s="1" t="s">
        <v>1773</v>
      </c>
      <c r="V247" t="str">
        <f t="shared" si="31"/>
        <v>RU8*0,5</v>
      </c>
      <c r="W247" s="3">
        <f t="shared" si="32"/>
        <v>2.375</v>
      </c>
      <c r="AH247" t="s">
        <v>2217</v>
      </c>
      <c r="AI247" t="s">
        <v>1694</v>
      </c>
      <c r="AJ247">
        <v>0.5</v>
      </c>
    </row>
    <row r="248" spans="1:36" x14ac:dyDescent="0.25">
      <c r="A248" s="6" t="e">
        <f t="shared" si="33"/>
        <v>#N/A</v>
      </c>
      <c r="B248" s="3" t="e">
        <f t="shared" si="27"/>
        <v>#N/A</v>
      </c>
      <c r="C248" s="3" t="e">
        <f t="shared" si="28"/>
        <v>#N/A</v>
      </c>
      <c r="D248" s="3" t="e">
        <f t="shared" si="25"/>
        <v>#N/A</v>
      </c>
      <c r="E248" s="3" t="e">
        <f t="shared" si="26"/>
        <v>#N/A</v>
      </c>
      <c r="O248" s="1" t="s">
        <v>1637</v>
      </c>
      <c r="P248" t="str">
        <f t="shared" si="29"/>
        <v>A3b*0,5</v>
      </c>
      <c r="Q248" s="3">
        <f t="shared" si="30"/>
        <v>0.1</v>
      </c>
      <c r="R248" s="1" t="s">
        <v>1637</v>
      </c>
      <c r="S248" t="str">
        <f t="shared" si="29"/>
        <v>A3b*0,5</v>
      </c>
      <c r="T248" s="3">
        <f t="shared" si="30"/>
        <v>0.1</v>
      </c>
      <c r="U248" s="1" t="s">
        <v>1773</v>
      </c>
      <c r="V248" t="str">
        <f t="shared" si="31"/>
        <v>2R9*0,5</v>
      </c>
      <c r="W248" s="3">
        <f t="shared" si="32"/>
        <v>2.2250000000000001</v>
      </c>
      <c r="AH248" t="s">
        <v>2218</v>
      </c>
      <c r="AI248" t="s">
        <v>1695</v>
      </c>
      <c r="AJ248">
        <v>0.5</v>
      </c>
    </row>
    <row r="249" spans="1:36" x14ac:dyDescent="0.25">
      <c r="A249" s="6" t="e">
        <f t="shared" si="33"/>
        <v>#N/A</v>
      </c>
      <c r="B249" s="3" t="e">
        <f t="shared" si="27"/>
        <v>#N/A</v>
      </c>
      <c r="C249" s="3" t="e">
        <f t="shared" si="28"/>
        <v>#N/A</v>
      </c>
      <c r="D249" s="3" t="e">
        <f t="shared" si="25"/>
        <v>#N/A</v>
      </c>
      <c r="E249" s="3" t="e">
        <f t="shared" si="26"/>
        <v>#N/A</v>
      </c>
      <c r="O249" s="1" t="s">
        <v>1637</v>
      </c>
      <c r="P249" t="str">
        <f t="shared" si="29"/>
        <v>A4a*0,5</v>
      </c>
      <c r="Q249" s="3">
        <f t="shared" si="30"/>
        <v>0.22500000000000001</v>
      </c>
      <c r="R249" s="1" t="s">
        <v>1637</v>
      </c>
      <c r="S249" t="str">
        <f t="shared" si="29"/>
        <v>A4a*0,5</v>
      </c>
      <c r="T249" s="3">
        <f t="shared" si="30"/>
        <v>0.22500000000000001</v>
      </c>
      <c r="U249" s="1" t="s">
        <v>1773</v>
      </c>
      <c r="V249" t="str">
        <f t="shared" si="31"/>
        <v>RU9*0,5</v>
      </c>
      <c r="W249" s="3">
        <f t="shared" si="32"/>
        <v>2.6749999999999998</v>
      </c>
      <c r="AH249" t="s">
        <v>2219</v>
      </c>
      <c r="AI249" t="s">
        <v>1696</v>
      </c>
      <c r="AJ249">
        <v>0.5</v>
      </c>
    </row>
    <row r="250" spans="1:36" x14ac:dyDescent="0.25">
      <c r="A250" s="6" t="e">
        <f t="shared" si="33"/>
        <v>#N/A</v>
      </c>
      <c r="B250" s="3" t="e">
        <f t="shared" si="27"/>
        <v>#N/A</v>
      </c>
      <c r="C250" s="3" t="e">
        <f t="shared" si="28"/>
        <v>#N/A</v>
      </c>
      <c r="D250" s="3" t="e">
        <f t="shared" si="25"/>
        <v>#N/A</v>
      </c>
      <c r="E250" s="3" t="e">
        <f t="shared" si="26"/>
        <v>#N/A</v>
      </c>
      <c r="O250" s="1" t="s">
        <v>1637</v>
      </c>
      <c r="P250" t="str">
        <f t="shared" si="29"/>
        <v>A4b*0,5</v>
      </c>
      <c r="Q250" s="3">
        <f t="shared" si="30"/>
        <v>0.22500000000000001</v>
      </c>
      <c r="R250" s="1" t="s">
        <v>1637</v>
      </c>
      <c r="S250" t="str">
        <f t="shared" si="29"/>
        <v>A4b*0,5</v>
      </c>
      <c r="T250" s="3">
        <f t="shared" si="30"/>
        <v>0.22500000000000001</v>
      </c>
      <c r="U250" s="1" t="s">
        <v>1773</v>
      </c>
      <c r="V250" t="str">
        <f t="shared" si="31"/>
        <v>2R10*0,5</v>
      </c>
      <c r="W250" s="3">
        <f t="shared" si="32"/>
        <v>2.4750000000000001</v>
      </c>
      <c r="AH250" t="s">
        <v>2220</v>
      </c>
      <c r="AI250" t="s">
        <v>1697</v>
      </c>
      <c r="AJ250">
        <v>0.5</v>
      </c>
    </row>
    <row r="251" spans="1:36" x14ac:dyDescent="0.25">
      <c r="A251" s="6" t="e">
        <f t="shared" si="33"/>
        <v>#N/A</v>
      </c>
      <c r="B251" s="3" t="e">
        <f t="shared" si="27"/>
        <v>#N/A</v>
      </c>
      <c r="C251" s="3" t="e">
        <f t="shared" si="28"/>
        <v>#N/A</v>
      </c>
      <c r="D251" s="3" t="e">
        <f t="shared" si="25"/>
        <v>#N/A</v>
      </c>
      <c r="E251" s="3" t="e">
        <f t="shared" si="26"/>
        <v>#N/A</v>
      </c>
      <c r="O251" s="1" t="s">
        <v>1637</v>
      </c>
      <c r="P251" t="str">
        <f t="shared" si="29"/>
        <v>A5*0,5</v>
      </c>
      <c r="Q251" s="3">
        <f t="shared" si="30"/>
        <v>0.32500000000000001</v>
      </c>
      <c r="R251" s="1" t="s">
        <v>1637</v>
      </c>
      <c r="S251" t="str">
        <f t="shared" si="29"/>
        <v>A5*0,5</v>
      </c>
      <c r="T251" s="3">
        <f t="shared" si="30"/>
        <v>0.32500000000000001</v>
      </c>
      <c r="U251" s="1" t="s">
        <v>1773</v>
      </c>
      <c r="V251" t="str">
        <f t="shared" si="31"/>
        <v>RU10*0,5</v>
      </c>
      <c r="W251" s="3">
        <f t="shared" si="32"/>
        <v>2.9750000000000001</v>
      </c>
      <c r="AH251" t="s">
        <v>2221</v>
      </c>
      <c r="AI251" t="s">
        <v>1698</v>
      </c>
      <c r="AJ251">
        <v>0.5</v>
      </c>
    </row>
    <row r="252" spans="1:36" x14ac:dyDescent="0.25">
      <c r="A252" s="6" t="e">
        <f t="shared" si="33"/>
        <v>#N/A</v>
      </c>
      <c r="B252" s="3" t="e">
        <f t="shared" si="27"/>
        <v>#N/A</v>
      </c>
      <c r="C252" s="3" t="e">
        <f t="shared" si="28"/>
        <v>#N/A</v>
      </c>
      <c r="D252" s="3" t="e">
        <f t="shared" si="25"/>
        <v>#N/A</v>
      </c>
      <c r="E252" s="3" t="e">
        <f t="shared" si="26"/>
        <v>#N/A</v>
      </c>
      <c r="O252" s="1" t="s">
        <v>1637</v>
      </c>
      <c r="P252" t="str">
        <f t="shared" si="29"/>
        <v>A6*0,5</v>
      </c>
      <c r="Q252" s="3">
        <f t="shared" si="30"/>
        <v>0.57499999999999996</v>
      </c>
      <c r="R252" s="1" t="s">
        <v>1637</v>
      </c>
      <c r="S252" t="str">
        <f t="shared" si="29"/>
        <v>A6*0,5</v>
      </c>
      <c r="T252" s="3">
        <f t="shared" si="30"/>
        <v>0.57499999999999996</v>
      </c>
      <c r="U252" s="1" t="s">
        <v>1637</v>
      </c>
      <c r="V252" t="str">
        <f t="shared" si="31"/>
        <v>AB*0,5</v>
      </c>
      <c r="W252" s="3">
        <f t="shared" si="32"/>
        <v>2.5000000000000001E-2</v>
      </c>
      <c r="AH252" t="s">
        <v>2222</v>
      </c>
      <c r="AI252" t="s">
        <v>1699</v>
      </c>
      <c r="AJ252">
        <v>0.5</v>
      </c>
    </row>
    <row r="253" spans="1:36" x14ac:dyDescent="0.25">
      <c r="A253" s="6" t="e">
        <f t="shared" si="33"/>
        <v>#N/A</v>
      </c>
      <c r="B253" s="3" t="e">
        <f t="shared" si="27"/>
        <v>#N/A</v>
      </c>
      <c r="C253" s="3" t="e">
        <f t="shared" si="28"/>
        <v>#N/A</v>
      </c>
      <c r="D253" s="3" t="e">
        <f t="shared" si="25"/>
        <v>#N/A</v>
      </c>
      <c r="E253" s="3" t="e">
        <f t="shared" si="26"/>
        <v>#N/A</v>
      </c>
      <c r="O253" s="1" t="s">
        <v>1637</v>
      </c>
      <c r="P253" t="str">
        <f t="shared" si="29"/>
        <v>A7*0,5</v>
      </c>
      <c r="Q253" s="3">
        <f t="shared" si="30"/>
        <v>0.72499999999999998</v>
      </c>
      <c r="R253" s="1" t="s">
        <v>1637</v>
      </c>
      <c r="S253" t="str">
        <f t="shared" si="29"/>
        <v>A7*0,5</v>
      </c>
      <c r="T253" s="3">
        <f t="shared" si="30"/>
        <v>0.72499999999999998</v>
      </c>
      <c r="U253" s="1" t="s">
        <v>1637</v>
      </c>
      <c r="V253" t="str">
        <f t="shared" si="31"/>
        <v>A1a*0,5</v>
      </c>
      <c r="W253" s="3">
        <f t="shared" si="32"/>
        <v>0.05</v>
      </c>
      <c r="AH253" t="s">
        <v>2223</v>
      </c>
      <c r="AI253" t="s">
        <v>1806</v>
      </c>
      <c r="AJ253">
        <v>0.5</v>
      </c>
    </row>
    <row r="254" spans="1:36" x14ac:dyDescent="0.25">
      <c r="A254" s="6" t="e">
        <f t="shared" si="33"/>
        <v>#N/A</v>
      </c>
      <c r="B254" s="3" t="e">
        <f t="shared" si="27"/>
        <v>#N/A</v>
      </c>
      <c r="C254" s="3" t="e">
        <f t="shared" si="28"/>
        <v>#N/A</v>
      </c>
      <c r="D254" s="3" t="e">
        <f t="shared" si="25"/>
        <v>#N/A</v>
      </c>
      <c r="E254" s="3" t="e">
        <f t="shared" si="26"/>
        <v>#N/A</v>
      </c>
      <c r="O254" s="1" t="s">
        <v>1637</v>
      </c>
      <c r="P254" t="str">
        <f t="shared" si="29"/>
        <v>A8*0,5</v>
      </c>
      <c r="Q254" s="3">
        <f t="shared" si="30"/>
        <v>0.82499999999999996</v>
      </c>
      <c r="R254" s="1" t="s">
        <v>1637</v>
      </c>
      <c r="S254" t="str">
        <f t="shared" si="29"/>
        <v>A8*0,5</v>
      </c>
      <c r="T254" s="3">
        <f t="shared" si="30"/>
        <v>0.82499999999999996</v>
      </c>
      <c r="U254" s="1" t="s">
        <v>1637</v>
      </c>
      <c r="V254" t="str">
        <f t="shared" si="31"/>
        <v>A1b*0,5</v>
      </c>
      <c r="W254" s="3">
        <f t="shared" si="32"/>
        <v>0.05</v>
      </c>
      <c r="AH254" t="s">
        <v>2224</v>
      </c>
      <c r="AI254" t="s">
        <v>1807</v>
      </c>
      <c r="AJ254">
        <v>0.5</v>
      </c>
    </row>
    <row r="255" spans="1:36" x14ac:dyDescent="0.25">
      <c r="A255" s="6" t="e">
        <f t="shared" si="33"/>
        <v>#N/A</v>
      </c>
      <c r="B255" s="3" t="e">
        <f t="shared" si="27"/>
        <v>#N/A</v>
      </c>
      <c r="C255" s="3" t="e">
        <f t="shared" si="28"/>
        <v>#N/A</v>
      </c>
      <c r="D255" s="3" t="e">
        <f t="shared" si="25"/>
        <v>#N/A</v>
      </c>
      <c r="E255" s="3" t="e">
        <f t="shared" si="26"/>
        <v>#N/A</v>
      </c>
      <c r="O255" s="1" t="s">
        <v>628</v>
      </c>
      <c r="P255" t="str">
        <f t="shared" si="29"/>
        <v>FB*0,5</v>
      </c>
      <c r="Q255" s="3">
        <f t="shared" si="30"/>
        <v>2.5000000000000001E-2</v>
      </c>
      <c r="R255" s="1" t="s">
        <v>628</v>
      </c>
      <c r="S255" t="str">
        <f t="shared" si="29"/>
        <v>FB*0,5</v>
      </c>
      <c r="T255" s="3">
        <f t="shared" si="30"/>
        <v>2.5000000000000001E-2</v>
      </c>
      <c r="U255" s="1" t="s">
        <v>1637</v>
      </c>
      <c r="V255" t="str">
        <f t="shared" si="31"/>
        <v>A1c*0,5</v>
      </c>
      <c r="W255" s="3">
        <f t="shared" si="32"/>
        <v>0.05</v>
      </c>
      <c r="AH255" t="s">
        <v>2225</v>
      </c>
      <c r="AI255" t="s">
        <v>1808</v>
      </c>
      <c r="AJ255">
        <v>0.5</v>
      </c>
    </row>
    <row r="256" spans="1:36" x14ac:dyDescent="0.25">
      <c r="A256" s="6" t="e">
        <f t="shared" si="33"/>
        <v>#N/A</v>
      </c>
      <c r="B256" s="3" t="e">
        <f t="shared" si="27"/>
        <v>#N/A</v>
      </c>
      <c r="C256" s="3" t="e">
        <f t="shared" si="28"/>
        <v>#N/A</v>
      </c>
      <c r="D256" s="3" t="e">
        <f t="shared" si="25"/>
        <v>#N/A</v>
      </c>
      <c r="E256" s="3" t="e">
        <f t="shared" si="26"/>
        <v>#N/A</v>
      </c>
      <c r="O256" s="1" t="s">
        <v>628</v>
      </c>
      <c r="P256" t="str">
        <f t="shared" si="29"/>
        <v>F1a*0,5</v>
      </c>
      <c r="Q256" s="3">
        <f t="shared" si="30"/>
        <v>0.05</v>
      </c>
      <c r="R256" s="1" t="s">
        <v>628</v>
      </c>
      <c r="S256" t="str">
        <f t="shared" si="29"/>
        <v>F1a*0,5</v>
      </c>
      <c r="T256" s="3">
        <f t="shared" si="30"/>
        <v>0.05</v>
      </c>
      <c r="U256" s="1" t="s">
        <v>1637</v>
      </c>
      <c r="V256" t="str">
        <f t="shared" si="31"/>
        <v>A1d*0,5</v>
      </c>
      <c r="W256" s="3">
        <f t="shared" si="32"/>
        <v>0.05</v>
      </c>
      <c r="AH256" t="s">
        <v>2226</v>
      </c>
      <c r="AI256" t="s">
        <v>1809</v>
      </c>
      <c r="AJ256">
        <v>0.5</v>
      </c>
    </row>
    <row r="257" spans="1:36" x14ac:dyDescent="0.25">
      <c r="A257" s="6" t="e">
        <f t="shared" si="33"/>
        <v>#N/A</v>
      </c>
      <c r="B257" s="3" t="e">
        <f t="shared" si="27"/>
        <v>#N/A</v>
      </c>
      <c r="C257" s="3" t="e">
        <f t="shared" si="28"/>
        <v>#N/A</v>
      </c>
      <c r="D257" s="3" t="e">
        <f t="shared" si="25"/>
        <v>#N/A</v>
      </c>
      <c r="E257" s="3" t="e">
        <f t="shared" si="26"/>
        <v>#N/A</v>
      </c>
      <c r="O257" s="1" t="s">
        <v>628</v>
      </c>
      <c r="P257" t="str">
        <f t="shared" si="29"/>
        <v>F1b*0,5</v>
      </c>
      <c r="Q257" s="3">
        <f t="shared" si="30"/>
        <v>0.05</v>
      </c>
      <c r="R257" s="1" t="s">
        <v>628</v>
      </c>
      <c r="S257" t="str">
        <f t="shared" si="29"/>
        <v>F1b*0,5</v>
      </c>
      <c r="T257" s="3">
        <f t="shared" si="30"/>
        <v>0.05</v>
      </c>
      <c r="U257" s="1" t="s">
        <v>1637</v>
      </c>
      <c r="V257" t="str">
        <f t="shared" si="31"/>
        <v>A2a*0,5</v>
      </c>
      <c r="W257" s="3">
        <f t="shared" si="32"/>
        <v>7.4999999999999997E-2</v>
      </c>
      <c r="AH257" t="s">
        <v>2227</v>
      </c>
      <c r="AI257" t="s">
        <v>1810</v>
      </c>
      <c r="AJ257">
        <v>0.5</v>
      </c>
    </row>
    <row r="258" spans="1:36" x14ac:dyDescent="0.25">
      <c r="A258" s="6" t="e">
        <f t="shared" si="33"/>
        <v>#N/A</v>
      </c>
      <c r="B258" s="3" t="e">
        <f t="shared" si="27"/>
        <v>#N/A</v>
      </c>
      <c r="C258" s="3" t="e">
        <f t="shared" si="28"/>
        <v>#N/A</v>
      </c>
      <c r="D258" s="3" t="e">
        <f t="shared" si="25"/>
        <v>#N/A</v>
      </c>
      <c r="E258" s="3" t="e">
        <f t="shared" si="26"/>
        <v>#N/A</v>
      </c>
      <c r="O258" s="1" t="s">
        <v>628</v>
      </c>
      <c r="P258" t="str">
        <f t="shared" si="29"/>
        <v>F1c*0,5</v>
      </c>
      <c r="Q258" s="3">
        <f t="shared" si="30"/>
        <v>0.05</v>
      </c>
      <c r="R258" s="1" t="s">
        <v>628</v>
      </c>
      <c r="S258" t="str">
        <f t="shared" si="29"/>
        <v>F1c*0,5</v>
      </c>
      <c r="T258" s="3">
        <f t="shared" si="30"/>
        <v>0.05</v>
      </c>
      <c r="U258" s="1" t="s">
        <v>1637</v>
      </c>
      <c r="V258" t="str">
        <f t="shared" si="31"/>
        <v>A2b*0,5</v>
      </c>
      <c r="W258" s="3">
        <f t="shared" si="32"/>
        <v>7.4999999999999997E-2</v>
      </c>
      <c r="AH258" t="s">
        <v>2228</v>
      </c>
      <c r="AI258" t="s">
        <v>1811</v>
      </c>
      <c r="AJ258">
        <v>0.5</v>
      </c>
    </row>
    <row r="259" spans="1:36" x14ac:dyDescent="0.25">
      <c r="A259" s="6" t="e">
        <f t="shared" si="33"/>
        <v>#N/A</v>
      </c>
      <c r="B259" s="3" t="e">
        <f t="shared" si="27"/>
        <v>#N/A</v>
      </c>
      <c r="C259" s="3" t="e">
        <f t="shared" si="28"/>
        <v>#N/A</v>
      </c>
      <c r="D259" s="3" t="e">
        <f t="shared" si="25"/>
        <v>#N/A</v>
      </c>
      <c r="E259" s="3" t="e">
        <f t="shared" si="26"/>
        <v>#N/A</v>
      </c>
      <c r="O259" s="1" t="s">
        <v>628</v>
      </c>
      <c r="P259" t="str">
        <f t="shared" si="29"/>
        <v>F2a*0,5</v>
      </c>
      <c r="Q259" s="3">
        <f t="shared" si="30"/>
        <v>0.1</v>
      </c>
      <c r="R259" s="1" t="s">
        <v>628</v>
      </c>
      <c r="S259" t="str">
        <f t="shared" si="29"/>
        <v>F2a*0,5</v>
      </c>
      <c r="T259" s="3">
        <f t="shared" si="30"/>
        <v>0.1</v>
      </c>
      <c r="U259" s="1" t="s">
        <v>1637</v>
      </c>
      <c r="V259" t="str">
        <f t="shared" si="31"/>
        <v>A3a*0,5</v>
      </c>
      <c r="W259" s="3">
        <f t="shared" si="32"/>
        <v>0.1</v>
      </c>
      <c r="AH259" t="s">
        <v>2229</v>
      </c>
      <c r="AI259" t="s">
        <v>1812</v>
      </c>
      <c r="AJ259">
        <v>0.5</v>
      </c>
    </row>
    <row r="260" spans="1:36" x14ac:dyDescent="0.25">
      <c r="A260" s="6" t="e">
        <f t="shared" si="33"/>
        <v>#N/A</v>
      </c>
      <c r="B260" s="3" t="e">
        <f t="shared" si="27"/>
        <v>#N/A</v>
      </c>
      <c r="C260" s="3" t="e">
        <f t="shared" si="28"/>
        <v>#N/A</v>
      </c>
      <c r="D260" s="3" t="e">
        <f t="shared" si="25"/>
        <v>#N/A</v>
      </c>
      <c r="E260" s="3" t="e">
        <f t="shared" si="26"/>
        <v>#N/A</v>
      </c>
      <c r="O260" s="1" t="s">
        <v>628</v>
      </c>
      <c r="P260" t="str">
        <f t="shared" si="29"/>
        <v>F2b*0,5</v>
      </c>
      <c r="Q260" s="3">
        <f t="shared" si="30"/>
        <v>0.1</v>
      </c>
      <c r="R260" s="1" t="s">
        <v>628</v>
      </c>
      <c r="S260" t="str">
        <f t="shared" si="29"/>
        <v>F2b*0,5</v>
      </c>
      <c r="T260" s="3">
        <f t="shared" si="30"/>
        <v>0.1</v>
      </c>
      <c r="U260" s="1" t="s">
        <v>1637</v>
      </c>
      <c r="V260" t="str">
        <f t="shared" si="31"/>
        <v>A3b*0,5</v>
      </c>
      <c r="W260" s="3">
        <f t="shared" si="32"/>
        <v>0.1</v>
      </c>
      <c r="AH260" t="s">
        <v>2230</v>
      </c>
      <c r="AI260" t="s">
        <v>1813</v>
      </c>
      <c r="AJ260">
        <v>0.5</v>
      </c>
    </row>
    <row r="261" spans="1:36" x14ac:dyDescent="0.25">
      <c r="A261" s="6" t="e">
        <f t="shared" si="33"/>
        <v>#N/A</v>
      </c>
      <c r="B261" s="3" t="e">
        <f t="shared" si="27"/>
        <v>#N/A</v>
      </c>
      <c r="C261" s="3" t="e">
        <f t="shared" si="28"/>
        <v>#N/A</v>
      </c>
      <c r="D261" s="3" t="e">
        <f t="shared" ref="D261:D324" si="34">IF($D$1="Team",IF(AD260="","",AD260),"")</f>
        <v>#N/A</v>
      </c>
      <c r="E261" s="3" t="e">
        <f t="shared" ref="E261:E324" si="35">IF($D$1="Team",IF(AE260="","",AE260),"")</f>
        <v>#N/A</v>
      </c>
      <c r="O261" s="1" t="s">
        <v>628</v>
      </c>
      <c r="P261" t="str">
        <f t="shared" si="29"/>
        <v>F2c*0,5</v>
      </c>
      <c r="Q261" s="3">
        <f t="shared" si="30"/>
        <v>0.1</v>
      </c>
      <c r="R261" s="1" t="s">
        <v>628</v>
      </c>
      <c r="S261" t="str">
        <f t="shared" si="29"/>
        <v>F2c*0,5</v>
      </c>
      <c r="T261" s="3">
        <f t="shared" si="30"/>
        <v>0.1</v>
      </c>
      <c r="U261" s="1" t="s">
        <v>1637</v>
      </c>
      <c r="V261" t="str">
        <f t="shared" si="31"/>
        <v>A4a*0,5</v>
      </c>
      <c r="W261" s="3">
        <f t="shared" si="32"/>
        <v>0.22500000000000001</v>
      </c>
      <c r="AH261" t="s">
        <v>2231</v>
      </c>
      <c r="AI261" t="s">
        <v>1814</v>
      </c>
      <c r="AJ261">
        <v>0.5</v>
      </c>
    </row>
    <row r="262" spans="1:36" x14ac:dyDescent="0.25">
      <c r="A262" s="6" t="e">
        <f t="shared" si="33"/>
        <v>#N/A</v>
      </c>
      <c r="B262" s="3" t="e">
        <f t="shared" si="27"/>
        <v>#N/A</v>
      </c>
      <c r="C262" s="3" t="e">
        <f t="shared" si="28"/>
        <v>#N/A</v>
      </c>
      <c r="D262" s="3" t="e">
        <f t="shared" si="34"/>
        <v>#N/A</v>
      </c>
      <c r="E262" s="3" t="e">
        <f t="shared" si="35"/>
        <v>#N/A</v>
      </c>
      <c r="O262" s="1" t="s">
        <v>628</v>
      </c>
      <c r="P262" t="str">
        <f t="shared" si="29"/>
        <v>F3a*0,5</v>
      </c>
      <c r="Q262" s="3">
        <f t="shared" si="30"/>
        <v>0.15</v>
      </c>
      <c r="R262" s="1" t="s">
        <v>628</v>
      </c>
      <c r="S262" t="str">
        <f t="shared" si="29"/>
        <v>F3a*0,5</v>
      </c>
      <c r="T262" s="3">
        <f t="shared" si="30"/>
        <v>0.15</v>
      </c>
      <c r="U262" s="1" t="s">
        <v>1637</v>
      </c>
      <c r="V262" t="str">
        <f t="shared" si="31"/>
        <v>A4b*0,5</v>
      </c>
      <c r="W262" s="3">
        <f t="shared" si="32"/>
        <v>0.22500000000000001</v>
      </c>
      <c r="AH262" t="s">
        <v>2232</v>
      </c>
      <c r="AI262" t="s">
        <v>1815</v>
      </c>
      <c r="AJ262">
        <v>0.5</v>
      </c>
    </row>
    <row r="263" spans="1:36" x14ac:dyDescent="0.25">
      <c r="A263" s="6" t="e">
        <f t="shared" si="33"/>
        <v>#N/A</v>
      </c>
      <c r="B263" s="3" t="e">
        <f t="shared" si="27"/>
        <v>#N/A</v>
      </c>
      <c r="C263" s="3" t="e">
        <f t="shared" si="28"/>
        <v>#N/A</v>
      </c>
      <c r="D263" s="3" t="e">
        <f t="shared" si="34"/>
        <v>#N/A</v>
      </c>
      <c r="E263" s="3" t="e">
        <f t="shared" si="35"/>
        <v>#N/A</v>
      </c>
      <c r="O263" s="1" t="s">
        <v>628</v>
      </c>
      <c r="P263" t="str">
        <f t="shared" si="29"/>
        <v>F3b*0,5</v>
      </c>
      <c r="Q263" s="3">
        <f t="shared" si="30"/>
        <v>0.15</v>
      </c>
      <c r="R263" s="1" t="s">
        <v>628</v>
      </c>
      <c r="S263" t="str">
        <f t="shared" si="29"/>
        <v>F3b*0,5</v>
      </c>
      <c r="T263" s="3">
        <f t="shared" si="30"/>
        <v>0.15</v>
      </c>
      <c r="U263" s="1" t="s">
        <v>1637</v>
      </c>
      <c r="V263" t="str">
        <f t="shared" si="31"/>
        <v>A5*0,5</v>
      </c>
      <c r="W263" s="3">
        <f t="shared" si="32"/>
        <v>0.32500000000000001</v>
      </c>
      <c r="AH263" t="s">
        <v>2233</v>
      </c>
      <c r="AI263" t="s">
        <v>1700</v>
      </c>
      <c r="AJ263">
        <v>0.5</v>
      </c>
    </row>
    <row r="264" spans="1:36" x14ac:dyDescent="0.25">
      <c r="A264" s="6" t="e">
        <f t="shared" si="33"/>
        <v>#N/A</v>
      </c>
      <c r="B264" s="3" t="e">
        <f t="shared" si="27"/>
        <v>#N/A</v>
      </c>
      <c r="C264" s="3" t="e">
        <f t="shared" si="28"/>
        <v>#N/A</v>
      </c>
      <c r="D264" s="3" t="e">
        <f t="shared" si="34"/>
        <v>#N/A</v>
      </c>
      <c r="E264" s="3" t="e">
        <f t="shared" si="35"/>
        <v>#N/A</v>
      </c>
      <c r="O264" s="1" t="s">
        <v>628</v>
      </c>
      <c r="P264" t="str">
        <f t="shared" si="29"/>
        <v>F3c*0,5</v>
      </c>
      <c r="Q264" s="3">
        <f t="shared" si="30"/>
        <v>0.15</v>
      </c>
      <c r="R264" s="1" t="s">
        <v>628</v>
      </c>
      <c r="S264" t="str">
        <f t="shared" si="29"/>
        <v>F3c*0,5</v>
      </c>
      <c r="T264" s="3">
        <f t="shared" si="30"/>
        <v>0.15</v>
      </c>
      <c r="U264" s="1" t="s">
        <v>1637</v>
      </c>
      <c r="V264" t="str">
        <f t="shared" si="31"/>
        <v>A6*0,5</v>
      </c>
      <c r="W264" s="3">
        <f t="shared" si="32"/>
        <v>0.57499999999999996</v>
      </c>
      <c r="AH264" t="s">
        <v>2234</v>
      </c>
      <c r="AI264" t="s">
        <v>1701</v>
      </c>
      <c r="AJ264">
        <v>0.5</v>
      </c>
    </row>
    <row r="265" spans="1:36" x14ac:dyDescent="0.25">
      <c r="A265" s="6" t="e">
        <f t="shared" si="33"/>
        <v>#N/A</v>
      </c>
      <c r="B265" s="3" t="e">
        <f t="shared" ref="B265:B328" si="36">IF($B$1="Solo",IF(M264="","",M264),IF($B$1="Duet",IF(P264="","",P264),IF($B$1="Mixed",IF(S264="","",S264),IF(V264="","",V264))))</f>
        <v>#N/A</v>
      </c>
      <c r="C265" s="3" t="e">
        <f t="shared" ref="C265:C328" si="37">IF($B$1="Solo",IF(N264="","",N264),IF($B$1="Duet",IF(Q264="","",Q264),IF($B$1="Mixed",IF(T264="","",T264),IF(W264="","",W264))))</f>
        <v>#N/A</v>
      </c>
      <c r="D265" s="3" t="e">
        <f t="shared" si="34"/>
        <v>#N/A</v>
      </c>
      <c r="E265" s="3" t="e">
        <f t="shared" si="35"/>
        <v>#N/A</v>
      </c>
      <c r="O265" s="1" t="s">
        <v>628</v>
      </c>
      <c r="P265" t="str">
        <f t="shared" si="29"/>
        <v>F4a*0,5</v>
      </c>
      <c r="Q265" s="3">
        <f t="shared" si="30"/>
        <v>0.2</v>
      </c>
      <c r="R265" s="1" t="s">
        <v>628</v>
      </c>
      <c r="S265" t="str">
        <f t="shared" si="29"/>
        <v>F4a*0,5</v>
      </c>
      <c r="T265" s="3">
        <f t="shared" si="30"/>
        <v>0.2</v>
      </c>
      <c r="U265" s="1" t="s">
        <v>1637</v>
      </c>
      <c r="V265" t="str">
        <f t="shared" si="31"/>
        <v>A7*0,5</v>
      </c>
      <c r="W265" s="3">
        <f t="shared" si="32"/>
        <v>0.72499999999999998</v>
      </c>
      <c r="AH265" t="s">
        <v>2235</v>
      </c>
      <c r="AI265" t="s">
        <v>1702</v>
      </c>
      <c r="AJ265">
        <v>0.5</v>
      </c>
    </row>
    <row r="266" spans="1:36" x14ac:dyDescent="0.25">
      <c r="A266" s="6" t="e">
        <f t="shared" si="33"/>
        <v>#N/A</v>
      </c>
      <c r="B266" s="3" t="e">
        <f t="shared" si="36"/>
        <v>#N/A</v>
      </c>
      <c r="C266" s="3" t="e">
        <f t="shared" si="37"/>
        <v>#N/A</v>
      </c>
      <c r="D266" s="3" t="e">
        <f t="shared" si="34"/>
        <v>#N/A</v>
      </c>
      <c r="E266" s="3" t="e">
        <f t="shared" si="35"/>
        <v>#N/A</v>
      </c>
      <c r="O266" s="1" t="s">
        <v>628</v>
      </c>
      <c r="P266" t="str">
        <f t="shared" si="29"/>
        <v>F4b*0,5</v>
      </c>
      <c r="Q266" s="3">
        <f t="shared" si="30"/>
        <v>0.2</v>
      </c>
      <c r="R266" s="1" t="s">
        <v>628</v>
      </c>
      <c r="S266" t="str">
        <f t="shared" si="29"/>
        <v>F4b*0,5</v>
      </c>
      <c r="T266" s="3">
        <f t="shared" si="30"/>
        <v>0.2</v>
      </c>
      <c r="U266" s="1" t="s">
        <v>1637</v>
      </c>
      <c r="V266" t="str">
        <f t="shared" si="31"/>
        <v>A8*0,5</v>
      </c>
      <c r="W266" s="3">
        <f t="shared" si="32"/>
        <v>0.82499999999999996</v>
      </c>
      <c r="AH266" t="s">
        <v>2236</v>
      </c>
      <c r="AI266" t="s">
        <v>1703</v>
      </c>
      <c r="AJ266">
        <v>0.5</v>
      </c>
    </row>
    <row r="267" spans="1:36" x14ac:dyDescent="0.25">
      <c r="A267" s="6" t="e">
        <f t="shared" si="33"/>
        <v>#N/A</v>
      </c>
      <c r="B267" s="3" t="e">
        <f t="shared" si="36"/>
        <v>#N/A</v>
      </c>
      <c r="C267" s="3" t="e">
        <f t="shared" si="37"/>
        <v>#N/A</v>
      </c>
      <c r="D267" s="3" t="e">
        <f t="shared" si="34"/>
        <v>#N/A</v>
      </c>
      <c r="E267" s="3" t="e">
        <f t="shared" si="35"/>
        <v>#N/A</v>
      </c>
      <c r="O267" s="1" t="s">
        <v>628</v>
      </c>
      <c r="P267" t="str">
        <f t="shared" si="29"/>
        <v>F4c*0,5</v>
      </c>
      <c r="Q267" s="3">
        <f t="shared" si="30"/>
        <v>0.2</v>
      </c>
      <c r="R267" s="1" t="s">
        <v>628</v>
      </c>
      <c r="S267" t="str">
        <f t="shared" si="29"/>
        <v>F4c*0,5</v>
      </c>
      <c r="T267" s="3">
        <f t="shared" si="30"/>
        <v>0.2</v>
      </c>
      <c r="U267" s="1" t="s">
        <v>628</v>
      </c>
      <c r="V267" t="str">
        <f t="shared" si="31"/>
        <v>FB*0,5</v>
      </c>
      <c r="W267" s="3">
        <f t="shared" si="32"/>
        <v>2.5000000000000001E-2</v>
      </c>
      <c r="AH267" t="s">
        <v>2237</v>
      </c>
      <c r="AI267" t="s">
        <v>1704</v>
      </c>
      <c r="AJ267">
        <v>0.5</v>
      </c>
    </row>
    <row r="268" spans="1:36" x14ac:dyDescent="0.25">
      <c r="A268" s="6" t="e">
        <f t="shared" si="33"/>
        <v>#N/A</v>
      </c>
      <c r="B268" s="3" t="e">
        <f t="shared" si="36"/>
        <v>#N/A</v>
      </c>
      <c r="C268" s="3" t="e">
        <f t="shared" si="37"/>
        <v>#N/A</v>
      </c>
      <c r="D268" s="3" t="e">
        <f t="shared" si="34"/>
        <v>#N/A</v>
      </c>
      <c r="E268" s="3" t="e">
        <f t="shared" si="35"/>
        <v>#N/A</v>
      </c>
      <c r="O268" s="1" t="s">
        <v>628</v>
      </c>
      <c r="P268" t="str">
        <f t="shared" si="29"/>
        <v>F4d*0,5</v>
      </c>
      <c r="Q268" s="3">
        <f t="shared" si="30"/>
        <v>0.2</v>
      </c>
      <c r="R268" s="1" t="s">
        <v>628</v>
      </c>
      <c r="S268" t="str">
        <f t="shared" si="29"/>
        <v>F4d*0,5</v>
      </c>
      <c r="T268" s="3">
        <f t="shared" si="30"/>
        <v>0.2</v>
      </c>
      <c r="U268" s="1" t="s">
        <v>628</v>
      </c>
      <c r="V268" t="str">
        <f t="shared" si="31"/>
        <v>F1a*0,5</v>
      </c>
      <c r="W268" s="3">
        <f t="shared" si="32"/>
        <v>0.05</v>
      </c>
      <c r="AH268" t="s">
        <v>2238</v>
      </c>
      <c r="AI268" t="s">
        <v>1816</v>
      </c>
      <c r="AJ268">
        <v>0.5</v>
      </c>
    </row>
    <row r="269" spans="1:36" x14ac:dyDescent="0.25">
      <c r="A269" s="6" t="e">
        <f t="shared" si="33"/>
        <v>#N/A</v>
      </c>
      <c r="B269" s="3" t="e">
        <f t="shared" si="36"/>
        <v>#N/A</v>
      </c>
      <c r="C269" s="3" t="e">
        <f t="shared" si="37"/>
        <v>#N/A</v>
      </c>
      <c r="D269" s="3" t="e">
        <f t="shared" si="34"/>
        <v>#N/A</v>
      </c>
      <c r="E269" s="3" t="e">
        <f t="shared" si="35"/>
        <v>#N/A</v>
      </c>
      <c r="O269" s="1" t="s">
        <v>628</v>
      </c>
      <c r="P269" t="str">
        <f t="shared" si="29"/>
        <v>F4e*0,5</v>
      </c>
      <c r="Q269" s="3">
        <f t="shared" si="30"/>
        <v>0.2</v>
      </c>
      <c r="R269" s="1" t="s">
        <v>628</v>
      </c>
      <c r="S269" t="str">
        <f t="shared" si="29"/>
        <v>F4e*0,5</v>
      </c>
      <c r="T269" s="3">
        <f t="shared" si="30"/>
        <v>0.2</v>
      </c>
      <c r="U269" s="1" t="s">
        <v>628</v>
      </c>
      <c r="V269" t="str">
        <f t="shared" si="31"/>
        <v>F1b*0,5</v>
      </c>
      <c r="W269" s="3">
        <f t="shared" si="32"/>
        <v>0.05</v>
      </c>
      <c r="AH269" t="s">
        <v>2239</v>
      </c>
      <c r="AI269" t="s">
        <v>1817</v>
      </c>
      <c r="AJ269">
        <v>0.5</v>
      </c>
    </row>
    <row r="270" spans="1:36" x14ac:dyDescent="0.25">
      <c r="A270" s="6" t="e">
        <f t="shared" si="33"/>
        <v>#N/A</v>
      </c>
      <c r="B270" s="3" t="e">
        <f t="shared" si="36"/>
        <v>#N/A</v>
      </c>
      <c r="C270" s="3" t="e">
        <f t="shared" si="37"/>
        <v>#N/A</v>
      </c>
      <c r="D270" s="3" t="e">
        <f t="shared" si="34"/>
        <v>#N/A</v>
      </c>
      <c r="E270" s="3" t="e">
        <f t="shared" si="35"/>
        <v>#N/A</v>
      </c>
      <c r="O270" s="1" t="s">
        <v>628</v>
      </c>
      <c r="P270" t="str">
        <f t="shared" si="29"/>
        <v>F4f*0,5</v>
      </c>
      <c r="Q270" s="3">
        <f t="shared" si="30"/>
        <v>0.2</v>
      </c>
      <c r="R270" s="1" t="s">
        <v>628</v>
      </c>
      <c r="S270" t="str">
        <f t="shared" si="29"/>
        <v>F4f*0,5</v>
      </c>
      <c r="T270" s="3">
        <f t="shared" si="30"/>
        <v>0.2</v>
      </c>
      <c r="U270" s="1" t="s">
        <v>628</v>
      </c>
      <c r="V270" t="str">
        <f t="shared" si="31"/>
        <v>F1c*0,5</v>
      </c>
      <c r="W270" s="3">
        <f t="shared" si="32"/>
        <v>0.05</v>
      </c>
      <c r="AH270" t="s">
        <v>2240</v>
      </c>
      <c r="AI270" t="s">
        <v>1818</v>
      </c>
      <c r="AJ270">
        <v>0.5</v>
      </c>
    </row>
    <row r="271" spans="1:36" x14ac:dyDescent="0.25">
      <c r="A271" s="6" t="e">
        <f t="shared" si="33"/>
        <v>#N/A</v>
      </c>
      <c r="B271" s="3" t="e">
        <f t="shared" si="36"/>
        <v>#N/A</v>
      </c>
      <c r="C271" s="3" t="e">
        <f t="shared" si="37"/>
        <v>#N/A</v>
      </c>
      <c r="D271" s="3" t="e">
        <f t="shared" si="34"/>
        <v>#N/A</v>
      </c>
      <c r="E271" s="3" t="e">
        <f t="shared" si="35"/>
        <v>#N/A</v>
      </c>
      <c r="O271" s="1" t="s">
        <v>628</v>
      </c>
      <c r="P271" t="str">
        <f t="shared" si="29"/>
        <v>F5a*0,5</v>
      </c>
      <c r="Q271" s="3">
        <f t="shared" si="30"/>
        <v>0.25</v>
      </c>
      <c r="R271" s="1" t="s">
        <v>628</v>
      </c>
      <c r="S271" t="str">
        <f t="shared" si="29"/>
        <v>F5a*0,5</v>
      </c>
      <c r="T271" s="3">
        <f t="shared" si="30"/>
        <v>0.25</v>
      </c>
      <c r="U271" s="1" t="s">
        <v>628</v>
      </c>
      <c r="V271" t="str">
        <f t="shared" si="31"/>
        <v>F2a*0,5</v>
      </c>
      <c r="W271" s="3">
        <f t="shared" si="32"/>
        <v>0.1</v>
      </c>
      <c r="AH271" t="s">
        <v>2241</v>
      </c>
      <c r="AI271" t="s">
        <v>1819</v>
      </c>
      <c r="AJ271">
        <v>0.5</v>
      </c>
    </row>
    <row r="272" spans="1:36" x14ac:dyDescent="0.25">
      <c r="A272" s="6" t="e">
        <f t="shared" si="33"/>
        <v>#N/A</v>
      </c>
      <c r="B272" s="3" t="e">
        <f t="shared" si="36"/>
        <v>#N/A</v>
      </c>
      <c r="C272" s="3" t="e">
        <f t="shared" si="37"/>
        <v>#N/A</v>
      </c>
      <c r="D272" s="3" t="e">
        <f t="shared" si="34"/>
        <v>#N/A</v>
      </c>
      <c r="E272" s="3" t="e">
        <f t="shared" si="35"/>
        <v>#N/A</v>
      </c>
      <c r="O272" s="1" t="s">
        <v>628</v>
      </c>
      <c r="P272" t="str">
        <f t="shared" si="29"/>
        <v>F5b*0,5</v>
      </c>
      <c r="Q272" s="3">
        <f t="shared" si="30"/>
        <v>0.25</v>
      </c>
      <c r="R272" s="1" t="s">
        <v>628</v>
      </c>
      <c r="S272" t="str">
        <f t="shared" si="29"/>
        <v>F5b*0,5</v>
      </c>
      <c r="T272" s="3">
        <f t="shared" si="30"/>
        <v>0.25</v>
      </c>
      <c r="U272" s="1" t="s">
        <v>628</v>
      </c>
      <c r="V272" t="str">
        <f t="shared" si="31"/>
        <v>F2b*0,5</v>
      </c>
      <c r="W272" s="3">
        <f t="shared" si="32"/>
        <v>0.1</v>
      </c>
      <c r="AH272" t="s">
        <v>2242</v>
      </c>
      <c r="AI272" t="s">
        <v>1820</v>
      </c>
      <c r="AJ272">
        <v>0.5</v>
      </c>
    </row>
    <row r="273" spans="1:36" x14ac:dyDescent="0.25">
      <c r="A273" s="6" t="e">
        <f t="shared" si="33"/>
        <v>#N/A</v>
      </c>
      <c r="B273" s="3" t="e">
        <f t="shared" si="36"/>
        <v>#N/A</v>
      </c>
      <c r="C273" s="3" t="e">
        <f t="shared" si="37"/>
        <v>#N/A</v>
      </c>
      <c r="D273" s="3" t="e">
        <f t="shared" si="34"/>
        <v>#N/A</v>
      </c>
      <c r="E273" s="3" t="e">
        <f t="shared" si="35"/>
        <v>#N/A</v>
      </c>
      <c r="O273" s="1" t="s">
        <v>628</v>
      </c>
      <c r="P273" t="str">
        <f t="shared" si="29"/>
        <v>F5c*0,5</v>
      </c>
      <c r="Q273" s="3">
        <f t="shared" si="30"/>
        <v>0.25</v>
      </c>
      <c r="R273" s="1" t="s">
        <v>628</v>
      </c>
      <c r="S273" t="str">
        <f t="shared" si="29"/>
        <v>F5c*0,5</v>
      </c>
      <c r="T273" s="3">
        <f t="shared" si="30"/>
        <v>0.25</v>
      </c>
      <c r="U273" s="1" t="s">
        <v>628</v>
      </c>
      <c r="V273" t="str">
        <f t="shared" si="31"/>
        <v>F2c*0,5</v>
      </c>
      <c r="W273" s="3">
        <f t="shared" si="32"/>
        <v>0.1</v>
      </c>
      <c r="AH273" t="s">
        <v>2243</v>
      </c>
      <c r="AI273" t="s">
        <v>1821</v>
      </c>
      <c r="AJ273">
        <v>0.5</v>
      </c>
    </row>
    <row r="274" spans="1:36" x14ac:dyDescent="0.25">
      <c r="A274" s="6" t="e">
        <f t="shared" si="33"/>
        <v>#N/A</v>
      </c>
      <c r="B274" s="3" t="e">
        <f t="shared" si="36"/>
        <v>#N/A</v>
      </c>
      <c r="C274" s="3" t="e">
        <f t="shared" si="37"/>
        <v>#N/A</v>
      </c>
      <c r="D274" s="3" t="e">
        <f t="shared" si="34"/>
        <v>#N/A</v>
      </c>
      <c r="E274" s="3" t="e">
        <f t="shared" si="35"/>
        <v>#N/A</v>
      </c>
      <c r="O274" s="1" t="s">
        <v>628</v>
      </c>
      <c r="P274" t="str">
        <f t="shared" si="29"/>
        <v>F6a*0,5</v>
      </c>
      <c r="Q274" s="3">
        <f t="shared" si="30"/>
        <v>0.32500000000000001</v>
      </c>
      <c r="R274" s="1" t="s">
        <v>628</v>
      </c>
      <c r="S274" t="str">
        <f t="shared" si="29"/>
        <v>F6a*0,5</v>
      </c>
      <c r="T274" s="3">
        <f t="shared" si="30"/>
        <v>0.32500000000000001</v>
      </c>
      <c r="U274" s="1" t="s">
        <v>628</v>
      </c>
      <c r="V274" t="str">
        <f t="shared" si="31"/>
        <v>F3a*0,5</v>
      </c>
      <c r="W274" s="3">
        <f t="shared" si="32"/>
        <v>0.15</v>
      </c>
      <c r="AH274" t="s">
        <v>2244</v>
      </c>
      <c r="AI274" t="s">
        <v>1822</v>
      </c>
      <c r="AJ274">
        <v>0.5</v>
      </c>
    </row>
    <row r="275" spans="1:36" x14ac:dyDescent="0.25">
      <c r="A275" s="6" t="e">
        <f t="shared" si="33"/>
        <v>#N/A</v>
      </c>
      <c r="B275" s="3" t="e">
        <f t="shared" si="36"/>
        <v>#N/A</v>
      </c>
      <c r="C275" s="3" t="e">
        <f t="shared" si="37"/>
        <v>#N/A</v>
      </c>
      <c r="D275" s="3" t="e">
        <f t="shared" si="34"/>
        <v>#N/A</v>
      </c>
      <c r="E275" s="3" t="e">
        <f t="shared" si="35"/>
        <v>#N/A</v>
      </c>
      <c r="O275" s="1" t="s">
        <v>628</v>
      </c>
      <c r="P275" t="str">
        <f t="shared" si="29"/>
        <v>F6b*0,5</v>
      </c>
      <c r="Q275" s="3">
        <f t="shared" si="30"/>
        <v>0.32500000000000001</v>
      </c>
      <c r="R275" s="1" t="s">
        <v>628</v>
      </c>
      <c r="S275" t="str">
        <f t="shared" si="29"/>
        <v>F6b*0,5</v>
      </c>
      <c r="T275" s="3">
        <f t="shared" si="30"/>
        <v>0.32500000000000001</v>
      </c>
      <c r="U275" s="1" t="s">
        <v>628</v>
      </c>
      <c r="V275" t="str">
        <f t="shared" si="31"/>
        <v>F3b*0,5</v>
      </c>
      <c r="W275" s="3">
        <f t="shared" si="32"/>
        <v>0.15</v>
      </c>
      <c r="AH275" t="s">
        <v>2245</v>
      </c>
      <c r="AI275" t="s">
        <v>1823</v>
      </c>
      <c r="AJ275">
        <v>0.5</v>
      </c>
    </row>
    <row r="276" spans="1:36" x14ac:dyDescent="0.25">
      <c r="A276" s="6" t="e">
        <f t="shared" si="33"/>
        <v>#N/A</v>
      </c>
      <c r="B276" s="3" t="e">
        <f t="shared" si="36"/>
        <v>#N/A</v>
      </c>
      <c r="C276" s="3" t="e">
        <f t="shared" si="37"/>
        <v>#N/A</v>
      </c>
      <c r="D276" s="3" t="e">
        <f t="shared" si="34"/>
        <v>#N/A</v>
      </c>
      <c r="E276" s="3" t="e">
        <f t="shared" si="35"/>
        <v>#N/A</v>
      </c>
      <c r="O276" s="1" t="s">
        <v>628</v>
      </c>
      <c r="P276" t="str">
        <f t="shared" si="29"/>
        <v>F6c*0,5</v>
      </c>
      <c r="Q276" s="3">
        <f t="shared" si="30"/>
        <v>0.32500000000000001</v>
      </c>
      <c r="R276" s="1" t="s">
        <v>628</v>
      </c>
      <c r="S276" t="str">
        <f t="shared" si="29"/>
        <v>F6c*0,5</v>
      </c>
      <c r="T276" s="3">
        <f t="shared" si="30"/>
        <v>0.32500000000000001</v>
      </c>
      <c r="U276" s="1" t="s">
        <v>628</v>
      </c>
      <c r="V276" t="str">
        <f t="shared" si="31"/>
        <v>F3c*0,5</v>
      </c>
      <c r="W276" s="3">
        <f t="shared" si="32"/>
        <v>0.15</v>
      </c>
      <c r="AH276" t="s">
        <v>2246</v>
      </c>
      <c r="AI276" t="s">
        <v>1824</v>
      </c>
      <c r="AJ276">
        <v>0.5</v>
      </c>
    </row>
    <row r="277" spans="1:36" x14ac:dyDescent="0.25">
      <c r="A277" s="6" t="e">
        <f t="shared" si="33"/>
        <v>#N/A</v>
      </c>
      <c r="B277" s="3" t="e">
        <f t="shared" si="36"/>
        <v>#N/A</v>
      </c>
      <c r="C277" s="3" t="e">
        <f t="shared" si="37"/>
        <v>#N/A</v>
      </c>
      <c r="D277" s="3" t="e">
        <f t="shared" si="34"/>
        <v>#N/A</v>
      </c>
      <c r="E277" s="3" t="e">
        <f t="shared" si="35"/>
        <v>#N/A</v>
      </c>
      <c r="O277" s="1" t="s">
        <v>628</v>
      </c>
      <c r="P277" t="str">
        <f t="shared" si="29"/>
        <v>F6d*0,5</v>
      </c>
      <c r="Q277" s="3">
        <f t="shared" si="30"/>
        <v>0.32500000000000001</v>
      </c>
      <c r="R277" s="1" t="s">
        <v>628</v>
      </c>
      <c r="S277" t="str">
        <f t="shared" si="29"/>
        <v>F6d*0,5</v>
      </c>
      <c r="T277" s="3">
        <f t="shared" si="30"/>
        <v>0.32500000000000001</v>
      </c>
      <c r="U277" s="1" t="s">
        <v>628</v>
      </c>
      <c r="V277" t="str">
        <f t="shared" si="31"/>
        <v>F4a*0,5</v>
      </c>
      <c r="W277" s="3">
        <f t="shared" si="32"/>
        <v>0.2</v>
      </c>
      <c r="AH277" t="s">
        <v>2247</v>
      </c>
      <c r="AI277" t="s">
        <v>1825</v>
      </c>
      <c r="AJ277">
        <v>0.5</v>
      </c>
    </row>
    <row r="278" spans="1:36" x14ac:dyDescent="0.25">
      <c r="A278" s="6" t="e">
        <f t="shared" si="33"/>
        <v>#N/A</v>
      </c>
      <c r="B278" s="3" t="e">
        <f t="shared" si="36"/>
        <v>#N/A</v>
      </c>
      <c r="C278" s="3" t="e">
        <f t="shared" si="37"/>
        <v>#N/A</v>
      </c>
      <c r="D278" s="3" t="e">
        <f t="shared" si="34"/>
        <v>#N/A</v>
      </c>
      <c r="E278" s="3" t="e">
        <f t="shared" si="35"/>
        <v>#N/A</v>
      </c>
      <c r="O278" s="1" t="s">
        <v>628</v>
      </c>
      <c r="P278" t="str">
        <f t="shared" ref="P278:S282" si="38">CONCATENATE(P132,"*0,5")</f>
        <v>F7*0,5</v>
      </c>
      <c r="Q278" s="3">
        <f t="shared" ref="Q278:T282" si="39">Q132*0.5</f>
        <v>0.375</v>
      </c>
      <c r="R278" s="1" t="s">
        <v>628</v>
      </c>
      <c r="S278" t="str">
        <f t="shared" si="38"/>
        <v>F7*0,5</v>
      </c>
      <c r="T278" s="3">
        <f t="shared" si="39"/>
        <v>0.375</v>
      </c>
      <c r="U278" s="1" t="s">
        <v>628</v>
      </c>
      <c r="V278" t="str">
        <f t="shared" si="31"/>
        <v>F4b*0,5</v>
      </c>
      <c r="W278" s="3">
        <f t="shared" si="32"/>
        <v>0.2</v>
      </c>
      <c r="AH278" t="s">
        <v>2248</v>
      </c>
      <c r="AI278" t="s">
        <v>1826</v>
      </c>
      <c r="AJ278">
        <v>0.5</v>
      </c>
    </row>
    <row r="279" spans="1:36" x14ac:dyDescent="0.25">
      <c r="A279" s="6" t="e">
        <f t="shared" si="33"/>
        <v>#N/A</v>
      </c>
      <c r="B279" s="3" t="e">
        <f t="shared" si="36"/>
        <v>#N/A</v>
      </c>
      <c r="C279" s="3" t="e">
        <f t="shared" si="37"/>
        <v>#N/A</v>
      </c>
      <c r="D279" s="3" t="e">
        <f t="shared" si="34"/>
        <v>#N/A</v>
      </c>
      <c r="E279" s="3" t="e">
        <f t="shared" si="35"/>
        <v>#N/A</v>
      </c>
      <c r="O279" s="1" t="s">
        <v>628</v>
      </c>
      <c r="P279" t="str">
        <f t="shared" si="38"/>
        <v>F8a*0,5</v>
      </c>
      <c r="Q279" s="3">
        <f t="shared" si="39"/>
        <v>0.45</v>
      </c>
      <c r="R279" s="1" t="s">
        <v>628</v>
      </c>
      <c r="S279" t="str">
        <f t="shared" si="38"/>
        <v>F8a*0,5</v>
      </c>
      <c r="T279" s="3">
        <f t="shared" si="39"/>
        <v>0.45</v>
      </c>
      <c r="U279" s="1" t="s">
        <v>628</v>
      </c>
      <c r="V279" t="str">
        <f t="shared" si="31"/>
        <v>F4c*0,5</v>
      </c>
      <c r="W279" s="3">
        <f t="shared" si="32"/>
        <v>0.2</v>
      </c>
      <c r="AH279" t="s">
        <v>2249</v>
      </c>
      <c r="AI279" t="s">
        <v>1827</v>
      </c>
      <c r="AJ279">
        <v>0.5</v>
      </c>
    </row>
    <row r="280" spans="1:36" x14ac:dyDescent="0.25">
      <c r="A280" s="6" t="e">
        <f t="shared" si="33"/>
        <v>#N/A</v>
      </c>
      <c r="B280" s="3" t="e">
        <f t="shared" si="36"/>
        <v>#N/A</v>
      </c>
      <c r="C280" s="3" t="e">
        <f t="shared" si="37"/>
        <v>#N/A</v>
      </c>
      <c r="D280" s="3" t="e">
        <f t="shared" si="34"/>
        <v>#N/A</v>
      </c>
      <c r="E280" s="3" t="e">
        <f t="shared" si="35"/>
        <v>#N/A</v>
      </c>
      <c r="O280" s="1" t="s">
        <v>628</v>
      </c>
      <c r="P280" t="str">
        <f t="shared" si="38"/>
        <v>F8b*0,5</v>
      </c>
      <c r="Q280" s="3">
        <f t="shared" si="39"/>
        <v>0.45</v>
      </c>
      <c r="R280" s="1" t="s">
        <v>628</v>
      </c>
      <c r="S280" t="str">
        <f t="shared" si="38"/>
        <v>F8b*0,5</v>
      </c>
      <c r="T280" s="3">
        <f t="shared" si="39"/>
        <v>0.45</v>
      </c>
      <c r="U280" s="1" t="s">
        <v>628</v>
      </c>
      <c r="V280" t="str">
        <f t="shared" si="31"/>
        <v>F4d*0,5</v>
      </c>
      <c r="W280" s="3">
        <f t="shared" si="32"/>
        <v>0.2</v>
      </c>
      <c r="AH280" t="s">
        <v>2250</v>
      </c>
      <c r="AI280" t="s">
        <v>1828</v>
      </c>
      <c r="AJ280">
        <v>0.5</v>
      </c>
    </row>
    <row r="281" spans="1:36" x14ac:dyDescent="0.25">
      <c r="A281" s="6" t="e">
        <f t="shared" si="33"/>
        <v>#N/A</v>
      </c>
      <c r="B281" s="3" t="e">
        <f t="shared" si="36"/>
        <v>#N/A</v>
      </c>
      <c r="C281" s="3" t="e">
        <f t="shared" si="37"/>
        <v>#N/A</v>
      </c>
      <c r="D281" s="3" t="e">
        <f t="shared" si="34"/>
        <v>#N/A</v>
      </c>
      <c r="E281" s="3" t="e">
        <f t="shared" si="35"/>
        <v>#N/A</v>
      </c>
      <c r="O281" s="1" t="s">
        <v>628</v>
      </c>
      <c r="P281" t="str">
        <f t="shared" si="38"/>
        <v>F9*0,5</v>
      </c>
      <c r="Q281" s="3">
        <f t="shared" si="39"/>
        <v>0.5</v>
      </c>
      <c r="R281" s="1" t="s">
        <v>628</v>
      </c>
      <c r="S281" t="str">
        <f t="shared" si="38"/>
        <v>F9*0,5</v>
      </c>
      <c r="T281" s="3">
        <f t="shared" si="39"/>
        <v>0.5</v>
      </c>
      <c r="U281" s="1" t="s">
        <v>628</v>
      </c>
      <c r="V281" t="str">
        <f t="shared" si="31"/>
        <v>F4e*0,5</v>
      </c>
      <c r="W281" s="3">
        <f t="shared" si="32"/>
        <v>0.2</v>
      </c>
      <c r="AH281" t="s">
        <v>2251</v>
      </c>
      <c r="AI281" t="s">
        <v>1829</v>
      </c>
      <c r="AJ281">
        <v>0.5</v>
      </c>
    </row>
    <row r="282" spans="1:36" x14ac:dyDescent="0.25">
      <c r="A282" s="6" t="e">
        <f t="shared" si="33"/>
        <v>#N/A</v>
      </c>
      <c r="B282" s="3" t="e">
        <f t="shared" si="36"/>
        <v>#N/A</v>
      </c>
      <c r="C282" s="3" t="e">
        <f t="shared" si="37"/>
        <v>#N/A</v>
      </c>
      <c r="D282" s="3" t="e">
        <f t="shared" si="34"/>
        <v>#N/A</v>
      </c>
      <c r="E282" s="3" t="e">
        <f t="shared" si="35"/>
        <v>#N/A</v>
      </c>
      <c r="O282" s="1" t="s">
        <v>628</v>
      </c>
      <c r="P282" t="str">
        <f t="shared" si="38"/>
        <v>F10*0,5</v>
      </c>
      <c r="Q282" s="3">
        <f t="shared" si="39"/>
        <v>0.65</v>
      </c>
      <c r="R282" s="1" t="s">
        <v>628</v>
      </c>
      <c r="S282" t="str">
        <f t="shared" si="38"/>
        <v>F10*0,5</v>
      </c>
      <c r="T282" s="3">
        <f t="shared" si="39"/>
        <v>0.65</v>
      </c>
      <c r="U282" s="1" t="s">
        <v>628</v>
      </c>
      <c r="V282" t="str">
        <f t="shared" si="31"/>
        <v>F4f*0,5</v>
      </c>
      <c r="W282" s="3">
        <f t="shared" si="32"/>
        <v>0.2</v>
      </c>
      <c r="AH282" t="s">
        <v>2252</v>
      </c>
      <c r="AI282" t="s">
        <v>1830</v>
      </c>
      <c r="AJ282">
        <v>0.5</v>
      </c>
    </row>
    <row r="283" spans="1:36" x14ac:dyDescent="0.25">
      <c r="A283" s="6" t="e">
        <f t="shared" si="33"/>
        <v>#N/A</v>
      </c>
      <c r="B283" s="3" t="e">
        <f t="shared" si="36"/>
        <v>#N/A</v>
      </c>
      <c r="C283" s="3" t="e">
        <f t="shared" si="37"/>
        <v>#N/A</v>
      </c>
      <c r="D283" s="3" t="e">
        <f t="shared" si="34"/>
        <v>#N/A</v>
      </c>
      <c r="E283" s="3" t="e">
        <f t="shared" si="35"/>
        <v>#N/A</v>
      </c>
      <c r="O283" s="1"/>
      <c r="R283" s="1"/>
      <c r="U283" s="1" t="s">
        <v>628</v>
      </c>
      <c r="V283" t="str">
        <f t="shared" si="31"/>
        <v>F5a*0,5</v>
      </c>
      <c r="W283" s="3">
        <f t="shared" si="32"/>
        <v>0.25</v>
      </c>
      <c r="AH283" t="s">
        <v>2253</v>
      </c>
      <c r="AI283" t="s">
        <v>1831</v>
      </c>
      <c r="AJ283">
        <v>0.5</v>
      </c>
    </row>
    <row r="284" spans="1:36" x14ac:dyDescent="0.25">
      <c r="A284" s="6" t="e">
        <f t="shared" si="33"/>
        <v>#N/A</v>
      </c>
      <c r="B284" s="3" t="e">
        <f t="shared" si="36"/>
        <v>#N/A</v>
      </c>
      <c r="C284" s="3" t="e">
        <f t="shared" si="37"/>
        <v>#N/A</v>
      </c>
      <c r="D284" s="3" t="e">
        <f t="shared" si="34"/>
        <v>#N/A</v>
      </c>
      <c r="E284" s="3" t="e">
        <f t="shared" si="35"/>
        <v>#N/A</v>
      </c>
      <c r="O284" s="1"/>
      <c r="R284" s="1"/>
      <c r="U284" s="1" t="s">
        <v>628</v>
      </c>
      <c r="V284" t="str">
        <f t="shared" si="31"/>
        <v>F5b*0,5</v>
      </c>
      <c r="W284" s="3">
        <f t="shared" si="32"/>
        <v>0.25</v>
      </c>
      <c r="AH284" t="s">
        <v>2254</v>
      </c>
      <c r="AI284" t="s">
        <v>1832</v>
      </c>
      <c r="AJ284">
        <v>0.5</v>
      </c>
    </row>
    <row r="285" spans="1:36" x14ac:dyDescent="0.25">
      <c r="A285" s="6" t="e">
        <f t="shared" si="33"/>
        <v>#N/A</v>
      </c>
      <c r="B285" s="3" t="e">
        <f t="shared" si="36"/>
        <v>#N/A</v>
      </c>
      <c r="C285" s="3" t="e">
        <f t="shared" si="37"/>
        <v>#N/A</v>
      </c>
      <c r="D285" s="3" t="e">
        <f t="shared" si="34"/>
        <v>#N/A</v>
      </c>
      <c r="E285" s="3" t="e">
        <f t="shared" si="35"/>
        <v>#N/A</v>
      </c>
      <c r="O285" s="1"/>
      <c r="R285" s="1"/>
      <c r="U285" s="1" t="s">
        <v>628</v>
      </c>
      <c r="V285" t="str">
        <f t="shared" si="31"/>
        <v>F5c*0,5</v>
      </c>
      <c r="W285" s="3">
        <f t="shared" si="32"/>
        <v>0.25</v>
      </c>
      <c r="AH285" t="s">
        <v>2255</v>
      </c>
      <c r="AI285" t="s">
        <v>1833</v>
      </c>
      <c r="AJ285">
        <v>0.5</v>
      </c>
    </row>
    <row r="286" spans="1:36" x14ac:dyDescent="0.25">
      <c r="A286" s="6" t="e">
        <f t="shared" si="33"/>
        <v>#N/A</v>
      </c>
      <c r="B286" s="3" t="e">
        <f t="shared" si="36"/>
        <v>#N/A</v>
      </c>
      <c r="C286" s="3" t="e">
        <f t="shared" si="37"/>
        <v>#N/A</v>
      </c>
      <c r="D286" s="3" t="e">
        <f t="shared" si="34"/>
        <v>#N/A</v>
      </c>
      <c r="E286" s="3" t="e">
        <f t="shared" si="35"/>
        <v>#N/A</v>
      </c>
      <c r="O286" s="1"/>
      <c r="R286" s="1"/>
      <c r="U286" s="1" t="s">
        <v>628</v>
      </c>
      <c r="V286" t="str">
        <f t="shared" si="31"/>
        <v>F6a*0,5</v>
      </c>
      <c r="W286" s="3">
        <f t="shared" si="32"/>
        <v>0.32500000000000001</v>
      </c>
      <c r="AH286" t="s">
        <v>2256</v>
      </c>
      <c r="AI286" t="s">
        <v>1834</v>
      </c>
      <c r="AJ286">
        <v>0.5</v>
      </c>
    </row>
    <row r="287" spans="1:36" x14ac:dyDescent="0.25">
      <c r="A287" s="6" t="e">
        <f t="shared" si="33"/>
        <v>#N/A</v>
      </c>
      <c r="B287" s="3" t="e">
        <f t="shared" si="36"/>
        <v>#N/A</v>
      </c>
      <c r="C287" s="3" t="e">
        <f t="shared" si="37"/>
        <v>#N/A</v>
      </c>
      <c r="D287" s="3" t="e">
        <f t="shared" si="34"/>
        <v>#N/A</v>
      </c>
      <c r="E287" s="3" t="e">
        <f t="shared" si="35"/>
        <v>#N/A</v>
      </c>
      <c r="O287" s="1"/>
      <c r="R287" s="1"/>
      <c r="U287" s="1" t="s">
        <v>628</v>
      </c>
      <c r="V287" t="str">
        <f t="shared" si="31"/>
        <v>F6b*0,5</v>
      </c>
      <c r="W287" s="3">
        <f t="shared" si="32"/>
        <v>0.32500000000000001</v>
      </c>
      <c r="AH287" t="s">
        <v>2257</v>
      </c>
      <c r="AI287" t="s">
        <v>1835</v>
      </c>
      <c r="AJ287">
        <v>0.5</v>
      </c>
    </row>
    <row r="288" spans="1:36" x14ac:dyDescent="0.25">
      <c r="A288" s="6" t="e">
        <f t="shared" si="33"/>
        <v>#N/A</v>
      </c>
      <c r="B288" s="3" t="e">
        <f t="shared" si="36"/>
        <v>#N/A</v>
      </c>
      <c r="C288" s="3" t="e">
        <f t="shared" si="37"/>
        <v>#N/A</v>
      </c>
      <c r="D288" s="3" t="e">
        <f t="shared" si="34"/>
        <v>#N/A</v>
      </c>
      <c r="E288" s="3" t="e">
        <f t="shared" si="35"/>
        <v>#N/A</v>
      </c>
      <c r="O288" s="1"/>
      <c r="R288" s="1"/>
      <c r="U288" s="1" t="s">
        <v>628</v>
      </c>
      <c r="V288" t="str">
        <f t="shared" si="31"/>
        <v>F6c*0,5</v>
      </c>
      <c r="W288" s="3">
        <f t="shared" si="32"/>
        <v>0.32500000000000001</v>
      </c>
      <c r="AH288" t="s">
        <v>2258</v>
      </c>
      <c r="AI288" t="s">
        <v>1836</v>
      </c>
      <c r="AJ288">
        <v>0.5</v>
      </c>
    </row>
    <row r="289" spans="1:36" x14ac:dyDescent="0.25">
      <c r="A289" s="6" t="e">
        <f t="shared" si="33"/>
        <v>#N/A</v>
      </c>
      <c r="B289" s="3" t="e">
        <f t="shared" si="36"/>
        <v>#N/A</v>
      </c>
      <c r="C289" s="3" t="e">
        <f t="shared" si="37"/>
        <v>#N/A</v>
      </c>
      <c r="D289" s="3" t="e">
        <f t="shared" si="34"/>
        <v>#N/A</v>
      </c>
      <c r="E289" s="3" t="e">
        <f t="shared" si="35"/>
        <v>#N/A</v>
      </c>
      <c r="O289" s="1"/>
      <c r="R289" s="1"/>
      <c r="U289" s="1" t="s">
        <v>628</v>
      </c>
      <c r="V289" t="str">
        <f t="shared" si="31"/>
        <v>F6d*0,5</v>
      </c>
      <c r="W289" s="3">
        <f t="shared" si="32"/>
        <v>0.32500000000000001</v>
      </c>
      <c r="AH289" t="s">
        <v>2259</v>
      </c>
      <c r="AI289" t="s">
        <v>1837</v>
      </c>
      <c r="AJ289">
        <v>0.5</v>
      </c>
    </row>
    <row r="290" spans="1:36" x14ac:dyDescent="0.25">
      <c r="A290" s="6" t="e">
        <f t="shared" si="33"/>
        <v>#N/A</v>
      </c>
      <c r="B290" s="3" t="e">
        <f t="shared" si="36"/>
        <v>#N/A</v>
      </c>
      <c r="C290" s="3" t="e">
        <f t="shared" si="37"/>
        <v>#N/A</v>
      </c>
      <c r="D290" s="3" t="e">
        <f t="shared" si="34"/>
        <v>#N/A</v>
      </c>
      <c r="E290" s="3" t="e">
        <f t="shared" si="35"/>
        <v>#N/A</v>
      </c>
      <c r="O290" s="1"/>
      <c r="R290" s="1"/>
      <c r="U290" s="1" t="s">
        <v>628</v>
      </c>
      <c r="V290" t="str">
        <f t="shared" ref="V290:V294" si="40">CONCATENATE(V132,"*0,5")</f>
        <v>F7*0,5</v>
      </c>
      <c r="W290" s="3">
        <f t="shared" ref="W290:W294" si="41">W132*0.5</f>
        <v>0.375</v>
      </c>
      <c r="AH290" t="s">
        <v>2260</v>
      </c>
      <c r="AI290" t="s">
        <v>1705</v>
      </c>
      <c r="AJ290">
        <v>0.5</v>
      </c>
    </row>
    <row r="291" spans="1:36" x14ac:dyDescent="0.25">
      <c r="A291" s="6" t="e">
        <f t="shared" si="33"/>
        <v>#N/A</v>
      </c>
      <c r="B291" s="3" t="e">
        <f t="shared" si="36"/>
        <v>#N/A</v>
      </c>
      <c r="C291" s="3" t="e">
        <f t="shared" si="37"/>
        <v>#N/A</v>
      </c>
      <c r="D291" s="3" t="e">
        <f t="shared" si="34"/>
        <v>#N/A</v>
      </c>
      <c r="E291" s="3" t="e">
        <f t="shared" si="35"/>
        <v>#N/A</v>
      </c>
      <c r="O291" s="1"/>
      <c r="R291" s="1"/>
      <c r="U291" s="1" t="s">
        <v>628</v>
      </c>
      <c r="V291" t="str">
        <f t="shared" si="40"/>
        <v>F8a*0,5</v>
      </c>
      <c r="W291" s="3">
        <f t="shared" si="41"/>
        <v>0.45</v>
      </c>
      <c r="AH291" t="s">
        <v>2261</v>
      </c>
      <c r="AI291" t="s">
        <v>1838</v>
      </c>
      <c r="AJ291">
        <v>0.5</v>
      </c>
    </row>
    <row r="292" spans="1:36" x14ac:dyDescent="0.25">
      <c r="A292" s="6" t="e">
        <f t="shared" ref="A292:A355" si="42">IF($B$1="Solo",IF(L291="","",L291),IF($B$1="Duet",IF(O291="","",O291),IF($B$1="Mixed",IF(R291="","",R291),IF(U291="","",U291))))</f>
        <v>#N/A</v>
      </c>
      <c r="B292" s="3" t="e">
        <f t="shared" si="36"/>
        <v>#N/A</v>
      </c>
      <c r="C292" s="3" t="e">
        <f t="shared" si="37"/>
        <v>#N/A</v>
      </c>
      <c r="D292" s="3" t="e">
        <f t="shared" si="34"/>
        <v>#N/A</v>
      </c>
      <c r="E292" s="3" t="e">
        <f t="shared" si="35"/>
        <v>#N/A</v>
      </c>
      <c r="O292" s="1"/>
      <c r="R292" s="1"/>
      <c r="U292" s="1" t="s">
        <v>628</v>
      </c>
      <c r="V292" t="str">
        <f t="shared" si="40"/>
        <v>F8b*0,5</v>
      </c>
      <c r="W292" s="3">
        <f t="shared" si="41"/>
        <v>0.45</v>
      </c>
      <c r="AH292" t="s">
        <v>2262</v>
      </c>
      <c r="AI292" t="s">
        <v>1839</v>
      </c>
      <c r="AJ292">
        <v>0.5</v>
      </c>
    </row>
    <row r="293" spans="1:36" x14ac:dyDescent="0.25">
      <c r="A293" s="6" t="e">
        <f t="shared" si="42"/>
        <v>#N/A</v>
      </c>
      <c r="B293" s="3" t="e">
        <f t="shared" si="36"/>
        <v>#N/A</v>
      </c>
      <c r="C293" s="3" t="e">
        <f t="shared" si="37"/>
        <v>#N/A</v>
      </c>
      <c r="D293" s="3" t="e">
        <f t="shared" si="34"/>
        <v>#N/A</v>
      </c>
      <c r="E293" s="3" t="e">
        <f t="shared" si="35"/>
        <v>#N/A</v>
      </c>
      <c r="O293" s="1"/>
      <c r="R293" s="1"/>
      <c r="U293" s="1" t="s">
        <v>628</v>
      </c>
      <c r="V293" t="str">
        <f t="shared" si="40"/>
        <v>F9*0,5</v>
      </c>
      <c r="W293" s="3">
        <f t="shared" si="41"/>
        <v>0.5</v>
      </c>
      <c r="AH293" t="s">
        <v>2263</v>
      </c>
      <c r="AI293" t="s">
        <v>1706</v>
      </c>
      <c r="AJ293">
        <v>0.5</v>
      </c>
    </row>
    <row r="294" spans="1:36" x14ac:dyDescent="0.25">
      <c r="A294" s="6" t="e">
        <f t="shared" si="42"/>
        <v>#N/A</v>
      </c>
      <c r="B294" s="3" t="e">
        <f t="shared" si="36"/>
        <v>#N/A</v>
      </c>
      <c r="C294" s="3" t="e">
        <f t="shared" si="37"/>
        <v>#N/A</v>
      </c>
      <c r="D294" s="3" t="e">
        <f t="shared" si="34"/>
        <v>#N/A</v>
      </c>
      <c r="E294" s="3" t="e">
        <f t="shared" si="35"/>
        <v>#N/A</v>
      </c>
      <c r="O294" s="1"/>
      <c r="R294" s="1"/>
      <c r="U294" s="1" t="s">
        <v>628</v>
      </c>
      <c r="V294" t="str">
        <f t="shared" si="40"/>
        <v>F10*0,5</v>
      </c>
      <c r="W294" s="3">
        <f t="shared" si="41"/>
        <v>0.65</v>
      </c>
      <c r="AH294" t="s">
        <v>2264</v>
      </c>
      <c r="AI294" t="s">
        <v>1707</v>
      </c>
      <c r="AJ294">
        <v>0.5</v>
      </c>
    </row>
    <row r="295" spans="1:36" x14ac:dyDescent="0.25">
      <c r="A295" s="6" t="e">
        <f t="shared" si="42"/>
        <v>#N/A</v>
      </c>
      <c r="B295" s="3" t="e">
        <f t="shared" si="36"/>
        <v>#N/A</v>
      </c>
      <c r="C295" s="3" t="e">
        <f t="shared" si="37"/>
        <v>#N/A</v>
      </c>
      <c r="D295" s="3" t="e">
        <f t="shared" si="34"/>
        <v>#N/A</v>
      </c>
      <c r="E295" s="3" t="e">
        <f t="shared" si="35"/>
        <v>#N/A</v>
      </c>
      <c r="U295" s="1" t="s">
        <v>629</v>
      </c>
      <c r="V295" t="s">
        <v>2003</v>
      </c>
      <c r="W295" s="3">
        <v>0.05</v>
      </c>
      <c r="AH295" t="s">
        <v>2024</v>
      </c>
      <c r="AI295" t="s">
        <v>1638</v>
      </c>
      <c r="AJ295">
        <v>0.5</v>
      </c>
    </row>
    <row r="296" spans="1:36" x14ac:dyDescent="0.25">
      <c r="A296" s="6" t="e">
        <f t="shared" si="42"/>
        <v>#N/A</v>
      </c>
      <c r="B296" s="3" t="e">
        <f t="shared" si="36"/>
        <v>#N/A</v>
      </c>
      <c r="C296" s="3" t="e">
        <f t="shared" si="37"/>
        <v>#N/A</v>
      </c>
      <c r="D296" s="3" t="e">
        <f t="shared" si="34"/>
        <v>#N/A</v>
      </c>
      <c r="E296" s="3" t="e">
        <f t="shared" si="35"/>
        <v>#N/A</v>
      </c>
      <c r="U296" s="1" t="s">
        <v>629</v>
      </c>
      <c r="V296" t="s">
        <v>2279</v>
      </c>
      <c r="W296" s="3">
        <v>0.1</v>
      </c>
      <c r="AH296" t="s">
        <v>2025</v>
      </c>
      <c r="AI296" t="s">
        <v>56</v>
      </c>
      <c r="AJ296">
        <v>0.5</v>
      </c>
    </row>
    <row r="297" spans="1:36" x14ac:dyDescent="0.25">
      <c r="A297" s="6" t="e">
        <f t="shared" si="42"/>
        <v>#N/A</v>
      </c>
      <c r="B297" s="3" t="e">
        <f t="shared" si="36"/>
        <v>#N/A</v>
      </c>
      <c r="C297" s="3" t="e">
        <f t="shared" si="37"/>
        <v>#N/A</v>
      </c>
      <c r="D297" s="3" t="e">
        <f t="shared" si="34"/>
        <v>#N/A</v>
      </c>
      <c r="E297" s="3" t="e">
        <f t="shared" si="35"/>
        <v>#N/A</v>
      </c>
      <c r="U297" s="1" t="s">
        <v>629</v>
      </c>
      <c r="V297" t="s">
        <v>2004</v>
      </c>
      <c r="W297" s="3">
        <v>0.1</v>
      </c>
      <c r="AH297" t="s">
        <v>2026</v>
      </c>
      <c r="AI297" t="s">
        <v>1784</v>
      </c>
      <c r="AJ297">
        <v>0.5</v>
      </c>
    </row>
    <row r="298" spans="1:36" x14ac:dyDescent="0.25">
      <c r="A298" s="6" t="e">
        <f t="shared" si="42"/>
        <v>#N/A</v>
      </c>
      <c r="B298" s="3" t="e">
        <f t="shared" si="36"/>
        <v>#N/A</v>
      </c>
      <c r="C298" s="3" t="e">
        <f t="shared" si="37"/>
        <v>#N/A</v>
      </c>
      <c r="D298" s="3" t="e">
        <f t="shared" si="34"/>
        <v>#N/A</v>
      </c>
      <c r="E298" s="3" t="e">
        <f t="shared" si="35"/>
        <v>#N/A</v>
      </c>
      <c r="U298" s="1" t="s">
        <v>629</v>
      </c>
      <c r="V298" t="s">
        <v>2280</v>
      </c>
      <c r="W298" s="3">
        <v>0.15</v>
      </c>
      <c r="AH298" t="s">
        <v>2027</v>
      </c>
      <c r="AI298" t="s">
        <v>1785</v>
      </c>
      <c r="AJ298">
        <v>0.5</v>
      </c>
    </row>
    <row r="299" spans="1:36" x14ac:dyDescent="0.25">
      <c r="A299" s="6" t="e">
        <f t="shared" si="42"/>
        <v>#N/A</v>
      </c>
      <c r="B299" s="3" t="e">
        <f t="shared" si="36"/>
        <v>#N/A</v>
      </c>
      <c r="C299" s="3" t="e">
        <f t="shared" si="37"/>
        <v>#N/A</v>
      </c>
      <c r="D299" s="3" t="e">
        <f t="shared" si="34"/>
        <v>#N/A</v>
      </c>
      <c r="E299" s="3" t="e">
        <f t="shared" si="35"/>
        <v>#N/A</v>
      </c>
      <c r="U299" s="1" t="s">
        <v>629</v>
      </c>
      <c r="V299" t="s">
        <v>2005</v>
      </c>
      <c r="W299" s="3">
        <v>0.1</v>
      </c>
      <c r="AH299" t="s">
        <v>2028</v>
      </c>
      <c r="AI299" t="s">
        <v>1786</v>
      </c>
      <c r="AJ299">
        <v>0.5</v>
      </c>
    </row>
    <row r="300" spans="1:36" x14ac:dyDescent="0.25">
      <c r="A300" s="6" t="e">
        <f t="shared" si="42"/>
        <v>#N/A</v>
      </c>
      <c r="B300" s="3" t="e">
        <f t="shared" si="36"/>
        <v>#N/A</v>
      </c>
      <c r="C300" s="3" t="e">
        <f t="shared" si="37"/>
        <v>#N/A</v>
      </c>
      <c r="D300" s="3" t="e">
        <f t="shared" si="34"/>
        <v>#N/A</v>
      </c>
      <c r="E300" s="3" t="e">
        <f t="shared" si="35"/>
        <v>#N/A</v>
      </c>
      <c r="U300" s="1" t="s">
        <v>629</v>
      </c>
      <c r="V300" t="s">
        <v>2281</v>
      </c>
      <c r="W300" s="3">
        <v>0.15</v>
      </c>
      <c r="AH300" t="s">
        <v>2029</v>
      </c>
      <c r="AI300" t="s">
        <v>1787</v>
      </c>
      <c r="AJ300">
        <v>0.5</v>
      </c>
    </row>
    <row r="301" spans="1:36" x14ac:dyDescent="0.25">
      <c r="A301" s="6" t="e">
        <f t="shared" si="42"/>
        <v>#N/A</v>
      </c>
      <c r="B301" s="3" t="e">
        <f t="shared" si="36"/>
        <v>#N/A</v>
      </c>
      <c r="C301" s="3" t="e">
        <f t="shared" si="37"/>
        <v>#N/A</v>
      </c>
      <c r="D301" s="3" t="e">
        <f t="shared" si="34"/>
        <v>#N/A</v>
      </c>
      <c r="E301" s="3" t="e">
        <f t="shared" si="35"/>
        <v>#N/A</v>
      </c>
      <c r="U301" s="1" t="s">
        <v>629</v>
      </c>
      <c r="V301" t="s">
        <v>2006</v>
      </c>
      <c r="W301" s="3">
        <v>0.15</v>
      </c>
      <c r="AH301" t="s">
        <v>2030</v>
      </c>
      <c r="AI301" t="s">
        <v>1788</v>
      </c>
      <c r="AJ301">
        <v>0.5</v>
      </c>
    </row>
    <row r="302" spans="1:36" x14ac:dyDescent="0.25">
      <c r="A302" s="6" t="e">
        <f t="shared" si="42"/>
        <v>#N/A</v>
      </c>
      <c r="B302" s="3" t="e">
        <f t="shared" si="36"/>
        <v>#N/A</v>
      </c>
      <c r="C302" s="3" t="e">
        <f t="shared" si="37"/>
        <v>#N/A</v>
      </c>
      <c r="D302" s="3" t="e">
        <f t="shared" si="34"/>
        <v>#N/A</v>
      </c>
      <c r="E302" s="3" t="e">
        <f t="shared" si="35"/>
        <v>#N/A</v>
      </c>
      <c r="U302" s="1" t="s">
        <v>629</v>
      </c>
      <c r="V302" t="s">
        <v>2282</v>
      </c>
      <c r="W302" s="3">
        <v>0.2</v>
      </c>
      <c r="AH302" t="s">
        <v>2031</v>
      </c>
      <c r="AI302" t="s">
        <v>1789</v>
      </c>
      <c r="AJ302">
        <v>0.5</v>
      </c>
    </row>
    <row r="303" spans="1:36" x14ac:dyDescent="0.25">
      <c r="A303" s="6" t="e">
        <f t="shared" si="42"/>
        <v>#N/A</v>
      </c>
      <c r="B303" s="3" t="e">
        <f t="shared" si="36"/>
        <v>#N/A</v>
      </c>
      <c r="C303" s="3" t="e">
        <f t="shared" si="37"/>
        <v>#N/A</v>
      </c>
      <c r="D303" s="3" t="e">
        <f t="shared" si="34"/>
        <v>#N/A</v>
      </c>
      <c r="E303" s="3" t="e">
        <f t="shared" si="35"/>
        <v>#N/A</v>
      </c>
      <c r="U303" s="1" t="s">
        <v>629</v>
      </c>
      <c r="V303" t="s">
        <v>2007</v>
      </c>
      <c r="W303" s="3">
        <v>0.15</v>
      </c>
      <c r="AH303" t="s">
        <v>2032</v>
      </c>
      <c r="AI303" t="s">
        <v>1790</v>
      </c>
      <c r="AJ303">
        <v>0.5</v>
      </c>
    </row>
    <row r="304" spans="1:36" x14ac:dyDescent="0.25">
      <c r="A304" s="6" t="e">
        <f t="shared" si="42"/>
        <v>#N/A</v>
      </c>
      <c r="B304" s="3" t="e">
        <f t="shared" si="36"/>
        <v>#N/A</v>
      </c>
      <c r="C304" s="3" t="e">
        <f t="shared" si="37"/>
        <v>#N/A</v>
      </c>
      <c r="D304" s="3" t="e">
        <f t="shared" si="34"/>
        <v>#N/A</v>
      </c>
      <c r="E304" s="3" t="e">
        <f t="shared" si="35"/>
        <v>#N/A</v>
      </c>
      <c r="U304" s="1" t="s">
        <v>629</v>
      </c>
      <c r="V304" t="s">
        <v>2283</v>
      </c>
      <c r="W304" s="3">
        <v>0.2</v>
      </c>
      <c r="AH304" t="s">
        <v>2033</v>
      </c>
      <c r="AI304" t="s">
        <v>1791</v>
      </c>
      <c r="AJ304">
        <v>0.5</v>
      </c>
    </row>
    <row r="305" spans="1:36" x14ac:dyDescent="0.25">
      <c r="A305" s="6" t="e">
        <f t="shared" si="42"/>
        <v>#N/A</v>
      </c>
      <c r="B305" s="3" t="e">
        <f t="shared" si="36"/>
        <v>#N/A</v>
      </c>
      <c r="C305" s="3" t="e">
        <f t="shared" si="37"/>
        <v>#N/A</v>
      </c>
      <c r="D305" s="3" t="e">
        <f t="shared" si="34"/>
        <v>#N/A</v>
      </c>
      <c r="E305" s="3" t="e">
        <f t="shared" si="35"/>
        <v>#N/A</v>
      </c>
      <c r="U305" s="1" t="s">
        <v>629</v>
      </c>
      <c r="V305" t="s">
        <v>2008</v>
      </c>
      <c r="W305" s="3">
        <v>0.15</v>
      </c>
      <c r="AH305" t="s">
        <v>2034</v>
      </c>
      <c r="AI305" t="s">
        <v>1792</v>
      </c>
      <c r="AJ305">
        <v>0.5</v>
      </c>
    </row>
    <row r="306" spans="1:36" x14ac:dyDescent="0.25">
      <c r="A306" s="6" t="e">
        <f t="shared" si="42"/>
        <v>#N/A</v>
      </c>
      <c r="B306" s="3" t="e">
        <f t="shared" si="36"/>
        <v>#N/A</v>
      </c>
      <c r="C306" s="3" t="e">
        <f t="shared" si="37"/>
        <v>#N/A</v>
      </c>
      <c r="D306" s="3" t="e">
        <f t="shared" si="34"/>
        <v>#N/A</v>
      </c>
      <c r="E306" s="3" t="e">
        <f t="shared" si="35"/>
        <v>#N/A</v>
      </c>
      <c r="U306" s="1" t="s">
        <v>629</v>
      </c>
      <c r="V306" t="s">
        <v>2284</v>
      </c>
      <c r="W306" s="3">
        <v>0.2</v>
      </c>
      <c r="AH306" t="s">
        <v>2035</v>
      </c>
      <c r="AI306" t="s">
        <v>1793</v>
      </c>
      <c r="AJ306">
        <v>0.5</v>
      </c>
    </row>
    <row r="307" spans="1:36" x14ac:dyDescent="0.25">
      <c r="A307" s="6" t="e">
        <f t="shared" si="42"/>
        <v>#N/A</v>
      </c>
      <c r="B307" s="3" t="e">
        <f t="shared" si="36"/>
        <v>#N/A</v>
      </c>
      <c r="C307" s="3" t="e">
        <f t="shared" si="37"/>
        <v>#N/A</v>
      </c>
      <c r="D307" s="3" t="e">
        <f t="shared" si="34"/>
        <v>#N/A</v>
      </c>
      <c r="E307" s="3" t="e">
        <f t="shared" si="35"/>
        <v>#N/A</v>
      </c>
      <c r="U307" s="1" t="s">
        <v>629</v>
      </c>
      <c r="V307" t="s">
        <v>2009</v>
      </c>
      <c r="W307" s="3">
        <v>0.2</v>
      </c>
      <c r="AH307" t="s">
        <v>2036</v>
      </c>
      <c r="AI307" t="s">
        <v>1859</v>
      </c>
      <c r="AJ307">
        <v>0.5</v>
      </c>
    </row>
    <row r="308" spans="1:36" x14ac:dyDescent="0.25">
      <c r="A308" s="6" t="e">
        <f t="shared" si="42"/>
        <v>#N/A</v>
      </c>
      <c r="B308" s="3" t="e">
        <f t="shared" si="36"/>
        <v>#N/A</v>
      </c>
      <c r="C308" s="3" t="e">
        <f t="shared" si="37"/>
        <v>#N/A</v>
      </c>
      <c r="D308" s="3" t="e">
        <f t="shared" si="34"/>
        <v>#N/A</v>
      </c>
      <c r="E308" s="3" t="e">
        <f t="shared" si="35"/>
        <v>#N/A</v>
      </c>
      <c r="U308" s="1" t="s">
        <v>629</v>
      </c>
      <c r="V308" t="s">
        <v>2285</v>
      </c>
      <c r="W308" s="3">
        <v>0.25</v>
      </c>
      <c r="AH308" t="s">
        <v>2037</v>
      </c>
      <c r="AI308" t="s">
        <v>1794</v>
      </c>
      <c r="AJ308">
        <v>0.5</v>
      </c>
    </row>
    <row r="309" spans="1:36" x14ac:dyDescent="0.25">
      <c r="A309" s="6" t="e">
        <f t="shared" si="42"/>
        <v>#N/A</v>
      </c>
      <c r="B309" s="3" t="e">
        <f t="shared" si="36"/>
        <v>#N/A</v>
      </c>
      <c r="C309" s="3" t="e">
        <f t="shared" si="37"/>
        <v>#N/A</v>
      </c>
      <c r="D309" s="3" t="e">
        <f t="shared" si="34"/>
        <v>#N/A</v>
      </c>
      <c r="E309" s="3" t="e">
        <f t="shared" si="35"/>
        <v>#N/A</v>
      </c>
      <c r="U309" s="1" t="s">
        <v>629</v>
      </c>
      <c r="V309" t="s">
        <v>2010</v>
      </c>
      <c r="W309" s="3">
        <v>0.25</v>
      </c>
      <c r="AH309" t="s">
        <v>2038</v>
      </c>
      <c r="AI309" t="s">
        <v>1795</v>
      </c>
      <c r="AJ309">
        <v>0.5</v>
      </c>
    </row>
    <row r="310" spans="1:36" x14ac:dyDescent="0.25">
      <c r="A310" s="6" t="e">
        <f t="shared" si="42"/>
        <v>#N/A</v>
      </c>
      <c r="B310" s="3" t="e">
        <f t="shared" si="36"/>
        <v>#N/A</v>
      </c>
      <c r="C310" s="3" t="e">
        <f t="shared" si="37"/>
        <v>#N/A</v>
      </c>
      <c r="D310" s="3" t="e">
        <f t="shared" si="34"/>
        <v>#N/A</v>
      </c>
      <c r="E310" s="3" t="e">
        <f t="shared" si="35"/>
        <v>#N/A</v>
      </c>
      <c r="U310" s="1" t="s">
        <v>629</v>
      </c>
      <c r="V310" t="s">
        <v>2286</v>
      </c>
      <c r="W310" s="3">
        <v>0.3</v>
      </c>
      <c r="AH310" t="s">
        <v>2039</v>
      </c>
      <c r="AI310" t="s">
        <v>1796</v>
      </c>
      <c r="AJ310">
        <v>0.5</v>
      </c>
    </row>
    <row r="311" spans="1:36" x14ac:dyDescent="0.25">
      <c r="A311" s="6" t="e">
        <f t="shared" si="42"/>
        <v>#N/A</v>
      </c>
      <c r="B311" s="3" t="e">
        <f t="shared" si="36"/>
        <v>#N/A</v>
      </c>
      <c r="C311" s="3" t="e">
        <f t="shared" si="37"/>
        <v>#N/A</v>
      </c>
      <c r="D311" s="3" t="e">
        <f t="shared" si="34"/>
        <v>#N/A</v>
      </c>
      <c r="E311" s="3" t="e">
        <f t="shared" si="35"/>
        <v>#N/A</v>
      </c>
      <c r="U311" s="1" t="s">
        <v>629</v>
      </c>
      <c r="V311" t="s">
        <v>2011</v>
      </c>
      <c r="W311" s="3">
        <v>0.5</v>
      </c>
      <c r="AH311" t="s">
        <v>2040</v>
      </c>
      <c r="AI311" t="s">
        <v>1797</v>
      </c>
      <c r="AJ311">
        <v>0.5</v>
      </c>
    </row>
    <row r="312" spans="1:36" x14ac:dyDescent="0.25">
      <c r="A312" s="6" t="e">
        <f t="shared" si="42"/>
        <v>#N/A</v>
      </c>
      <c r="B312" s="3" t="e">
        <f t="shared" si="36"/>
        <v>#N/A</v>
      </c>
      <c r="C312" s="3" t="e">
        <f t="shared" si="37"/>
        <v>#N/A</v>
      </c>
      <c r="D312" s="3" t="e">
        <f t="shared" si="34"/>
        <v>#N/A</v>
      </c>
      <c r="E312" s="3" t="e">
        <f t="shared" si="35"/>
        <v>#N/A</v>
      </c>
      <c r="U312" s="1" t="s">
        <v>629</v>
      </c>
      <c r="V312" t="s">
        <v>2287</v>
      </c>
      <c r="W312" s="3">
        <v>0.55000000000000004</v>
      </c>
      <c r="AH312" t="s">
        <v>2041</v>
      </c>
      <c r="AI312" t="s">
        <v>1798</v>
      </c>
      <c r="AJ312">
        <v>0.5</v>
      </c>
    </row>
    <row r="313" spans="1:36" x14ac:dyDescent="0.25">
      <c r="A313" s="6" t="e">
        <f t="shared" si="42"/>
        <v>#N/A</v>
      </c>
      <c r="B313" s="3" t="e">
        <f t="shared" si="36"/>
        <v>#N/A</v>
      </c>
      <c r="C313" s="3" t="e">
        <f t="shared" si="37"/>
        <v>#N/A</v>
      </c>
      <c r="D313" s="3" t="e">
        <f t="shared" si="34"/>
        <v>#N/A</v>
      </c>
      <c r="E313" s="3" t="e">
        <f t="shared" si="35"/>
        <v>#N/A</v>
      </c>
      <c r="U313" s="1" t="s">
        <v>629</v>
      </c>
      <c r="V313" t="s">
        <v>2012</v>
      </c>
      <c r="W313" s="3">
        <v>0.625</v>
      </c>
      <c r="AH313" t="s">
        <v>2042</v>
      </c>
      <c r="AI313" t="s">
        <v>1799</v>
      </c>
      <c r="AJ313">
        <v>0.5</v>
      </c>
    </row>
    <row r="314" spans="1:36" x14ac:dyDescent="0.25">
      <c r="A314" s="6" t="e">
        <f t="shared" si="42"/>
        <v>#N/A</v>
      </c>
      <c r="B314" s="3" t="e">
        <f t="shared" si="36"/>
        <v>#N/A</v>
      </c>
      <c r="C314" s="3" t="e">
        <f t="shared" si="37"/>
        <v>#N/A</v>
      </c>
      <c r="D314" s="3" t="e">
        <f t="shared" si="34"/>
        <v>#N/A</v>
      </c>
      <c r="E314" s="3" t="e">
        <f t="shared" si="35"/>
        <v>#N/A</v>
      </c>
      <c r="U314" s="1" t="s">
        <v>629</v>
      </c>
      <c r="V314" t="s">
        <v>2288</v>
      </c>
      <c r="W314" s="3">
        <v>0.67500000000000004</v>
      </c>
      <c r="AH314" t="s">
        <v>2043</v>
      </c>
      <c r="AI314" t="s">
        <v>1800</v>
      </c>
      <c r="AJ314">
        <v>0.5</v>
      </c>
    </row>
    <row r="315" spans="1:36" x14ac:dyDescent="0.25">
      <c r="A315" s="6" t="e">
        <f t="shared" si="42"/>
        <v>#N/A</v>
      </c>
      <c r="B315" s="3" t="e">
        <f t="shared" si="36"/>
        <v>#N/A</v>
      </c>
      <c r="C315" s="3" t="e">
        <f t="shared" si="37"/>
        <v>#N/A</v>
      </c>
      <c r="D315" s="3" t="e">
        <f t="shared" si="34"/>
        <v>#N/A</v>
      </c>
      <c r="E315" s="3" t="e">
        <f t="shared" si="35"/>
        <v>#N/A</v>
      </c>
      <c r="U315" s="1" t="s">
        <v>629</v>
      </c>
      <c r="V315" t="s">
        <v>2013</v>
      </c>
      <c r="W315" s="3">
        <v>0.625</v>
      </c>
      <c r="AH315" t="s">
        <v>2044</v>
      </c>
      <c r="AI315" t="s">
        <v>1801</v>
      </c>
      <c r="AJ315">
        <v>0.5</v>
      </c>
    </row>
    <row r="316" spans="1:36" x14ac:dyDescent="0.25">
      <c r="A316" s="6" t="e">
        <f t="shared" si="42"/>
        <v>#N/A</v>
      </c>
      <c r="B316" s="3" t="e">
        <f t="shared" si="36"/>
        <v>#N/A</v>
      </c>
      <c r="C316" s="3" t="e">
        <f t="shared" si="37"/>
        <v>#N/A</v>
      </c>
      <c r="D316" s="3" t="e">
        <f t="shared" si="34"/>
        <v>#N/A</v>
      </c>
      <c r="E316" s="3" t="e">
        <f t="shared" si="35"/>
        <v>#N/A</v>
      </c>
      <c r="U316" s="1" t="s">
        <v>629</v>
      </c>
      <c r="V316" t="s">
        <v>2289</v>
      </c>
      <c r="W316" s="3">
        <v>0.67500000000000004</v>
      </c>
      <c r="AH316" t="s">
        <v>2045</v>
      </c>
      <c r="AI316" t="s">
        <v>58</v>
      </c>
      <c r="AJ316">
        <v>0.5</v>
      </c>
    </row>
    <row r="317" spans="1:36" x14ac:dyDescent="0.25">
      <c r="A317" s="6" t="e">
        <f t="shared" si="42"/>
        <v>#N/A</v>
      </c>
      <c r="B317" s="3" t="e">
        <f t="shared" si="36"/>
        <v>#N/A</v>
      </c>
      <c r="C317" s="3" t="e">
        <f t="shared" si="37"/>
        <v>#N/A</v>
      </c>
      <c r="D317" s="3" t="e">
        <f t="shared" si="34"/>
        <v>#N/A</v>
      </c>
      <c r="E317" s="3" t="e">
        <f t="shared" si="35"/>
        <v>#N/A</v>
      </c>
      <c r="U317" s="1" t="s">
        <v>629</v>
      </c>
      <c r="V317" t="s">
        <v>2014</v>
      </c>
      <c r="W317" s="3">
        <v>0.75</v>
      </c>
      <c r="AH317" t="s">
        <v>2046</v>
      </c>
      <c r="AI317" t="s">
        <v>59</v>
      </c>
      <c r="AJ317">
        <v>0.5</v>
      </c>
    </row>
    <row r="318" spans="1:36" x14ac:dyDescent="0.25">
      <c r="A318" s="6" t="e">
        <f t="shared" si="42"/>
        <v>#N/A</v>
      </c>
      <c r="B318" s="3" t="e">
        <f t="shared" si="36"/>
        <v>#N/A</v>
      </c>
      <c r="C318" s="3" t="e">
        <f t="shared" si="37"/>
        <v>#N/A</v>
      </c>
      <c r="D318" s="3" t="e">
        <f t="shared" si="34"/>
        <v>#N/A</v>
      </c>
      <c r="E318" s="3" t="e">
        <f t="shared" si="35"/>
        <v>#N/A</v>
      </c>
      <c r="U318" s="1" t="s">
        <v>629</v>
      </c>
      <c r="V318" t="s">
        <v>2290</v>
      </c>
      <c r="W318" s="3">
        <v>0.8</v>
      </c>
      <c r="AH318" t="s">
        <v>2047</v>
      </c>
      <c r="AI318" t="s">
        <v>1802</v>
      </c>
      <c r="AJ318">
        <v>0.5</v>
      </c>
    </row>
    <row r="319" spans="1:36" x14ac:dyDescent="0.25">
      <c r="A319" s="6" t="e">
        <f t="shared" si="42"/>
        <v>#N/A</v>
      </c>
      <c r="B319" s="3" t="e">
        <f t="shared" si="36"/>
        <v>#N/A</v>
      </c>
      <c r="C319" s="3" t="e">
        <f t="shared" si="37"/>
        <v>#N/A</v>
      </c>
      <c r="D319" s="3" t="e">
        <f t="shared" si="34"/>
        <v>#N/A</v>
      </c>
      <c r="E319" s="3" t="e">
        <f t="shared" si="35"/>
        <v>#N/A</v>
      </c>
      <c r="U319" s="1" t="s">
        <v>1771</v>
      </c>
      <c r="V319" t="s">
        <v>2024</v>
      </c>
      <c r="W319" s="3">
        <v>0.09</v>
      </c>
      <c r="AH319" t="s">
        <v>2048</v>
      </c>
      <c r="AI319" t="s">
        <v>1803</v>
      </c>
      <c r="AJ319">
        <v>0.5</v>
      </c>
    </row>
    <row r="320" spans="1:36" x14ac:dyDescent="0.25">
      <c r="A320" s="6" t="e">
        <f t="shared" si="42"/>
        <v>#N/A</v>
      </c>
      <c r="B320" s="3" t="e">
        <f t="shared" si="36"/>
        <v>#N/A</v>
      </c>
      <c r="C320" s="3" t="e">
        <f t="shared" si="37"/>
        <v>#N/A</v>
      </c>
      <c r="D320" s="3" t="e">
        <f t="shared" si="34"/>
        <v>#N/A</v>
      </c>
      <c r="E320" s="3" t="e">
        <f t="shared" si="35"/>
        <v>#N/A</v>
      </c>
      <c r="U320" s="1" t="s">
        <v>1771</v>
      </c>
      <c r="V320" t="s">
        <v>2025</v>
      </c>
      <c r="W320" s="3">
        <v>0.13500000000000001</v>
      </c>
      <c r="AH320" t="s">
        <v>2049</v>
      </c>
      <c r="AI320" t="s">
        <v>1639</v>
      </c>
      <c r="AJ320">
        <v>0.5</v>
      </c>
    </row>
    <row r="321" spans="1:36" x14ac:dyDescent="0.25">
      <c r="A321" s="6" t="e">
        <f t="shared" si="42"/>
        <v>#N/A</v>
      </c>
      <c r="B321" s="3" t="e">
        <f t="shared" si="36"/>
        <v>#N/A</v>
      </c>
      <c r="C321" s="3" t="e">
        <f t="shared" si="37"/>
        <v>#N/A</v>
      </c>
      <c r="D321" s="3" t="e">
        <f t="shared" si="34"/>
        <v>#N/A</v>
      </c>
      <c r="E321" s="3" t="e">
        <f t="shared" si="35"/>
        <v>#N/A</v>
      </c>
      <c r="U321" s="1" t="s">
        <v>1771</v>
      </c>
      <c r="V321" t="s">
        <v>2026</v>
      </c>
      <c r="W321" s="3">
        <v>0.15</v>
      </c>
      <c r="AH321" t="s">
        <v>2050</v>
      </c>
      <c r="AI321" t="s">
        <v>1640</v>
      </c>
      <c r="AJ321">
        <v>0.5</v>
      </c>
    </row>
    <row r="322" spans="1:36" x14ac:dyDescent="0.25">
      <c r="A322" s="6" t="e">
        <f t="shared" si="42"/>
        <v>#N/A</v>
      </c>
      <c r="B322" s="3" t="e">
        <f t="shared" si="36"/>
        <v>#N/A</v>
      </c>
      <c r="C322" s="3" t="e">
        <f t="shared" si="37"/>
        <v>#N/A</v>
      </c>
      <c r="D322" s="3" t="e">
        <f t="shared" si="34"/>
        <v>#N/A</v>
      </c>
      <c r="E322" s="3" t="e">
        <f t="shared" si="35"/>
        <v>#N/A</v>
      </c>
      <c r="U322" s="1" t="s">
        <v>1771</v>
      </c>
      <c r="V322" t="s">
        <v>2027</v>
      </c>
      <c r="W322" s="3">
        <v>0.15</v>
      </c>
      <c r="AH322" t="s">
        <v>2051</v>
      </c>
      <c r="AI322" t="s">
        <v>1641</v>
      </c>
      <c r="AJ322">
        <v>0.5</v>
      </c>
    </row>
    <row r="323" spans="1:36" x14ac:dyDescent="0.25">
      <c r="A323" s="6" t="e">
        <f t="shared" si="42"/>
        <v>#N/A</v>
      </c>
      <c r="B323" s="3" t="e">
        <f t="shared" si="36"/>
        <v>#N/A</v>
      </c>
      <c r="C323" s="3" t="e">
        <f t="shared" si="37"/>
        <v>#N/A</v>
      </c>
      <c r="D323" s="3" t="e">
        <f t="shared" si="34"/>
        <v>#N/A</v>
      </c>
      <c r="E323" s="3" t="e">
        <f t="shared" si="35"/>
        <v>#N/A</v>
      </c>
      <c r="U323" s="1" t="s">
        <v>1771</v>
      </c>
      <c r="V323" t="s">
        <v>2028</v>
      </c>
      <c r="W323" s="3">
        <v>0.19500000000000001</v>
      </c>
      <c r="AH323" t="s">
        <v>2052</v>
      </c>
      <c r="AI323" t="s">
        <v>1642</v>
      </c>
      <c r="AJ323">
        <v>0.5</v>
      </c>
    </row>
    <row r="324" spans="1:36" x14ac:dyDescent="0.25">
      <c r="A324" s="6" t="e">
        <f t="shared" si="42"/>
        <v>#N/A</v>
      </c>
      <c r="B324" s="3" t="e">
        <f t="shared" si="36"/>
        <v>#N/A</v>
      </c>
      <c r="C324" s="3" t="e">
        <f t="shared" si="37"/>
        <v>#N/A</v>
      </c>
      <c r="D324" s="3" t="e">
        <f t="shared" si="34"/>
        <v>#N/A</v>
      </c>
      <c r="E324" s="3" t="e">
        <f t="shared" si="35"/>
        <v>#N/A</v>
      </c>
      <c r="U324" s="1" t="s">
        <v>1771</v>
      </c>
      <c r="V324" t="s">
        <v>2029</v>
      </c>
      <c r="W324" s="3">
        <v>0.19500000000000001</v>
      </c>
      <c r="AH324" t="s">
        <v>2053</v>
      </c>
      <c r="AI324" t="s">
        <v>1643</v>
      </c>
      <c r="AJ324">
        <v>0.5</v>
      </c>
    </row>
    <row r="325" spans="1:36" x14ac:dyDescent="0.25">
      <c r="A325" s="6" t="e">
        <f t="shared" si="42"/>
        <v>#N/A</v>
      </c>
      <c r="B325" s="3" t="e">
        <f t="shared" si="36"/>
        <v>#N/A</v>
      </c>
      <c r="C325" s="3" t="e">
        <f t="shared" si="37"/>
        <v>#N/A</v>
      </c>
      <c r="D325" s="3" t="e">
        <f t="shared" ref="D325:D388" si="43">IF($D$1="Team",IF(AD324="","",AD324),"")</f>
        <v>#N/A</v>
      </c>
      <c r="E325" s="3" t="e">
        <f t="shared" ref="E325:E388" si="44">IF($D$1="Team",IF(AE324="","",AE324),"")</f>
        <v>#N/A</v>
      </c>
      <c r="U325" s="1" t="s">
        <v>1771</v>
      </c>
      <c r="V325" t="s">
        <v>2030</v>
      </c>
      <c r="W325" s="3">
        <v>0.19500000000000001</v>
      </c>
      <c r="AH325" t="s">
        <v>2054</v>
      </c>
      <c r="AI325" t="s">
        <v>1644</v>
      </c>
      <c r="AJ325">
        <v>0.5</v>
      </c>
    </row>
    <row r="326" spans="1:36" x14ac:dyDescent="0.25">
      <c r="A326" s="6" t="e">
        <f t="shared" si="42"/>
        <v>#N/A</v>
      </c>
      <c r="B326" s="3" t="e">
        <f t="shared" si="36"/>
        <v>#N/A</v>
      </c>
      <c r="C326" s="3" t="e">
        <f t="shared" si="37"/>
        <v>#N/A</v>
      </c>
      <c r="D326" s="3" t="e">
        <f t="shared" si="43"/>
        <v>#N/A</v>
      </c>
      <c r="E326" s="3" t="e">
        <f t="shared" si="44"/>
        <v>#N/A</v>
      </c>
      <c r="U326" s="1" t="s">
        <v>1771</v>
      </c>
      <c r="V326" t="s">
        <v>2031</v>
      </c>
      <c r="W326" s="3">
        <v>0.19500000000000001</v>
      </c>
      <c r="AH326" t="s">
        <v>2055</v>
      </c>
      <c r="AI326" t="s">
        <v>1645</v>
      </c>
      <c r="AJ326">
        <v>0.5</v>
      </c>
    </row>
    <row r="327" spans="1:36" x14ac:dyDescent="0.25">
      <c r="A327" s="6" t="e">
        <f t="shared" si="42"/>
        <v>#N/A</v>
      </c>
      <c r="B327" s="3" t="e">
        <f t="shared" si="36"/>
        <v>#N/A</v>
      </c>
      <c r="C327" s="3" t="e">
        <f t="shared" si="37"/>
        <v>#N/A</v>
      </c>
      <c r="D327" s="3" t="e">
        <f t="shared" si="43"/>
        <v>#N/A</v>
      </c>
      <c r="E327" s="3" t="e">
        <f t="shared" si="44"/>
        <v>#N/A</v>
      </c>
      <c r="U327" s="1" t="s">
        <v>1771</v>
      </c>
      <c r="V327" t="s">
        <v>2032</v>
      </c>
      <c r="W327" s="3">
        <v>0.24</v>
      </c>
      <c r="AH327" t="s">
        <v>2056</v>
      </c>
      <c r="AI327" t="s">
        <v>1646</v>
      </c>
      <c r="AJ327">
        <v>0.5</v>
      </c>
    </row>
    <row r="328" spans="1:36" x14ac:dyDescent="0.25">
      <c r="A328" s="6" t="e">
        <f t="shared" si="42"/>
        <v>#N/A</v>
      </c>
      <c r="B328" s="3" t="e">
        <f t="shared" si="36"/>
        <v>#N/A</v>
      </c>
      <c r="C328" s="3" t="e">
        <f t="shared" si="37"/>
        <v>#N/A</v>
      </c>
      <c r="D328" s="3" t="e">
        <f t="shared" si="43"/>
        <v>#N/A</v>
      </c>
      <c r="E328" s="3" t="e">
        <f t="shared" si="44"/>
        <v>#N/A</v>
      </c>
      <c r="U328" s="1" t="s">
        <v>1771</v>
      </c>
      <c r="V328" t="s">
        <v>2033</v>
      </c>
      <c r="W328" s="3">
        <v>0.24</v>
      </c>
      <c r="AH328" t="s">
        <v>2057</v>
      </c>
      <c r="AI328" t="s">
        <v>1647</v>
      </c>
      <c r="AJ328">
        <v>0.5</v>
      </c>
    </row>
    <row r="329" spans="1:36" x14ac:dyDescent="0.25">
      <c r="A329" s="6" t="e">
        <f t="shared" si="42"/>
        <v>#N/A</v>
      </c>
      <c r="B329" s="3" t="e">
        <f t="shared" ref="B329:B392" si="45">IF($B$1="Solo",IF(M328="","",M328),IF($B$1="Duet",IF(P328="","",P328),IF($B$1="Mixed",IF(S328="","",S328),IF(V328="","",V328))))</f>
        <v>#N/A</v>
      </c>
      <c r="C329" s="3" t="e">
        <f t="shared" ref="C329:C392" si="46">IF($B$1="Solo",IF(N328="","",N328),IF($B$1="Duet",IF(Q328="","",Q328),IF($B$1="Mixed",IF(T328="","",T328),IF(W328="","",W328))))</f>
        <v>#N/A</v>
      </c>
      <c r="D329" s="3" t="e">
        <f t="shared" si="43"/>
        <v>#N/A</v>
      </c>
      <c r="E329" s="3" t="e">
        <f t="shared" si="44"/>
        <v>#N/A</v>
      </c>
      <c r="U329" s="1" t="s">
        <v>1771</v>
      </c>
      <c r="V329" t="s">
        <v>2034</v>
      </c>
      <c r="W329" s="3">
        <v>0.24</v>
      </c>
      <c r="AH329" t="s">
        <v>2058</v>
      </c>
      <c r="AI329" t="s">
        <v>1648</v>
      </c>
      <c r="AJ329">
        <v>0.5</v>
      </c>
    </row>
    <row r="330" spans="1:36" x14ac:dyDescent="0.25">
      <c r="A330" s="6" t="e">
        <f t="shared" si="42"/>
        <v>#N/A</v>
      </c>
      <c r="B330" s="3" t="e">
        <f t="shared" si="45"/>
        <v>#N/A</v>
      </c>
      <c r="C330" s="3" t="e">
        <f t="shared" si="46"/>
        <v>#N/A</v>
      </c>
      <c r="D330" s="3" t="e">
        <f t="shared" si="43"/>
        <v>#N/A</v>
      </c>
      <c r="E330" s="3" t="e">
        <f t="shared" si="44"/>
        <v>#N/A</v>
      </c>
      <c r="U330" s="1" t="s">
        <v>1771</v>
      </c>
      <c r="V330" t="s">
        <v>2035</v>
      </c>
      <c r="W330" s="3">
        <v>0.24</v>
      </c>
      <c r="AH330" t="s">
        <v>2059</v>
      </c>
      <c r="AI330" t="s">
        <v>1649</v>
      </c>
      <c r="AJ330">
        <v>0.5</v>
      </c>
    </row>
    <row r="331" spans="1:36" x14ac:dyDescent="0.25">
      <c r="A331" s="6" t="e">
        <f t="shared" si="42"/>
        <v>#N/A</v>
      </c>
      <c r="B331" s="3" t="e">
        <f t="shared" si="45"/>
        <v>#N/A</v>
      </c>
      <c r="C331" s="3" t="e">
        <f t="shared" si="46"/>
        <v>#N/A</v>
      </c>
      <c r="D331" s="3" t="e">
        <f t="shared" si="43"/>
        <v>#N/A</v>
      </c>
      <c r="E331" s="3" t="e">
        <f t="shared" si="44"/>
        <v>#N/A</v>
      </c>
      <c r="U331" s="1" t="s">
        <v>1771</v>
      </c>
      <c r="V331" t="s">
        <v>2036</v>
      </c>
      <c r="W331" s="3">
        <v>0.24</v>
      </c>
      <c r="AH331" t="s">
        <v>2060</v>
      </c>
      <c r="AI331" t="s">
        <v>1650</v>
      </c>
      <c r="AJ331">
        <v>0.5</v>
      </c>
    </row>
    <row r="332" spans="1:36" x14ac:dyDescent="0.25">
      <c r="A332" s="6" t="e">
        <f t="shared" si="42"/>
        <v>#N/A</v>
      </c>
      <c r="B332" s="3" t="e">
        <f t="shared" si="45"/>
        <v>#N/A</v>
      </c>
      <c r="C332" s="3" t="e">
        <f t="shared" si="46"/>
        <v>#N/A</v>
      </c>
      <c r="D332" s="3" t="e">
        <f t="shared" si="43"/>
        <v>#N/A</v>
      </c>
      <c r="E332" s="3" t="e">
        <f t="shared" si="44"/>
        <v>#N/A</v>
      </c>
      <c r="U332" s="1" t="s">
        <v>1771</v>
      </c>
      <c r="V332" t="s">
        <v>2037</v>
      </c>
      <c r="W332" s="3">
        <v>0.27</v>
      </c>
      <c r="AH332" t="s">
        <v>2061</v>
      </c>
      <c r="AI332" t="s">
        <v>1651</v>
      </c>
      <c r="AJ332">
        <v>0.5</v>
      </c>
    </row>
    <row r="333" spans="1:36" x14ac:dyDescent="0.25">
      <c r="A333" s="6" t="e">
        <f t="shared" si="42"/>
        <v>#N/A</v>
      </c>
      <c r="B333" s="3" t="e">
        <f t="shared" si="45"/>
        <v>#N/A</v>
      </c>
      <c r="C333" s="3" t="e">
        <f t="shared" si="46"/>
        <v>#N/A</v>
      </c>
      <c r="D333" s="3" t="e">
        <f t="shared" si="43"/>
        <v>#N/A</v>
      </c>
      <c r="E333" s="3" t="e">
        <f t="shared" si="44"/>
        <v>#N/A</v>
      </c>
      <c r="U333" s="1" t="s">
        <v>1771</v>
      </c>
      <c r="V333" t="s">
        <v>2038</v>
      </c>
      <c r="W333" s="3">
        <v>0.27</v>
      </c>
      <c r="AH333" t="s">
        <v>2062</v>
      </c>
      <c r="AI333" t="s">
        <v>1652</v>
      </c>
      <c r="AJ333">
        <v>0.5</v>
      </c>
    </row>
    <row r="334" spans="1:36" x14ac:dyDescent="0.25">
      <c r="A334" s="6" t="e">
        <f t="shared" si="42"/>
        <v>#N/A</v>
      </c>
      <c r="B334" s="3" t="e">
        <f t="shared" si="45"/>
        <v>#N/A</v>
      </c>
      <c r="C334" s="3" t="e">
        <f t="shared" si="46"/>
        <v>#N/A</v>
      </c>
      <c r="D334" s="3" t="e">
        <f t="shared" si="43"/>
        <v>#N/A</v>
      </c>
      <c r="E334" s="3" t="e">
        <f t="shared" si="44"/>
        <v>#N/A</v>
      </c>
      <c r="U334" s="1" t="s">
        <v>1771</v>
      </c>
      <c r="V334" t="s">
        <v>2039</v>
      </c>
      <c r="W334" s="3">
        <v>0.27</v>
      </c>
      <c r="AH334" t="s">
        <v>2063</v>
      </c>
      <c r="AI334" t="s">
        <v>1653</v>
      </c>
      <c r="AJ334">
        <v>0.5</v>
      </c>
    </row>
    <row r="335" spans="1:36" x14ac:dyDescent="0.25">
      <c r="A335" s="6" t="e">
        <f t="shared" si="42"/>
        <v>#N/A</v>
      </c>
      <c r="B335" s="3" t="e">
        <f t="shared" si="45"/>
        <v>#N/A</v>
      </c>
      <c r="C335" s="3" t="e">
        <f t="shared" si="46"/>
        <v>#N/A</v>
      </c>
      <c r="D335" s="3" t="e">
        <f t="shared" si="43"/>
        <v>#N/A</v>
      </c>
      <c r="E335" s="3" t="e">
        <f t="shared" si="44"/>
        <v>#N/A</v>
      </c>
      <c r="U335" s="1" t="s">
        <v>1771</v>
      </c>
      <c r="V335" t="s">
        <v>2040</v>
      </c>
      <c r="W335" s="3">
        <v>0.27</v>
      </c>
      <c r="AH335" t="s">
        <v>2064</v>
      </c>
      <c r="AI335" t="s">
        <v>1654</v>
      </c>
      <c r="AJ335">
        <v>0.5</v>
      </c>
    </row>
    <row r="336" spans="1:36" x14ac:dyDescent="0.25">
      <c r="A336" s="6" t="e">
        <f t="shared" si="42"/>
        <v>#N/A</v>
      </c>
      <c r="B336" s="3" t="e">
        <f t="shared" si="45"/>
        <v>#N/A</v>
      </c>
      <c r="C336" s="3" t="e">
        <f t="shared" si="46"/>
        <v>#N/A</v>
      </c>
      <c r="D336" s="3" t="e">
        <f t="shared" si="43"/>
        <v>#N/A</v>
      </c>
      <c r="E336" s="3" t="e">
        <f t="shared" si="44"/>
        <v>#N/A</v>
      </c>
      <c r="U336" s="1" t="s">
        <v>1771</v>
      </c>
      <c r="V336" t="s">
        <v>2041</v>
      </c>
      <c r="W336" s="3">
        <v>0.27</v>
      </c>
      <c r="AH336" t="s">
        <v>2065</v>
      </c>
      <c r="AI336" t="s">
        <v>1655</v>
      </c>
      <c r="AJ336">
        <v>0.5</v>
      </c>
    </row>
    <row r="337" spans="1:36" x14ac:dyDescent="0.25">
      <c r="A337" s="6" t="e">
        <f t="shared" si="42"/>
        <v>#N/A</v>
      </c>
      <c r="B337" s="3" t="e">
        <f t="shared" si="45"/>
        <v>#N/A</v>
      </c>
      <c r="C337" s="3" t="e">
        <f t="shared" si="46"/>
        <v>#N/A</v>
      </c>
      <c r="D337" s="3" t="e">
        <f t="shared" si="43"/>
        <v>#N/A</v>
      </c>
      <c r="E337" s="3" t="e">
        <f t="shared" si="44"/>
        <v>#N/A</v>
      </c>
      <c r="U337" s="1" t="s">
        <v>1771</v>
      </c>
      <c r="V337" t="s">
        <v>2042</v>
      </c>
      <c r="W337" s="3">
        <v>0.33</v>
      </c>
      <c r="AH337" t="s">
        <v>2066</v>
      </c>
      <c r="AI337" t="s">
        <v>1656</v>
      </c>
      <c r="AJ337">
        <v>0.5</v>
      </c>
    </row>
    <row r="338" spans="1:36" x14ac:dyDescent="0.25">
      <c r="A338" s="6" t="e">
        <f t="shared" si="42"/>
        <v>#N/A</v>
      </c>
      <c r="B338" s="3" t="e">
        <f t="shared" si="45"/>
        <v>#N/A</v>
      </c>
      <c r="C338" s="3" t="e">
        <f t="shared" si="46"/>
        <v>#N/A</v>
      </c>
      <c r="D338" s="3" t="e">
        <f t="shared" si="43"/>
        <v>#N/A</v>
      </c>
      <c r="E338" s="3" t="e">
        <f t="shared" si="44"/>
        <v>#N/A</v>
      </c>
      <c r="U338" s="1" t="s">
        <v>1771</v>
      </c>
      <c r="V338" t="s">
        <v>2043</v>
      </c>
      <c r="W338" s="3">
        <v>0.33</v>
      </c>
      <c r="AH338" t="s">
        <v>2067</v>
      </c>
      <c r="AI338" t="s">
        <v>1657</v>
      </c>
      <c r="AJ338">
        <v>0.5</v>
      </c>
    </row>
    <row r="339" spans="1:36" x14ac:dyDescent="0.25">
      <c r="A339" s="6" t="e">
        <f t="shared" si="42"/>
        <v>#N/A</v>
      </c>
      <c r="B339" s="3" t="e">
        <f t="shared" si="45"/>
        <v>#N/A</v>
      </c>
      <c r="C339" s="3" t="e">
        <f t="shared" si="46"/>
        <v>#N/A</v>
      </c>
      <c r="D339" s="3" t="e">
        <f t="shared" si="43"/>
        <v>#N/A</v>
      </c>
      <c r="E339" s="3" t="e">
        <f t="shared" si="44"/>
        <v>#N/A</v>
      </c>
      <c r="U339" s="1" t="s">
        <v>1771</v>
      </c>
      <c r="V339" t="s">
        <v>2044</v>
      </c>
      <c r="W339" s="3">
        <v>0.33</v>
      </c>
      <c r="AH339" t="s">
        <v>2068</v>
      </c>
      <c r="AI339" t="s">
        <v>1658</v>
      </c>
      <c r="AJ339">
        <v>0.5</v>
      </c>
    </row>
    <row r="340" spans="1:36" x14ac:dyDescent="0.25">
      <c r="A340" s="6" t="e">
        <f t="shared" si="42"/>
        <v>#N/A</v>
      </c>
      <c r="B340" s="3" t="e">
        <f t="shared" si="45"/>
        <v>#N/A</v>
      </c>
      <c r="C340" s="3" t="e">
        <f t="shared" si="46"/>
        <v>#N/A</v>
      </c>
      <c r="D340" s="3" t="e">
        <f t="shared" si="43"/>
        <v>#N/A</v>
      </c>
      <c r="E340" s="3" t="e">
        <f t="shared" si="44"/>
        <v>#N/A</v>
      </c>
      <c r="U340" s="1" t="s">
        <v>1771</v>
      </c>
      <c r="V340" t="s">
        <v>2045</v>
      </c>
      <c r="W340" s="3">
        <v>0.44999999999999996</v>
      </c>
      <c r="AH340" t="s">
        <v>2069</v>
      </c>
      <c r="AI340" t="s">
        <v>1659</v>
      </c>
      <c r="AJ340">
        <v>0.5</v>
      </c>
    </row>
    <row r="341" spans="1:36" x14ac:dyDescent="0.25">
      <c r="A341" s="6" t="e">
        <f t="shared" si="42"/>
        <v>#N/A</v>
      </c>
      <c r="B341" s="3" t="e">
        <f t="shared" si="45"/>
        <v>#N/A</v>
      </c>
      <c r="C341" s="3" t="e">
        <f t="shared" si="46"/>
        <v>#N/A</v>
      </c>
      <c r="D341" s="3" t="e">
        <f t="shared" si="43"/>
        <v>#N/A</v>
      </c>
      <c r="E341" s="3" t="e">
        <f t="shared" si="44"/>
        <v>#N/A</v>
      </c>
      <c r="U341" s="1" t="s">
        <v>1771</v>
      </c>
      <c r="V341" t="s">
        <v>2046</v>
      </c>
      <c r="W341" s="3">
        <v>0.51</v>
      </c>
      <c r="AH341" t="s">
        <v>2070</v>
      </c>
      <c r="AI341" t="s">
        <v>1660</v>
      </c>
      <c r="AJ341">
        <v>0.5</v>
      </c>
    </row>
    <row r="342" spans="1:36" x14ac:dyDescent="0.25">
      <c r="A342" s="6" t="e">
        <f t="shared" si="42"/>
        <v>#N/A</v>
      </c>
      <c r="B342" s="3" t="e">
        <f t="shared" si="45"/>
        <v>#N/A</v>
      </c>
      <c r="C342" s="3" t="e">
        <f t="shared" si="46"/>
        <v>#N/A</v>
      </c>
      <c r="D342" s="3" t="e">
        <f t="shared" si="43"/>
        <v>#N/A</v>
      </c>
      <c r="E342" s="3" t="e">
        <f t="shared" si="44"/>
        <v>#N/A</v>
      </c>
      <c r="U342" s="1" t="s">
        <v>1771</v>
      </c>
      <c r="V342" t="s">
        <v>2047</v>
      </c>
      <c r="W342" s="3">
        <v>0.6</v>
      </c>
      <c r="AH342" t="s">
        <v>2071</v>
      </c>
      <c r="AI342" t="s">
        <v>1661</v>
      </c>
      <c r="AJ342">
        <v>0.5</v>
      </c>
    </row>
    <row r="343" spans="1:36" x14ac:dyDescent="0.25">
      <c r="A343" s="6" t="e">
        <f t="shared" si="42"/>
        <v>#N/A</v>
      </c>
      <c r="B343" s="3" t="e">
        <f t="shared" si="45"/>
        <v>#N/A</v>
      </c>
      <c r="C343" s="3" t="e">
        <f t="shared" si="46"/>
        <v>#N/A</v>
      </c>
      <c r="D343" s="3" t="e">
        <f t="shared" si="43"/>
        <v>#N/A</v>
      </c>
      <c r="E343" s="3" t="e">
        <f t="shared" si="44"/>
        <v>#N/A</v>
      </c>
      <c r="U343" s="1" t="s">
        <v>1771</v>
      </c>
      <c r="V343" t="s">
        <v>2048</v>
      </c>
      <c r="W343" s="3">
        <v>0.6</v>
      </c>
      <c r="AH343" t="s">
        <v>2072</v>
      </c>
      <c r="AI343" t="s">
        <v>1662</v>
      </c>
      <c r="AJ343">
        <v>0.5</v>
      </c>
    </row>
    <row r="344" spans="1:36" x14ac:dyDescent="0.25">
      <c r="A344" s="6" t="e">
        <f t="shared" si="42"/>
        <v>#N/A</v>
      </c>
      <c r="B344" s="3" t="e">
        <f t="shared" si="45"/>
        <v>#N/A</v>
      </c>
      <c r="C344" s="3" t="e">
        <f t="shared" si="46"/>
        <v>#N/A</v>
      </c>
      <c r="D344" s="3" t="e">
        <f t="shared" si="43"/>
        <v>#N/A</v>
      </c>
      <c r="E344" s="3" t="e">
        <f t="shared" si="44"/>
        <v>#N/A</v>
      </c>
      <c r="U344" s="1" t="s">
        <v>1772</v>
      </c>
      <c r="V344" t="s">
        <v>2049</v>
      </c>
      <c r="W344" s="3">
        <v>4.4999999999999998E-2</v>
      </c>
      <c r="AH344" t="s">
        <v>2073</v>
      </c>
      <c r="AI344" t="s">
        <v>1663</v>
      </c>
      <c r="AJ344">
        <v>0.5</v>
      </c>
    </row>
    <row r="345" spans="1:36" x14ac:dyDescent="0.25">
      <c r="A345" s="6" t="e">
        <f t="shared" si="42"/>
        <v>#N/A</v>
      </c>
      <c r="B345" s="3" t="e">
        <f t="shared" si="45"/>
        <v>#N/A</v>
      </c>
      <c r="C345" s="3" t="e">
        <f t="shared" si="46"/>
        <v>#N/A</v>
      </c>
      <c r="D345" s="3" t="e">
        <f t="shared" si="43"/>
        <v>#N/A</v>
      </c>
      <c r="E345" s="3" t="e">
        <f t="shared" si="44"/>
        <v>#N/A</v>
      </c>
      <c r="U345" s="1" t="s">
        <v>1772</v>
      </c>
      <c r="V345" t="s">
        <v>2050</v>
      </c>
      <c r="W345" s="3">
        <v>0.105</v>
      </c>
      <c r="AH345" t="s">
        <v>2074</v>
      </c>
      <c r="AI345" t="s">
        <v>1664</v>
      </c>
      <c r="AJ345">
        <v>0.5</v>
      </c>
    </row>
    <row r="346" spans="1:36" x14ac:dyDescent="0.25">
      <c r="A346" s="6" t="e">
        <f t="shared" si="42"/>
        <v>#N/A</v>
      </c>
      <c r="B346" s="3" t="e">
        <f t="shared" si="45"/>
        <v>#N/A</v>
      </c>
      <c r="C346" s="3" t="e">
        <f t="shared" si="46"/>
        <v>#N/A</v>
      </c>
      <c r="D346" s="3" t="e">
        <f t="shared" si="43"/>
        <v>#N/A</v>
      </c>
      <c r="E346" s="3" t="e">
        <f t="shared" si="44"/>
        <v>#N/A</v>
      </c>
      <c r="U346" s="1" t="s">
        <v>1772</v>
      </c>
      <c r="V346" t="s">
        <v>2051</v>
      </c>
      <c r="W346" s="3">
        <v>0.12</v>
      </c>
      <c r="AH346" t="s">
        <v>2075</v>
      </c>
      <c r="AI346" t="s">
        <v>1665</v>
      </c>
      <c r="AJ346">
        <v>0.5</v>
      </c>
    </row>
    <row r="347" spans="1:36" x14ac:dyDescent="0.25">
      <c r="A347" s="6" t="e">
        <f t="shared" si="42"/>
        <v>#N/A</v>
      </c>
      <c r="B347" s="3" t="e">
        <f t="shared" si="45"/>
        <v>#N/A</v>
      </c>
      <c r="C347" s="3" t="e">
        <f t="shared" si="46"/>
        <v>#N/A</v>
      </c>
      <c r="D347" s="3" t="e">
        <f t="shared" si="43"/>
        <v>#N/A</v>
      </c>
      <c r="E347" s="3" t="e">
        <f t="shared" si="44"/>
        <v>#N/A</v>
      </c>
      <c r="U347" s="1" t="s">
        <v>1772</v>
      </c>
      <c r="V347" t="s">
        <v>2052</v>
      </c>
      <c r="W347" s="3">
        <v>0.105</v>
      </c>
      <c r="AH347" t="s">
        <v>2076</v>
      </c>
      <c r="AI347" t="s">
        <v>1666</v>
      </c>
      <c r="AJ347">
        <v>0.5</v>
      </c>
    </row>
    <row r="348" spans="1:36" x14ac:dyDescent="0.25">
      <c r="A348" s="6" t="e">
        <f t="shared" si="42"/>
        <v>#N/A</v>
      </c>
      <c r="B348" s="3" t="e">
        <f t="shared" si="45"/>
        <v>#N/A</v>
      </c>
      <c r="C348" s="3" t="e">
        <f t="shared" si="46"/>
        <v>#N/A</v>
      </c>
      <c r="D348" s="3" t="e">
        <f t="shared" si="43"/>
        <v>#N/A</v>
      </c>
      <c r="E348" s="3" t="e">
        <f t="shared" si="44"/>
        <v>#N/A</v>
      </c>
      <c r="U348" s="1" t="s">
        <v>1772</v>
      </c>
      <c r="V348" t="s">
        <v>2053</v>
      </c>
      <c r="W348" s="3">
        <v>0.24</v>
      </c>
      <c r="AH348" t="s">
        <v>2077</v>
      </c>
      <c r="AI348" t="s">
        <v>1804</v>
      </c>
      <c r="AJ348">
        <v>0.5</v>
      </c>
    </row>
    <row r="349" spans="1:36" x14ac:dyDescent="0.25">
      <c r="A349" s="6" t="e">
        <f t="shared" si="42"/>
        <v>#N/A</v>
      </c>
      <c r="B349" s="3" t="e">
        <f t="shared" si="45"/>
        <v>#N/A</v>
      </c>
      <c r="C349" s="3" t="e">
        <f t="shared" si="46"/>
        <v>#N/A</v>
      </c>
      <c r="D349" s="3" t="e">
        <f t="shared" si="43"/>
        <v>#N/A</v>
      </c>
      <c r="E349" s="3" t="e">
        <f t="shared" si="44"/>
        <v>#N/A</v>
      </c>
      <c r="U349" s="1" t="s">
        <v>1772</v>
      </c>
      <c r="V349" t="s">
        <v>2054</v>
      </c>
      <c r="W349" s="3">
        <v>0.255</v>
      </c>
      <c r="AH349" t="s">
        <v>2078</v>
      </c>
      <c r="AI349" t="s">
        <v>1805</v>
      </c>
      <c r="AJ349">
        <v>0.5</v>
      </c>
    </row>
    <row r="350" spans="1:36" x14ac:dyDescent="0.25">
      <c r="A350" s="6" t="e">
        <f t="shared" si="42"/>
        <v>#N/A</v>
      </c>
      <c r="B350" s="3" t="e">
        <f t="shared" si="45"/>
        <v>#N/A</v>
      </c>
      <c r="C350" s="3" t="e">
        <f t="shared" si="46"/>
        <v>#N/A</v>
      </c>
      <c r="D350" s="3" t="e">
        <f t="shared" si="43"/>
        <v>#N/A</v>
      </c>
      <c r="E350" s="3" t="e">
        <f t="shared" si="44"/>
        <v>#N/A</v>
      </c>
      <c r="U350" s="1" t="s">
        <v>1772</v>
      </c>
      <c r="V350" t="s">
        <v>2055</v>
      </c>
      <c r="W350" s="3">
        <v>0.22499999999999998</v>
      </c>
      <c r="AH350" t="s">
        <v>2079</v>
      </c>
      <c r="AI350" t="s">
        <v>60</v>
      </c>
      <c r="AJ350">
        <v>0.5</v>
      </c>
    </row>
    <row r="351" spans="1:36" x14ac:dyDescent="0.25">
      <c r="A351" s="6" t="e">
        <f t="shared" si="42"/>
        <v>#N/A</v>
      </c>
      <c r="B351" s="3" t="e">
        <f t="shared" si="45"/>
        <v>#N/A</v>
      </c>
      <c r="C351" s="3" t="e">
        <f t="shared" si="46"/>
        <v>#N/A</v>
      </c>
      <c r="D351" s="3" t="e">
        <f t="shared" si="43"/>
        <v>#N/A</v>
      </c>
      <c r="E351" s="3" t="e">
        <f t="shared" si="44"/>
        <v>#N/A</v>
      </c>
      <c r="U351" s="1" t="s">
        <v>1772</v>
      </c>
      <c r="V351" t="s">
        <v>2056</v>
      </c>
      <c r="W351" s="3">
        <v>0.48</v>
      </c>
      <c r="AH351" t="s">
        <v>2080</v>
      </c>
      <c r="AI351" t="s">
        <v>1667</v>
      </c>
      <c r="AJ351">
        <v>0.5</v>
      </c>
    </row>
    <row r="352" spans="1:36" x14ac:dyDescent="0.25">
      <c r="A352" s="6" t="e">
        <f t="shared" si="42"/>
        <v>#N/A</v>
      </c>
      <c r="B352" s="3" t="e">
        <f t="shared" si="45"/>
        <v>#N/A</v>
      </c>
      <c r="C352" s="3" t="e">
        <f t="shared" si="46"/>
        <v>#N/A</v>
      </c>
      <c r="D352" s="3" t="e">
        <f t="shared" si="43"/>
        <v>#N/A</v>
      </c>
      <c r="E352" s="3" t="e">
        <f t="shared" si="44"/>
        <v>#N/A</v>
      </c>
      <c r="U352" s="1" t="s">
        <v>1772</v>
      </c>
      <c r="V352" t="s">
        <v>2057</v>
      </c>
      <c r="W352" s="3">
        <v>0.49499999999999994</v>
      </c>
      <c r="AH352" t="s">
        <v>2081</v>
      </c>
      <c r="AI352" t="s">
        <v>1668</v>
      </c>
      <c r="AJ352">
        <v>0.5</v>
      </c>
    </row>
    <row r="353" spans="1:36" x14ac:dyDescent="0.25">
      <c r="A353" s="6" t="e">
        <f t="shared" si="42"/>
        <v>#N/A</v>
      </c>
      <c r="B353" s="3" t="e">
        <f t="shared" si="45"/>
        <v>#N/A</v>
      </c>
      <c r="C353" s="3" t="e">
        <f t="shared" si="46"/>
        <v>#N/A</v>
      </c>
      <c r="D353" s="3" t="e">
        <f t="shared" si="43"/>
        <v>#N/A</v>
      </c>
      <c r="E353" s="3" t="e">
        <f t="shared" si="44"/>
        <v>#N/A</v>
      </c>
      <c r="U353" s="1" t="s">
        <v>1772</v>
      </c>
      <c r="V353" t="s">
        <v>2058</v>
      </c>
      <c r="W353" s="3">
        <v>0.34499999999999997</v>
      </c>
      <c r="AH353" t="s">
        <v>2082</v>
      </c>
      <c r="AI353" t="s">
        <v>1669</v>
      </c>
      <c r="AJ353">
        <v>0.5</v>
      </c>
    </row>
    <row r="354" spans="1:36" x14ac:dyDescent="0.25">
      <c r="A354" s="6" t="e">
        <f t="shared" si="42"/>
        <v>#N/A</v>
      </c>
      <c r="B354" s="3" t="e">
        <f t="shared" si="45"/>
        <v>#N/A</v>
      </c>
      <c r="C354" s="3" t="e">
        <f t="shared" si="46"/>
        <v>#N/A</v>
      </c>
      <c r="D354" s="3" t="e">
        <f t="shared" si="43"/>
        <v>#N/A</v>
      </c>
      <c r="E354" s="3" t="e">
        <f t="shared" si="44"/>
        <v>#N/A</v>
      </c>
      <c r="U354" s="1" t="s">
        <v>1772</v>
      </c>
      <c r="V354" t="s">
        <v>2059</v>
      </c>
      <c r="W354" s="3">
        <v>0.72</v>
      </c>
      <c r="AH354" t="s">
        <v>2083</v>
      </c>
      <c r="AI354" t="s">
        <v>1670</v>
      </c>
      <c r="AJ354">
        <v>0.5</v>
      </c>
    </row>
    <row r="355" spans="1:36" x14ac:dyDescent="0.25">
      <c r="A355" s="6" t="e">
        <f t="shared" si="42"/>
        <v>#N/A</v>
      </c>
      <c r="B355" s="3" t="e">
        <f t="shared" si="45"/>
        <v>#N/A</v>
      </c>
      <c r="C355" s="3" t="e">
        <f t="shared" si="46"/>
        <v>#N/A</v>
      </c>
      <c r="D355" s="3" t="e">
        <f t="shared" si="43"/>
        <v>#N/A</v>
      </c>
      <c r="E355" s="3" t="e">
        <f t="shared" si="44"/>
        <v>#N/A</v>
      </c>
      <c r="U355" s="1" t="s">
        <v>1772</v>
      </c>
      <c r="V355" t="s">
        <v>2060</v>
      </c>
      <c r="W355" s="3">
        <v>0.73499999999999999</v>
      </c>
      <c r="AH355" t="s">
        <v>2084</v>
      </c>
      <c r="AI355" t="s">
        <v>1671</v>
      </c>
      <c r="AJ355">
        <v>0.5</v>
      </c>
    </row>
    <row r="356" spans="1:36" x14ac:dyDescent="0.25">
      <c r="A356" s="6" t="e">
        <f t="shared" ref="A356:A419" si="47">IF($B$1="Solo",IF(L355="","",L355),IF($B$1="Duet",IF(O355="","",O355),IF($B$1="Mixed",IF(R355="","",R355),IF(U355="","",U355))))</f>
        <v>#N/A</v>
      </c>
      <c r="B356" s="3" t="e">
        <f t="shared" si="45"/>
        <v>#N/A</v>
      </c>
      <c r="C356" s="3" t="e">
        <f t="shared" si="46"/>
        <v>#N/A</v>
      </c>
      <c r="D356" s="3" t="e">
        <f t="shared" si="43"/>
        <v>#N/A</v>
      </c>
      <c r="E356" s="3" t="e">
        <f t="shared" si="44"/>
        <v>#N/A</v>
      </c>
      <c r="U356" s="1" t="s">
        <v>1772</v>
      </c>
      <c r="V356" t="s">
        <v>2061</v>
      </c>
      <c r="W356" s="3">
        <v>0.46499999999999997</v>
      </c>
      <c r="AH356" t="s">
        <v>2019</v>
      </c>
      <c r="AI356" t="s">
        <v>1672</v>
      </c>
      <c r="AJ356">
        <v>0.5</v>
      </c>
    </row>
    <row r="357" spans="1:36" x14ac:dyDescent="0.25">
      <c r="A357" s="6" t="e">
        <f t="shared" si="47"/>
        <v>#N/A</v>
      </c>
      <c r="B357" s="3" t="e">
        <f t="shared" si="45"/>
        <v>#N/A</v>
      </c>
      <c r="C357" s="3" t="e">
        <f t="shared" si="46"/>
        <v>#N/A</v>
      </c>
      <c r="D357" s="3" t="e">
        <f t="shared" si="43"/>
        <v>#N/A</v>
      </c>
      <c r="E357" s="3" t="e">
        <f t="shared" si="44"/>
        <v>#N/A</v>
      </c>
      <c r="U357" s="1" t="s">
        <v>1772</v>
      </c>
      <c r="V357" t="s">
        <v>2062</v>
      </c>
      <c r="W357" s="3">
        <v>0.96</v>
      </c>
      <c r="AH357" t="s">
        <v>2085</v>
      </c>
      <c r="AI357" t="s">
        <v>61</v>
      </c>
      <c r="AJ357">
        <v>0.5</v>
      </c>
    </row>
    <row r="358" spans="1:36" x14ac:dyDescent="0.25">
      <c r="A358" s="6" t="e">
        <f t="shared" si="47"/>
        <v>#N/A</v>
      </c>
      <c r="B358" s="3" t="e">
        <f t="shared" si="45"/>
        <v>#N/A</v>
      </c>
      <c r="C358" s="3" t="e">
        <f t="shared" si="46"/>
        <v>#N/A</v>
      </c>
      <c r="D358" s="3" t="e">
        <f t="shared" si="43"/>
        <v>#N/A</v>
      </c>
      <c r="E358" s="3" t="e">
        <f t="shared" si="44"/>
        <v>#N/A</v>
      </c>
      <c r="U358" s="1" t="s">
        <v>1772</v>
      </c>
      <c r="V358" t="s">
        <v>2063</v>
      </c>
      <c r="W358" s="3">
        <v>0.97499999999999998</v>
      </c>
      <c r="AH358" t="s">
        <v>2086</v>
      </c>
      <c r="AI358" t="s">
        <v>1673</v>
      </c>
      <c r="AJ358">
        <v>0.5</v>
      </c>
    </row>
    <row r="359" spans="1:36" x14ac:dyDescent="0.25">
      <c r="A359" s="6" t="e">
        <f t="shared" si="47"/>
        <v>#N/A</v>
      </c>
      <c r="B359" s="3" t="e">
        <f t="shared" si="45"/>
        <v>#N/A</v>
      </c>
      <c r="C359" s="3" t="e">
        <f t="shared" si="46"/>
        <v>#N/A</v>
      </c>
      <c r="D359" s="3" t="e">
        <f t="shared" si="43"/>
        <v>#N/A</v>
      </c>
      <c r="E359" s="3" t="e">
        <f t="shared" si="44"/>
        <v>#N/A</v>
      </c>
      <c r="U359" s="1" t="s">
        <v>1772</v>
      </c>
      <c r="V359" t="s">
        <v>2064</v>
      </c>
      <c r="W359" s="3">
        <v>0.58499999999999996</v>
      </c>
      <c r="AH359" t="s">
        <v>2087</v>
      </c>
      <c r="AI359" t="s">
        <v>1674</v>
      </c>
      <c r="AJ359">
        <v>0.5</v>
      </c>
    </row>
    <row r="360" spans="1:36" x14ac:dyDescent="0.25">
      <c r="A360" s="6" t="e">
        <f t="shared" si="47"/>
        <v>#N/A</v>
      </c>
      <c r="B360" s="3" t="e">
        <f t="shared" si="45"/>
        <v>#N/A</v>
      </c>
      <c r="C360" s="3" t="e">
        <f t="shared" si="46"/>
        <v>#N/A</v>
      </c>
      <c r="D360" s="3" t="e">
        <f t="shared" si="43"/>
        <v>#N/A</v>
      </c>
      <c r="E360" s="3" t="e">
        <f t="shared" si="44"/>
        <v>#N/A</v>
      </c>
      <c r="U360" s="1" t="s">
        <v>1772</v>
      </c>
      <c r="V360" t="s">
        <v>2065</v>
      </c>
      <c r="W360" s="3">
        <v>1.2</v>
      </c>
      <c r="AH360" t="s">
        <v>2088</v>
      </c>
      <c r="AI360" t="s">
        <v>1675</v>
      </c>
      <c r="AJ360">
        <v>0.5</v>
      </c>
    </row>
    <row r="361" spans="1:36" x14ac:dyDescent="0.25">
      <c r="A361" s="6" t="e">
        <f t="shared" si="47"/>
        <v>#N/A</v>
      </c>
      <c r="B361" s="3" t="e">
        <f t="shared" si="45"/>
        <v>#N/A</v>
      </c>
      <c r="C361" s="3" t="e">
        <f t="shared" si="46"/>
        <v>#N/A</v>
      </c>
      <c r="D361" s="3" t="e">
        <f t="shared" si="43"/>
        <v>#N/A</v>
      </c>
      <c r="E361" s="3" t="e">
        <f t="shared" si="44"/>
        <v>#N/A</v>
      </c>
      <c r="U361" s="1" t="s">
        <v>1772</v>
      </c>
      <c r="V361" t="s">
        <v>2066</v>
      </c>
      <c r="W361" s="3">
        <v>1.2149999999999999</v>
      </c>
      <c r="AH361" t="s">
        <v>2089</v>
      </c>
      <c r="AI361" t="s">
        <v>1676</v>
      </c>
      <c r="AJ361">
        <v>0.5</v>
      </c>
    </row>
    <row r="362" spans="1:36" x14ac:dyDescent="0.25">
      <c r="A362" s="6" t="e">
        <f t="shared" si="47"/>
        <v>#N/A</v>
      </c>
      <c r="B362" s="3" t="e">
        <f t="shared" si="45"/>
        <v>#N/A</v>
      </c>
      <c r="C362" s="3" t="e">
        <f t="shared" si="46"/>
        <v>#N/A</v>
      </c>
      <c r="D362" s="3" t="e">
        <f t="shared" si="43"/>
        <v>#N/A</v>
      </c>
      <c r="E362" s="3" t="e">
        <f t="shared" si="44"/>
        <v>#N/A</v>
      </c>
      <c r="U362" s="1" t="s">
        <v>1772</v>
      </c>
      <c r="V362" t="s">
        <v>2067</v>
      </c>
      <c r="W362" s="3">
        <v>0.70499999999999996</v>
      </c>
      <c r="AH362" t="s">
        <v>2090</v>
      </c>
      <c r="AI362" t="s">
        <v>62</v>
      </c>
      <c r="AJ362">
        <v>0.5</v>
      </c>
    </row>
    <row r="363" spans="1:36" x14ac:dyDescent="0.25">
      <c r="A363" s="6" t="e">
        <f t="shared" si="47"/>
        <v>#N/A</v>
      </c>
      <c r="B363" s="3" t="e">
        <f t="shared" si="45"/>
        <v>#N/A</v>
      </c>
      <c r="C363" s="3" t="e">
        <f t="shared" si="46"/>
        <v>#N/A</v>
      </c>
      <c r="D363" s="3" t="e">
        <f t="shared" si="43"/>
        <v>#N/A</v>
      </c>
      <c r="E363" s="3" t="e">
        <f t="shared" si="44"/>
        <v>#N/A</v>
      </c>
      <c r="U363" s="1" t="s">
        <v>1772</v>
      </c>
      <c r="V363" t="s">
        <v>2068</v>
      </c>
      <c r="W363" s="3">
        <v>1.44</v>
      </c>
      <c r="AH363" t="s">
        <v>2091</v>
      </c>
      <c r="AI363" t="s">
        <v>1677</v>
      </c>
      <c r="AJ363">
        <v>0.5</v>
      </c>
    </row>
    <row r="364" spans="1:36" x14ac:dyDescent="0.25">
      <c r="A364" s="6" t="e">
        <f t="shared" si="47"/>
        <v>#N/A</v>
      </c>
      <c r="B364" s="3" t="e">
        <f t="shared" si="45"/>
        <v>#N/A</v>
      </c>
      <c r="C364" s="3" t="e">
        <f t="shared" si="46"/>
        <v>#N/A</v>
      </c>
      <c r="D364" s="3" t="e">
        <f t="shared" si="43"/>
        <v>#N/A</v>
      </c>
      <c r="E364" s="3" t="e">
        <f t="shared" si="44"/>
        <v>#N/A</v>
      </c>
      <c r="U364" s="1" t="s">
        <v>1772</v>
      </c>
      <c r="V364" t="s">
        <v>2069</v>
      </c>
      <c r="W364" s="3">
        <v>1.4549999999999998</v>
      </c>
      <c r="AH364" t="s">
        <v>2092</v>
      </c>
      <c r="AI364" t="s">
        <v>1678</v>
      </c>
      <c r="AJ364">
        <v>0.5</v>
      </c>
    </row>
    <row r="365" spans="1:36" x14ac:dyDescent="0.25">
      <c r="A365" s="6" t="e">
        <f t="shared" si="47"/>
        <v>#N/A</v>
      </c>
      <c r="B365" s="3" t="e">
        <f t="shared" si="45"/>
        <v>#N/A</v>
      </c>
      <c r="C365" s="3" t="e">
        <f t="shared" si="46"/>
        <v>#N/A</v>
      </c>
      <c r="D365" s="3" t="e">
        <f t="shared" si="43"/>
        <v>#N/A</v>
      </c>
      <c r="E365" s="3" t="e">
        <f t="shared" si="44"/>
        <v>#N/A</v>
      </c>
      <c r="U365" s="1" t="s">
        <v>1772</v>
      </c>
      <c r="V365" t="s">
        <v>2070</v>
      </c>
      <c r="W365" s="3">
        <v>0.82499999999999996</v>
      </c>
      <c r="AH365" t="s">
        <v>2093</v>
      </c>
      <c r="AI365" t="s">
        <v>1679</v>
      </c>
      <c r="AJ365">
        <v>0.5</v>
      </c>
    </row>
    <row r="366" spans="1:36" x14ac:dyDescent="0.25">
      <c r="A366" s="6" t="e">
        <f t="shared" si="47"/>
        <v>#N/A</v>
      </c>
      <c r="B366" s="3" t="e">
        <f t="shared" si="45"/>
        <v>#N/A</v>
      </c>
      <c r="C366" s="3" t="e">
        <f t="shared" si="46"/>
        <v>#N/A</v>
      </c>
      <c r="D366" s="3" t="e">
        <f t="shared" si="43"/>
        <v>#N/A</v>
      </c>
      <c r="E366" s="3" t="e">
        <f t="shared" si="44"/>
        <v>#N/A</v>
      </c>
      <c r="U366" s="1" t="s">
        <v>1772</v>
      </c>
      <c r="V366" t="s">
        <v>2071</v>
      </c>
      <c r="W366" s="3">
        <v>0.94499999999999995</v>
      </c>
      <c r="AH366" t="s">
        <v>2094</v>
      </c>
      <c r="AI366" t="s">
        <v>63</v>
      </c>
      <c r="AJ366">
        <v>0.5</v>
      </c>
    </row>
    <row r="367" spans="1:36" x14ac:dyDescent="0.25">
      <c r="A367" s="6" t="e">
        <f t="shared" si="47"/>
        <v>#N/A</v>
      </c>
      <c r="B367" s="3" t="e">
        <f t="shared" si="45"/>
        <v>#N/A</v>
      </c>
      <c r="C367" s="3" t="e">
        <f t="shared" si="46"/>
        <v>#N/A</v>
      </c>
      <c r="D367" s="3" t="e">
        <f t="shared" si="43"/>
        <v>#N/A</v>
      </c>
      <c r="E367" s="3" t="e">
        <f t="shared" si="44"/>
        <v>#N/A</v>
      </c>
      <c r="U367" s="1" t="s">
        <v>1772</v>
      </c>
      <c r="V367" t="s">
        <v>2072</v>
      </c>
      <c r="W367" s="3">
        <v>1.0649999999999999</v>
      </c>
      <c r="AH367" t="s">
        <v>2095</v>
      </c>
      <c r="AI367" t="s">
        <v>1680</v>
      </c>
      <c r="AJ367">
        <v>0.5</v>
      </c>
    </row>
    <row r="368" spans="1:36" x14ac:dyDescent="0.25">
      <c r="A368" s="6" t="e">
        <f t="shared" si="47"/>
        <v>#N/A</v>
      </c>
      <c r="B368" s="3" t="e">
        <f t="shared" si="45"/>
        <v>#N/A</v>
      </c>
      <c r="C368" s="3" t="e">
        <f t="shared" si="46"/>
        <v>#N/A</v>
      </c>
      <c r="D368" s="3" t="e">
        <f t="shared" si="43"/>
        <v>#N/A</v>
      </c>
      <c r="E368" s="3" t="e">
        <f t="shared" si="44"/>
        <v>#N/A</v>
      </c>
      <c r="U368" s="1" t="s">
        <v>1772</v>
      </c>
      <c r="V368" t="s">
        <v>2073</v>
      </c>
      <c r="W368" s="3">
        <v>1.1850000000000001</v>
      </c>
      <c r="AH368" t="s">
        <v>2096</v>
      </c>
      <c r="AI368" t="s">
        <v>1681</v>
      </c>
      <c r="AJ368">
        <v>0.5</v>
      </c>
    </row>
    <row r="369" spans="1:36" x14ac:dyDescent="0.25">
      <c r="A369" s="6" t="e">
        <f t="shared" si="47"/>
        <v>#N/A</v>
      </c>
      <c r="B369" s="3" t="e">
        <f t="shared" si="45"/>
        <v>#N/A</v>
      </c>
      <c r="C369" s="3" t="e">
        <f t="shared" si="46"/>
        <v>#N/A</v>
      </c>
      <c r="D369" s="3" t="e">
        <f t="shared" si="43"/>
        <v>#N/A</v>
      </c>
      <c r="E369" s="3" t="e">
        <f t="shared" si="44"/>
        <v>#N/A</v>
      </c>
      <c r="U369" s="1" t="s">
        <v>1773</v>
      </c>
      <c r="V369" t="s">
        <v>2074</v>
      </c>
      <c r="W369" s="3">
        <v>0.03</v>
      </c>
      <c r="AH369" t="s">
        <v>2097</v>
      </c>
      <c r="AI369" t="s">
        <v>1682</v>
      </c>
      <c r="AJ369">
        <v>0.5</v>
      </c>
    </row>
    <row r="370" spans="1:36" x14ac:dyDescent="0.25">
      <c r="A370" s="6" t="e">
        <f t="shared" si="47"/>
        <v>#N/A</v>
      </c>
      <c r="B370" s="3" t="e">
        <f t="shared" si="45"/>
        <v>#N/A</v>
      </c>
      <c r="C370" s="3" t="e">
        <f t="shared" si="46"/>
        <v>#N/A</v>
      </c>
      <c r="D370" s="3" t="e">
        <f t="shared" si="43"/>
        <v>#N/A</v>
      </c>
      <c r="E370" s="3" t="e">
        <f t="shared" si="44"/>
        <v>#N/A</v>
      </c>
      <c r="U370" s="1" t="s">
        <v>1773</v>
      </c>
      <c r="V370" t="s">
        <v>2075</v>
      </c>
      <c r="W370" s="3">
        <v>4.4999999999999998E-2</v>
      </c>
      <c r="AH370" t="s">
        <v>2098</v>
      </c>
      <c r="AI370" t="s">
        <v>1683</v>
      </c>
      <c r="AJ370">
        <v>0.5</v>
      </c>
    </row>
    <row r="371" spans="1:36" x14ac:dyDescent="0.25">
      <c r="A371" s="6" t="e">
        <f t="shared" si="47"/>
        <v>#N/A</v>
      </c>
      <c r="B371" s="3" t="e">
        <f t="shared" si="45"/>
        <v>#N/A</v>
      </c>
      <c r="C371" s="3" t="e">
        <f t="shared" si="46"/>
        <v>#N/A</v>
      </c>
      <c r="D371" s="3" t="e">
        <f t="shared" si="43"/>
        <v>#N/A</v>
      </c>
      <c r="E371" s="3" t="e">
        <f t="shared" si="44"/>
        <v>#N/A</v>
      </c>
      <c r="U371" s="1" t="s">
        <v>1773</v>
      </c>
      <c r="V371" t="s">
        <v>2076</v>
      </c>
      <c r="W371" s="3">
        <v>0.06</v>
      </c>
      <c r="AH371" t="s">
        <v>2099</v>
      </c>
      <c r="AI371" t="s">
        <v>1684</v>
      </c>
      <c r="AJ371">
        <v>0.5</v>
      </c>
    </row>
    <row r="372" spans="1:36" x14ac:dyDescent="0.25">
      <c r="A372" s="6" t="e">
        <f t="shared" si="47"/>
        <v>#N/A</v>
      </c>
      <c r="B372" s="3" t="e">
        <f t="shared" si="45"/>
        <v>#N/A</v>
      </c>
      <c r="C372" s="3" t="e">
        <f t="shared" si="46"/>
        <v>#N/A</v>
      </c>
      <c r="D372" s="3" t="e">
        <f t="shared" si="43"/>
        <v>#N/A</v>
      </c>
      <c r="E372" s="3" t="e">
        <f t="shared" si="44"/>
        <v>#N/A</v>
      </c>
      <c r="U372" s="1" t="s">
        <v>1773</v>
      </c>
      <c r="V372" t="s">
        <v>2077</v>
      </c>
      <c r="W372" s="3">
        <v>7.4999999999999997E-2</v>
      </c>
      <c r="AH372" t="s">
        <v>2100</v>
      </c>
      <c r="AI372" t="s">
        <v>1685</v>
      </c>
      <c r="AJ372">
        <v>0.5</v>
      </c>
    </row>
    <row r="373" spans="1:36" x14ac:dyDescent="0.25">
      <c r="A373" s="6" t="e">
        <f t="shared" si="47"/>
        <v>#N/A</v>
      </c>
      <c r="B373" s="3" t="e">
        <f t="shared" si="45"/>
        <v>#N/A</v>
      </c>
      <c r="C373" s="3" t="e">
        <f t="shared" si="46"/>
        <v>#N/A</v>
      </c>
      <c r="D373" s="3" t="e">
        <f t="shared" si="43"/>
        <v>#N/A</v>
      </c>
      <c r="E373" s="3" t="e">
        <f t="shared" si="44"/>
        <v>#N/A</v>
      </c>
      <c r="U373" s="1" t="s">
        <v>1773</v>
      </c>
      <c r="V373" t="s">
        <v>2078</v>
      </c>
      <c r="W373" s="3">
        <v>7.4999999999999997E-2</v>
      </c>
      <c r="AH373" t="s">
        <v>2101</v>
      </c>
      <c r="AI373" t="s">
        <v>1686</v>
      </c>
      <c r="AJ373">
        <v>0.5</v>
      </c>
    </row>
    <row r="374" spans="1:36" x14ac:dyDescent="0.25">
      <c r="A374" s="6" t="e">
        <f t="shared" si="47"/>
        <v>#N/A</v>
      </c>
      <c r="B374" s="3" t="e">
        <f t="shared" si="45"/>
        <v>#N/A</v>
      </c>
      <c r="C374" s="3" t="e">
        <f t="shared" si="46"/>
        <v>#N/A</v>
      </c>
      <c r="D374" s="3" t="e">
        <f t="shared" si="43"/>
        <v>#N/A</v>
      </c>
      <c r="E374" s="3" t="e">
        <f t="shared" si="44"/>
        <v>#N/A</v>
      </c>
      <c r="U374" s="1" t="s">
        <v>1773</v>
      </c>
      <c r="V374" t="s">
        <v>2079</v>
      </c>
      <c r="W374" s="3">
        <v>0.06</v>
      </c>
      <c r="AH374" t="s">
        <v>2102</v>
      </c>
      <c r="AI374" t="s">
        <v>1687</v>
      </c>
      <c r="AJ374">
        <v>0.5</v>
      </c>
    </row>
    <row r="375" spans="1:36" x14ac:dyDescent="0.25">
      <c r="A375" s="6" t="e">
        <f t="shared" si="47"/>
        <v>#N/A</v>
      </c>
      <c r="B375" s="3" t="e">
        <f t="shared" si="45"/>
        <v>#N/A</v>
      </c>
      <c r="C375" s="3" t="e">
        <f t="shared" si="46"/>
        <v>#N/A</v>
      </c>
      <c r="D375" s="3" t="e">
        <f t="shared" si="43"/>
        <v>#N/A</v>
      </c>
      <c r="E375" s="3" t="e">
        <f t="shared" si="44"/>
        <v>#N/A</v>
      </c>
      <c r="U375" s="1" t="s">
        <v>1773</v>
      </c>
      <c r="V375" t="s">
        <v>2080</v>
      </c>
      <c r="W375" s="3">
        <v>0.105</v>
      </c>
      <c r="AH375" t="s">
        <v>2103</v>
      </c>
      <c r="AI375" t="s">
        <v>1688</v>
      </c>
      <c r="AJ375">
        <v>0.5</v>
      </c>
    </row>
    <row r="376" spans="1:36" x14ac:dyDescent="0.25">
      <c r="A376" s="6" t="e">
        <f t="shared" si="47"/>
        <v>#N/A</v>
      </c>
      <c r="B376" s="3" t="e">
        <f t="shared" si="45"/>
        <v>#N/A</v>
      </c>
      <c r="C376" s="3" t="e">
        <f t="shared" si="46"/>
        <v>#N/A</v>
      </c>
      <c r="D376" s="3" t="e">
        <f t="shared" si="43"/>
        <v>#N/A</v>
      </c>
      <c r="E376" s="3" t="e">
        <f t="shared" si="44"/>
        <v>#N/A</v>
      </c>
      <c r="U376" s="1" t="s">
        <v>1773</v>
      </c>
      <c r="V376" t="s">
        <v>2081</v>
      </c>
      <c r="W376" s="3">
        <v>0.13500000000000001</v>
      </c>
      <c r="AH376" t="s">
        <v>2104</v>
      </c>
      <c r="AI376" t="s">
        <v>1689</v>
      </c>
      <c r="AJ376">
        <v>0.5</v>
      </c>
    </row>
    <row r="377" spans="1:36" x14ac:dyDescent="0.25">
      <c r="A377" s="6" t="e">
        <f t="shared" si="47"/>
        <v>#N/A</v>
      </c>
      <c r="B377" s="3" t="e">
        <f t="shared" si="45"/>
        <v>#N/A</v>
      </c>
      <c r="C377" s="3" t="e">
        <f t="shared" si="46"/>
        <v>#N/A</v>
      </c>
      <c r="D377" s="3" t="e">
        <f t="shared" si="43"/>
        <v>#N/A</v>
      </c>
      <c r="E377" s="3" t="e">
        <f t="shared" si="44"/>
        <v>#N/A</v>
      </c>
      <c r="U377" s="1" t="s">
        <v>1773</v>
      </c>
      <c r="V377" t="s">
        <v>2082</v>
      </c>
      <c r="W377" s="3">
        <v>0.15</v>
      </c>
      <c r="AH377" t="s">
        <v>2105</v>
      </c>
      <c r="AI377" t="s">
        <v>1690</v>
      </c>
      <c r="AJ377">
        <v>0.5</v>
      </c>
    </row>
    <row r="378" spans="1:36" x14ac:dyDescent="0.25">
      <c r="A378" s="6" t="e">
        <f t="shared" si="47"/>
        <v>#N/A</v>
      </c>
      <c r="B378" s="3" t="e">
        <f t="shared" si="45"/>
        <v>#N/A</v>
      </c>
      <c r="C378" s="3" t="e">
        <f t="shared" si="46"/>
        <v>#N/A</v>
      </c>
      <c r="D378" s="3" t="e">
        <f t="shared" si="43"/>
        <v>#N/A</v>
      </c>
      <c r="E378" s="3" t="e">
        <f t="shared" si="44"/>
        <v>#N/A</v>
      </c>
      <c r="U378" s="1" t="s">
        <v>1773</v>
      </c>
      <c r="V378" t="s">
        <v>2083</v>
      </c>
      <c r="W378" s="3">
        <v>0.16500000000000001</v>
      </c>
      <c r="AH378" t="s">
        <v>2106</v>
      </c>
      <c r="AI378" t="s">
        <v>1691</v>
      </c>
      <c r="AJ378">
        <v>0.5</v>
      </c>
    </row>
    <row r="379" spans="1:36" x14ac:dyDescent="0.25">
      <c r="A379" s="6" t="e">
        <f t="shared" si="47"/>
        <v>#N/A</v>
      </c>
      <c r="B379" s="3" t="e">
        <f t="shared" si="45"/>
        <v>#N/A</v>
      </c>
      <c r="C379" s="3" t="e">
        <f t="shared" si="46"/>
        <v>#N/A</v>
      </c>
      <c r="D379" s="3" t="e">
        <f t="shared" si="43"/>
        <v>#N/A</v>
      </c>
      <c r="E379" s="3" t="e">
        <f t="shared" si="44"/>
        <v>#N/A</v>
      </c>
      <c r="U379" s="1" t="s">
        <v>1773</v>
      </c>
      <c r="V379" t="s">
        <v>2084</v>
      </c>
      <c r="W379" s="3">
        <v>0.16500000000000001</v>
      </c>
      <c r="AH379" t="s">
        <v>2107</v>
      </c>
      <c r="AI379" t="s">
        <v>1692</v>
      </c>
      <c r="AJ379">
        <v>0.5</v>
      </c>
    </row>
    <row r="380" spans="1:36" x14ac:dyDescent="0.25">
      <c r="A380" s="6" t="e">
        <f t="shared" si="47"/>
        <v>#N/A</v>
      </c>
      <c r="B380" s="3" t="e">
        <f t="shared" si="45"/>
        <v>#N/A</v>
      </c>
      <c r="C380" s="3" t="e">
        <f t="shared" si="46"/>
        <v>#N/A</v>
      </c>
      <c r="D380" s="3" t="e">
        <f t="shared" si="43"/>
        <v>#N/A</v>
      </c>
      <c r="E380" s="3" t="e">
        <f t="shared" si="44"/>
        <v>#N/A</v>
      </c>
      <c r="U380" s="1" t="s">
        <v>1773</v>
      </c>
      <c r="V380" t="s">
        <v>2019</v>
      </c>
      <c r="W380" s="3">
        <v>0.16500000000000001</v>
      </c>
      <c r="AH380" t="s">
        <v>2108</v>
      </c>
      <c r="AI380" t="s">
        <v>1693</v>
      </c>
      <c r="AJ380">
        <v>0.5</v>
      </c>
    </row>
    <row r="381" spans="1:36" x14ac:dyDescent="0.25">
      <c r="A381" s="6" t="e">
        <f t="shared" si="47"/>
        <v>#N/A</v>
      </c>
      <c r="B381" s="3" t="e">
        <f t="shared" si="45"/>
        <v>#N/A</v>
      </c>
      <c r="C381" s="3" t="e">
        <f t="shared" si="46"/>
        <v>#N/A</v>
      </c>
      <c r="D381" s="3" t="e">
        <f t="shared" si="43"/>
        <v>#N/A</v>
      </c>
      <c r="E381" s="3" t="e">
        <f t="shared" si="44"/>
        <v>#N/A</v>
      </c>
      <c r="U381" s="1" t="s">
        <v>1773</v>
      </c>
      <c r="V381" t="s">
        <v>2085</v>
      </c>
      <c r="W381" s="3">
        <v>0.12</v>
      </c>
      <c r="AH381" t="s">
        <v>2109</v>
      </c>
      <c r="AI381" t="s">
        <v>1694</v>
      </c>
      <c r="AJ381">
        <v>0.5</v>
      </c>
    </row>
    <row r="382" spans="1:36" x14ac:dyDescent="0.25">
      <c r="A382" s="6" t="e">
        <f t="shared" si="47"/>
        <v>#N/A</v>
      </c>
      <c r="B382" s="3" t="e">
        <f t="shared" si="45"/>
        <v>#N/A</v>
      </c>
      <c r="C382" s="3" t="e">
        <f t="shared" si="46"/>
        <v>#N/A</v>
      </c>
      <c r="D382" s="3" t="e">
        <f t="shared" si="43"/>
        <v>#N/A</v>
      </c>
      <c r="E382" s="3" t="e">
        <f t="shared" si="44"/>
        <v>#N/A</v>
      </c>
      <c r="U382" s="1" t="s">
        <v>1773</v>
      </c>
      <c r="V382" t="s">
        <v>2086</v>
      </c>
      <c r="W382" s="3">
        <v>0.22499999999999998</v>
      </c>
      <c r="AH382" t="s">
        <v>2110</v>
      </c>
      <c r="AI382" t="s">
        <v>1695</v>
      </c>
      <c r="AJ382">
        <v>0.5</v>
      </c>
    </row>
    <row r="383" spans="1:36" x14ac:dyDescent="0.25">
      <c r="A383" s="6" t="e">
        <f t="shared" si="47"/>
        <v>#N/A</v>
      </c>
      <c r="B383" s="3" t="e">
        <f t="shared" si="45"/>
        <v>#N/A</v>
      </c>
      <c r="C383" s="3" t="e">
        <f t="shared" si="46"/>
        <v>#N/A</v>
      </c>
      <c r="D383" s="3" t="e">
        <f t="shared" si="43"/>
        <v>#N/A</v>
      </c>
      <c r="E383" s="3" t="e">
        <f t="shared" si="44"/>
        <v>#N/A</v>
      </c>
      <c r="U383" s="1" t="s">
        <v>1773</v>
      </c>
      <c r="V383" t="s">
        <v>2087</v>
      </c>
      <c r="W383" s="3">
        <v>0.28499999999999998</v>
      </c>
      <c r="AH383" t="s">
        <v>2111</v>
      </c>
      <c r="AI383" t="s">
        <v>1696</v>
      </c>
      <c r="AJ383">
        <v>0.5</v>
      </c>
    </row>
    <row r="384" spans="1:36" x14ac:dyDescent="0.25">
      <c r="A384" s="6" t="e">
        <f t="shared" si="47"/>
        <v>#N/A</v>
      </c>
      <c r="B384" s="3" t="e">
        <f t="shared" si="45"/>
        <v>#N/A</v>
      </c>
      <c r="C384" s="3" t="e">
        <f t="shared" si="46"/>
        <v>#N/A</v>
      </c>
      <c r="D384" s="3" t="e">
        <f t="shared" si="43"/>
        <v>#N/A</v>
      </c>
      <c r="E384" s="3" t="e">
        <f t="shared" si="44"/>
        <v>#N/A</v>
      </c>
      <c r="U384" s="1" t="s">
        <v>1773</v>
      </c>
      <c r="V384" t="s">
        <v>2088</v>
      </c>
      <c r="W384" s="3">
        <v>0.315</v>
      </c>
      <c r="AH384" t="s">
        <v>2112</v>
      </c>
      <c r="AI384" t="s">
        <v>1697</v>
      </c>
      <c r="AJ384">
        <v>0.5</v>
      </c>
    </row>
    <row r="385" spans="1:36" x14ac:dyDescent="0.25">
      <c r="A385" s="6" t="e">
        <f t="shared" si="47"/>
        <v>#N/A</v>
      </c>
      <c r="B385" s="3" t="e">
        <f t="shared" si="45"/>
        <v>#N/A</v>
      </c>
      <c r="C385" s="3" t="e">
        <f t="shared" si="46"/>
        <v>#N/A</v>
      </c>
      <c r="D385" s="3" t="e">
        <f t="shared" si="43"/>
        <v>#N/A</v>
      </c>
      <c r="E385" s="3" t="e">
        <f t="shared" si="44"/>
        <v>#N/A</v>
      </c>
      <c r="U385" s="1" t="s">
        <v>1773</v>
      </c>
      <c r="V385" t="s">
        <v>2089</v>
      </c>
      <c r="W385" s="3">
        <v>0.34499999999999997</v>
      </c>
      <c r="AH385" t="s">
        <v>2113</v>
      </c>
      <c r="AI385" t="s">
        <v>1698</v>
      </c>
      <c r="AJ385">
        <v>0.5</v>
      </c>
    </row>
    <row r="386" spans="1:36" x14ac:dyDescent="0.25">
      <c r="A386" s="6" t="e">
        <f t="shared" si="47"/>
        <v>#N/A</v>
      </c>
      <c r="B386" s="3" t="e">
        <f t="shared" si="45"/>
        <v>#N/A</v>
      </c>
      <c r="C386" s="3" t="e">
        <f t="shared" si="46"/>
        <v>#N/A</v>
      </c>
      <c r="D386" s="3" t="e">
        <f t="shared" si="43"/>
        <v>#N/A</v>
      </c>
      <c r="E386" s="3" t="e">
        <f t="shared" si="44"/>
        <v>#N/A</v>
      </c>
      <c r="U386" s="1" t="s">
        <v>1773</v>
      </c>
      <c r="V386" t="s">
        <v>2090</v>
      </c>
      <c r="W386" s="3">
        <v>0.18</v>
      </c>
      <c r="AH386" t="s">
        <v>2114</v>
      </c>
      <c r="AI386" t="s">
        <v>1699</v>
      </c>
      <c r="AJ386">
        <v>0.5</v>
      </c>
    </row>
    <row r="387" spans="1:36" x14ac:dyDescent="0.25">
      <c r="A387" s="6" t="e">
        <f t="shared" si="47"/>
        <v>#N/A</v>
      </c>
      <c r="B387" s="3" t="e">
        <f t="shared" si="45"/>
        <v>#N/A</v>
      </c>
      <c r="C387" s="3" t="e">
        <f t="shared" si="46"/>
        <v>#N/A</v>
      </c>
      <c r="D387" s="3" t="e">
        <f t="shared" si="43"/>
        <v>#N/A</v>
      </c>
      <c r="E387" s="3" t="e">
        <f t="shared" si="44"/>
        <v>#N/A</v>
      </c>
      <c r="U387" s="1" t="s">
        <v>1773</v>
      </c>
      <c r="V387" t="s">
        <v>2091</v>
      </c>
      <c r="W387" s="3">
        <v>0.34499999999999997</v>
      </c>
      <c r="AH387" t="s">
        <v>2115</v>
      </c>
      <c r="AI387" t="s">
        <v>1806</v>
      </c>
      <c r="AJ387">
        <v>0.5</v>
      </c>
    </row>
    <row r="388" spans="1:36" x14ac:dyDescent="0.25">
      <c r="A388" s="6" t="e">
        <f t="shared" si="47"/>
        <v>#N/A</v>
      </c>
      <c r="B388" s="3" t="e">
        <f t="shared" si="45"/>
        <v>#N/A</v>
      </c>
      <c r="C388" s="3" t="e">
        <f t="shared" si="46"/>
        <v>#N/A</v>
      </c>
      <c r="D388" s="3" t="e">
        <f t="shared" si="43"/>
        <v>#N/A</v>
      </c>
      <c r="E388" s="3" t="e">
        <f t="shared" si="44"/>
        <v>#N/A</v>
      </c>
      <c r="U388" s="1" t="s">
        <v>1773</v>
      </c>
      <c r="V388" t="s">
        <v>2092</v>
      </c>
      <c r="W388" s="3">
        <v>0.435</v>
      </c>
      <c r="AH388" t="s">
        <v>2116</v>
      </c>
      <c r="AI388" t="s">
        <v>1807</v>
      </c>
      <c r="AJ388">
        <v>0.5</v>
      </c>
    </row>
    <row r="389" spans="1:36" x14ac:dyDescent="0.25">
      <c r="A389" s="6" t="e">
        <f t="shared" si="47"/>
        <v>#N/A</v>
      </c>
      <c r="B389" s="3" t="e">
        <f t="shared" si="45"/>
        <v>#N/A</v>
      </c>
      <c r="C389" s="3" t="e">
        <f t="shared" si="46"/>
        <v>#N/A</v>
      </c>
      <c r="D389" s="3" t="e">
        <f t="shared" ref="D389:D400" si="48">IF($D$1="Team",IF(AD388="","",AD388),"")</f>
        <v>#N/A</v>
      </c>
      <c r="E389" s="3" t="e">
        <f t="shared" ref="E389:E400" si="49">IF($D$1="Team",IF(AE388="","",AE388),"")</f>
        <v>#N/A</v>
      </c>
      <c r="U389" s="1" t="s">
        <v>1773</v>
      </c>
      <c r="V389" t="s">
        <v>2093</v>
      </c>
      <c r="W389" s="3">
        <v>0.52500000000000002</v>
      </c>
      <c r="AH389" t="s">
        <v>2117</v>
      </c>
      <c r="AI389" t="s">
        <v>1808</v>
      </c>
      <c r="AJ389">
        <v>0.5</v>
      </c>
    </row>
    <row r="390" spans="1:36" x14ac:dyDescent="0.25">
      <c r="A390" s="6" t="e">
        <f t="shared" si="47"/>
        <v>#N/A</v>
      </c>
      <c r="B390" s="3" t="e">
        <f t="shared" si="45"/>
        <v>#N/A</v>
      </c>
      <c r="C390" s="3" t="e">
        <f t="shared" si="46"/>
        <v>#N/A</v>
      </c>
      <c r="D390" s="3" t="e">
        <f t="shared" si="48"/>
        <v>#N/A</v>
      </c>
      <c r="E390" s="3" t="e">
        <f t="shared" si="49"/>
        <v>#N/A</v>
      </c>
      <c r="U390" s="1" t="s">
        <v>1773</v>
      </c>
      <c r="V390" t="s">
        <v>2094</v>
      </c>
      <c r="W390" s="3">
        <v>0.24</v>
      </c>
      <c r="AH390" t="s">
        <v>2118</v>
      </c>
      <c r="AI390" t="s">
        <v>1809</v>
      </c>
      <c r="AJ390">
        <v>0.5</v>
      </c>
    </row>
    <row r="391" spans="1:36" x14ac:dyDescent="0.25">
      <c r="A391" s="6" t="e">
        <f t="shared" si="47"/>
        <v>#N/A</v>
      </c>
      <c r="B391" s="3" t="e">
        <f t="shared" si="45"/>
        <v>#N/A</v>
      </c>
      <c r="C391" s="3" t="e">
        <f t="shared" si="46"/>
        <v>#N/A</v>
      </c>
      <c r="D391" s="3" t="e">
        <f t="shared" si="48"/>
        <v>#N/A</v>
      </c>
      <c r="E391" s="3" t="e">
        <f t="shared" si="49"/>
        <v>#N/A</v>
      </c>
      <c r="U391" s="1" t="s">
        <v>1773</v>
      </c>
      <c r="V391" t="s">
        <v>2095</v>
      </c>
      <c r="W391" s="3">
        <v>0.46499999999999997</v>
      </c>
      <c r="AH391" t="s">
        <v>2119</v>
      </c>
      <c r="AI391" t="s">
        <v>1810</v>
      </c>
      <c r="AJ391">
        <v>0.5</v>
      </c>
    </row>
    <row r="392" spans="1:36" x14ac:dyDescent="0.25">
      <c r="A392" s="6" t="e">
        <f t="shared" si="47"/>
        <v>#N/A</v>
      </c>
      <c r="B392" s="3" t="e">
        <f t="shared" si="45"/>
        <v>#N/A</v>
      </c>
      <c r="C392" s="3" t="e">
        <f t="shared" si="46"/>
        <v>#N/A</v>
      </c>
      <c r="D392" s="3" t="e">
        <f t="shared" si="48"/>
        <v>#N/A</v>
      </c>
      <c r="E392" s="3" t="e">
        <f t="shared" si="49"/>
        <v>#N/A</v>
      </c>
      <c r="U392" s="1" t="s">
        <v>1773</v>
      </c>
      <c r="V392" t="s">
        <v>2096</v>
      </c>
      <c r="W392" s="3">
        <v>0.58499999999999996</v>
      </c>
      <c r="AH392" t="s">
        <v>2020</v>
      </c>
      <c r="AI392" t="s">
        <v>1811</v>
      </c>
      <c r="AJ392">
        <v>0.5</v>
      </c>
    </row>
    <row r="393" spans="1:36" x14ac:dyDescent="0.25">
      <c r="A393" s="6" t="e">
        <f t="shared" si="47"/>
        <v>#N/A</v>
      </c>
      <c r="B393" s="3" t="e">
        <f t="shared" ref="B393:B456" si="50">IF($B$1="Solo",IF(M392="","",M392),IF($B$1="Duet",IF(P392="","",P392),IF($B$1="Mixed",IF(S392="","",S392),IF(V392="","",V392))))</f>
        <v>#N/A</v>
      </c>
      <c r="C393" s="3" t="e">
        <f t="shared" ref="C393:C456" si="51">IF($B$1="Solo",IF(N392="","",N392),IF($B$1="Duet",IF(Q392="","",Q392),IF($B$1="Mixed",IF(T392="","",T392),IF(W392="","",W392))))</f>
        <v>#N/A</v>
      </c>
      <c r="D393" s="3" t="e">
        <f t="shared" si="48"/>
        <v>#N/A</v>
      </c>
      <c r="E393" s="3" t="e">
        <f t="shared" si="49"/>
        <v>#N/A</v>
      </c>
      <c r="U393" s="1" t="s">
        <v>1773</v>
      </c>
      <c r="V393" t="s">
        <v>2097</v>
      </c>
      <c r="W393" s="3">
        <v>0.64499999999999991</v>
      </c>
      <c r="AH393" t="s">
        <v>2120</v>
      </c>
      <c r="AI393" t="s">
        <v>1812</v>
      </c>
      <c r="AJ393">
        <v>0.5</v>
      </c>
    </row>
    <row r="394" spans="1:36" x14ac:dyDescent="0.25">
      <c r="A394" s="6" t="e">
        <f t="shared" si="47"/>
        <v>#N/A</v>
      </c>
      <c r="B394" s="3" t="e">
        <f t="shared" si="50"/>
        <v>#N/A</v>
      </c>
      <c r="C394" s="3" t="e">
        <f t="shared" si="51"/>
        <v>#N/A</v>
      </c>
      <c r="D394" s="3" t="e">
        <f t="shared" si="48"/>
        <v>#N/A</v>
      </c>
      <c r="E394" s="3" t="e">
        <f t="shared" si="49"/>
        <v>#N/A</v>
      </c>
      <c r="U394" s="1" t="s">
        <v>1773</v>
      </c>
      <c r="V394" t="s">
        <v>2098</v>
      </c>
      <c r="W394" s="3">
        <v>0.70499999999999996</v>
      </c>
      <c r="AH394" t="s">
        <v>2121</v>
      </c>
      <c r="AI394" t="s">
        <v>1813</v>
      </c>
      <c r="AJ394">
        <v>0.5</v>
      </c>
    </row>
    <row r="395" spans="1:36" x14ac:dyDescent="0.25">
      <c r="A395" s="6" t="e">
        <f t="shared" si="47"/>
        <v>#N/A</v>
      </c>
      <c r="B395" s="3" t="e">
        <f t="shared" si="50"/>
        <v>#N/A</v>
      </c>
      <c r="C395" s="3" t="e">
        <f t="shared" si="51"/>
        <v>#N/A</v>
      </c>
      <c r="D395" s="3" t="e">
        <f t="shared" si="48"/>
        <v>#N/A</v>
      </c>
      <c r="E395" s="3" t="e">
        <f t="shared" si="49"/>
        <v>#N/A</v>
      </c>
      <c r="U395" s="1" t="s">
        <v>1773</v>
      </c>
      <c r="V395" t="s">
        <v>2099</v>
      </c>
      <c r="W395" s="3">
        <v>0.58499999999999996</v>
      </c>
      <c r="AH395" t="s">
        <v>2122</v>
      </c>
      <c r="AI395" t="s">
        <v>1814</v>
      </c>
      <c r="AJ395">
        <v>0.5</v>
      </c>
    </row>
    <row r="396" spans="1:36" x14ac:dyDescent="0.25">
      <c r="A396" s="6" t="e">
        <f t="shared" si="47"/>
        <v>#N/A</v>
      </c>
      <c r="B396" s="3" t="e">
        <f t="shared" si="50"/>
        <v>#N/A</v>
      </c>
      <c r="C396" s="3" t="e">
        <f t="shared" si="51"/>
        <v>#N/A</v>
      </c>
      <c r="D396" s="3" t="e">
        <f t="shared" si="48"/>
        <v>#N/A</v>
      </c>
      <c r="E396" s="3" t="e">
        <f t="shared" si="49"/>
        <v>#N/A</v>
      </c>
      <c r="U396" s="1" t="s">
        <v>1773</v>
      </c>
      <c r="V396" t="s">
        <v>2100</v>
      </c>
      <c r="W396" s="3">
        <v>0.73499999999999999</v>
      </c>
      <c r="AH396" t="s">
        <v>2123</v>
      </c>
      <c r="AI396" t="s">
        <v>1815</v>
      </c>
      <c r="AJ396">
        <v>0.5</v>
      </c>
    </row>
    <row r="397" spans="1:36" x14ac:dyDescent="0.25">
      <c r="A397" s="6" t="e">
        <f t="shared" si="47"/>
        <v>#N/A</v>
      </c>
      <c r="B397" s="3" t="e">
        <f t="shared" si="50"/>
        <v>#N/A</v>
      </c>
      <c r="C397" s="3" t="e">
        <f t="shared" si="51"/>
        <v>#N/A</v>
      </c>
      <c r="D397" s="3" t="e">
        <f t="shared" si="48"/>
        <v>#N/A</v>
      </c>
      <c r="E397" s="3" t="e">
        <f t="shared" si="49"/>
        <v>#N/A</v>
      </c>
      <c r="U397" s="1" t="s">
        <v>1773</v>
      </c>
      <c r="V397" t="s">
        <v>2101</v>
      </c>
      <c r="W397" s="3">
        <v>0.88500000000000001</v>
      </c>
      <c r="AH397" t="s">
        <v>2124</v>
      </c>
      <c r="AI397" t="s">
        <v>1700</v>
      </c>
      <c r="AJ397">
        <v>0.5</v>
      </c>
    </row>
    <row r="398" spans="1:36" x14ac:dyDescent="0.25">
      <c r="A398" s="6" t="e">
        <f t="shared" si="47"/>
        <v>#N/A</v>
      </c>
      <c r="B398" s="3" t="e">
        <f t="shared" si="50"/>
        <v>#N/A</v>
      </c>
      <c r="C398" s="3" t="e">
        <f t="shared" si="51"/>
        <v>#N/A</v>
      </c>
      <c r="D398" s="3" t="e">
        <f t="shared" si="48"/>
        <v>#N/A</v>
      </c>
      <c r="E398" s="3" t="e">
        <f t="shared" si="49"/>
        <v>#N/A</v>
      </c>
      <c r="U398" s="1" t="s">
        <v>1773</v>
      </c>
      <c r="V398" t="s">
        <v>2102</v>
      </c>
      <c r="W398" s="3">
        <v>0.70499999999999996</v>
      </c>
      <c r="AH398" t="s">
        <v>2125</v>
      </c>
      <c r="AI398" t="s">
        <v>1701</v>
      </c>
      <c r="AJ398">
        <v>0.5</v>
      </c>
    </row>
    <row r="399" spans="1:36" x14ac:dyDescent="0.25">
      <c r="A399" s="6" t="e">
        <f t="shared" si="47"/>
        <v>#N/A</v>
      </c>
      <c r="B399" s="3" t="e">
        <f t="shared" si="50"/>
        <v>#N/A</v>
      </c>
      <c r="C399" s="3" t="e">
        <f t="shared" si="51"/>
        <v>#N/A</v>
      </c>
      <c r="D399" s="3" t="e">
        <f t="shared" si="48"/>
        <v>#N/A</v>
      </c>
      <c r="E399" s="3" t="e">
        <f t="shared" si="49"/>
        <v>#N/A</v>
      </c>
      <c r="U399" s="1" t="s">
        <v>1773</v>
      </c>
      <c r="V399" t="s">
        <v>2103</v>
      </c>
      <c r="W399" s="3">
        <v>0.88500000000000001</v>
      </c>
      <c r="AH399" t="s">
        <v>2126</v>
      </c>
      <c r="AI399" t="s">
        <v>1702</v>
      </c>
      <c r="AJ399">
        <v>0.5</v>
      </c>
    </row>
    <row r="400" spans="1:36" x14ac:dyDescent="0.25">
      <c r="A400" s="6" t="e">
        <f t="shared" si="47"/>
        <v>#N/A</v>
      </c>
      <c r="B400" s="3" t="e">
        <f t="shared" si="50"/>
        <v>#N/A</v>
      </c>
      <c r="C400" s="3" t="e">
        <f t="shared" si="51"/>
        <v>#N/A</v>
      </c>
      <c r="D400" s="3" t="e">
        <f t="shared" si="48"/>
        <v>#N/A</v>
      </c>
      <c r="E400" s="3" t="e">
        <f t="shared" si="49"/>
        <v>#N/A</v>
      </c>
      <c r="U400" s="1" t="s">
        <v>1773</v>
      </c>
      <c r="V400" t="s">
        <v>2104</v>
      </c>
      <c r="W400" s="3">
        <v>1.0049999999999999</v>
      </c>
      <c r="AH400" t="s">
        <v>2127</v>
      </c>
      <c r="AI400" t="s">
        <v>1703</v>
      </c>
      <c r="AJ400">
        <v>0.5</v>
      </c>
    </row>
    <row r="401" spans="1:36" x14ac:dyDescent="0.25">
      <c r="A401" s="6" t="e">
        <f t="shared" si="47"/>
        <v>#N/A</v>
      </c>
      <c r="B401" s="3" t="e">
        <f t="shared" si="50"/>
        <v>#N/A</v>
      </c>
      <c r="C401" s="3" t="e">
        <f t="shared" si="51"/>
        <v>#N/A</v>
      </c>
      <c r="U401" s="1" t="s">
        <v>1773</v>
      </c>
      <c r="V401" t="s">
        <v>2105</v>
      </c>
      <c r="W401" s="3">
        <v>1.0649999999999999</v>
      </c>
      <c r="AH401" t="s">
        <v>2128</v>
      </c>
      <c r="AI401" t="s">
        <v>1704</v>
      </c>
      <c r="AJ401">
        <v>0.5</v>
      </c>
    </row>
    <row r="402" spans="1:36" x14ac:dyDescent="0.25">
      <c r="A402" s="6" t="e">
        <f t="shared" si="47"/>
        <v>#N/A</v>
      </c>
      <c r="B402" s="3" t="e">
        <f t="shared" si="50"/>
        <v>#N/A</v>
      </c>
      <c r="C402" s="3" t="e">
        <f t="shared" si="51"/>
        <v>#N/A</v>
      </c>
      <c r="U402" s="1" t="s">
        <v>1773</v>
      </c>
      <c r="V402" t="s">
        <v>2106</v>
      </c>
      <c r="W402" s="3">
        <v>1.0349999999999999</v>
      </c>
      <c r="AH402" t="s">
        <v>2129</v>
      </c>
      <c r="AI402" t="s">
        <v>1816</v>
      </c>
      <c r="AJ402">
        <v>0.5</v>
      </c>
    </row>
    <row r="403" spans="1:36" x14ac:dyDescent="0.25">
      <c r="A403" s="6" t="e">
        <f t="shared" si="47"/>
        <v>#N/A</v>
      </c>
      <c r="B403" s="3" t="e">
        <f t="shared" si="50"/>
        <v>#N/A</v>
      </c>
      <c r="C403" s="3" t="e">
        <f t="shared" si="51"/>
        <v>#N/A</v>
      </c>
      <c r="U403" s="1" t="s">
        <v>1773</v>
      </c>
      <c r="V403" t="s">
        <v>2107</v>
      </c>
      <c r="W403" s="3">
        <v>1.2450000000000001</v>
      </c>
      <c r="AH403" t="s">
        <v>2130</v>
      </c>
      <c r="AI403" t="s">
        <v>1817</v>
      </c>
      <c r="AJ403">
        <v>0.5</v>
      </c>
    </row>
    <row r="404" spans="1:36" x14ac:dyDescent="0.25">
      <c r="A404" s="6" t="e">
        <f t="shared" si="47"/>
        <v>#N/A</v>
      </c>
      <c r="B404" s="3" t="e">
        <f t="shared" si="50"/>
        <v>#N/A</v>
      </c>
      <c r="C404" s="3" t="e">
        <f t="shared" si="51"/>
        <v>#N/A</v>
      </c>
      <c r="U404" s="1" t="s">
        <v>1773</v>
      </c>
      <c r="V404" t="s">
        <v>2108</v>
      </c>
      <c r="W404" s="3">
        <v>1.1850000000000001</v>
      </c>
      <c r="AH404" t="s">
        <v>2131</v>
      </c>
      <c r="AI404" t="s">
        <v>1818</v>
      </c>
      <c r="AJ404">
        <v>0.5</v>
      </c>
    </row>
    <row r="405" spans="1:36" x14ac:dyDescent="0.25">
      <c r="A405" s="6" t="e">
        <f t="shared" si="47"/>
        <v>#N/A</v>
      </c>
      <c r="B405" s="3" t="e">
        <f t="shared" si="50"/>
        <v>#N/A</v>
      </c>
      <c r="C405" s="3" t="e">
        <f t="shared" si="51"/>
        <v>#N/A</v>
      </c>
      <c r="U405" s="1" t="s">
        <v>1773</v>
      </c>
      <c r="V405" t="s">
        <v>2109</v>
      </c>
      <c r="W405" s="3">
        <v>1.425</v>
      </c>
      <c r="AH405" t="s">
        <v>2132</v>
      </c>
      <c r="AI405" t="s">
        <v>1819</v>
      </c>
      <c r="AJ405">
        <v>0.5</v>
      </c>
    </row>
    <row r="406" spans="1:36" x14ac:dyDescent="0.25">
      <c r="A406" s="6" t="e">
        <f t="shared" si="47"/>
        <v>#N/A</v>
      </c>
      <c r="B406" s="3" t="e">
        <f t="shared" si="50"/>
        <v>#N/A</v>
      </c>
      <c r="C406" s="3" t="e">
        <f t="shared" si="51"/>
        <v>#N/A</v>
      </c>
      <c r="U406" s="1" t="s">
        <v>1773</v>
      </c>
      <c r="V406" t="s">
        <v>2110</v>
      </c>
      <c r="W406" s="3">
        <v>1.335</v>
      </c>
      <c r="AH406" t="s">
        <v>2133</v>
      </c>
      <c r="AI406" t="s">
        <v>1820</v>
      </c>
      <c r="AJ406">
        <v>0.5</v>
      </c>
    </row>
    <row r="407" spans="1:36" x14ac:dyDescent="0.25">
      <c r="A407" s="6" t="e">
        <f t="shared" si="47"/>
        <v>#N/A</v>
      </c>
      <c r="B407" s="3" t="e">
        <f t="shared" si="50"/>
        <v>#N/A</v>
      </c>
      <c r="C407" s="3" t="e">
        <f t="shared" si="51"/>
        <v>#N/A</v>
      </c>
      <c r="U407" s="1" t="s">
        <v>1773</v>
      </c>
      <c r="V407" t="s">
        <v>2111</v>
      </c>
      <c r="W407" s="3">
        <v>1.6049999999999998</v>
      </c>
      <c r="AH407" t="s">
        <v>2134</v>
      </c>
      <c r="AI407" t="s">
        <v>1821</v>
      </c>
      <c r="AJ407">
        <v>0.5</v>
      </c>
    </row>
    <row r="408" spans="1:36" x14ac:dyDescent="0.25">
      <c r="A408" s="6" t="e">
        <f t="shared" si="47"/>
        <v>#N/A</v>
      </c>
      <c r="B408" s="3" t="e">
        <f t="shared" si="50"/>
        <v>#N/A</v>
      </c>
      <c r="C408" s="3" t="e">
        <f t="shared" si="51"/>
        <v>#N/A</v>
      </c>
      <c r="U408" s="1" t="s">
        <v>1773</v>
      </c>
      <c r="V408" t="s">
        <v>2112</v>
      </c>
      <c r="W408" s="3">
        <v>1.4850000000000001</v>
      </c>
      <c r="AH408" t="s">
        <v>2135</v>
      </c>
      <c r="AI408" t="s">
        <v>1822</v>
      </c>
      <c r="AJ408">
        <v>0.5</v>
      </c>
    </row>
    <row r="409" spans="1:36" x14ac:dyDescent="0.25">
      <c r="A409" s="6" t="e">
        <f t="shared" si="47"/>
        <v>#N/A</v>
      </c>
      <c r="B409" s="3" t="e">
        <f t="shared" si="50"/>
        <v>#N/A</v>
      </c>
      <c r="C409" s="3" t="e">
        <f t="shared" si="51"/>
        <v>#N/A</v>
      </c>
      <c r="U409" s="1" t="s">
        <v>1773</v>
      </c>
      <c r="V409" t="s">
        <v>2113</v>
      </c>
      <c r="W409" s="3">
        <v>1.7849999999999999</v>
      </c>
      <c r="AH409" t="s">
        <v>2136</v>
      </c>
      <c r="AI409" t="s">
        <v>1823</v>
      </c>
      <c r="AJ409">
        <v>0.5</v>
      </c>
    </row>
    <row r="410" spans="1:36" x14ac:dyDescent="0.25">
      <c r="A410" s="6" t="e">
        <f t="shared" si="47"/>
        <v>#N/A</v>
      </c>
      <c r="B410" s="3" t="e">
        <f t="shared" si="50"/>
        <v>#N/A</v>
      </c>
      <c r="C410" s="3" t="e">
        <f t="shared" si="51"/>
        <v>#N/A</v>
      </c>
      <c r="U410" s="1" t="s">
        <v>1637</v>
      </c>
      <c r="V410" t="s">
        <v>2114</v>
      </c>
      <c r="W410" s="3">
        <v>1.4999999999999999E-2</v>
      </c>
      <c r="AH410" t="s">
        <v>2137</v>
      </c>
      <c r="AI410" t="s">
        <v>1824</v>
      </c>
      <c r="AJ410">
        <v>0.5</v>
      </c>
    </row>
    <row r="411" spans="1:36" x14ac:dyDescent="0.25">
      <c r="A411" s="6" t="e">
        <f t="shared" si="47"/>
        <v>#N/A</v>
      </c>
      <c r="B411" s="3" t="e">
        <f t="shared" si="50"/>
        <v>#N/A</v>
      </c>
      <c r="C411" s="3" t="e">
        <f t="shared" si="51"/>
        <v>#N/A</v>
      </c>
      <c r="U411" s="1" t="s">
        <v>1637</v>
      </c>
      <c r="V411" t="s">
        <v>2115</v>
      </c>
      <c r="W411" s="3">
        <v>0.03</v>
      </c>
      <c r="AH411" t="s">
        <v>2138</v>
      </c>
      <c r="AI411" t="s">
        <v>1825</v>
      </c>
      <c r="AJ411">
        <v>0.5</v>
      </c>
    </row>
    <row r="412" spans="1:36" x14ac:dyDescent="0.25">
      <c r="A412" s="6" t="e">
        <f t="shared" si="47"/>
        <v>#N/A</v>
      </c>
      <c r="B412" s="3" t="e">
        <f t="shared" si="50"/>
        <v>#N/A</v>
      </c>
      <c r="C412" s="3" t="e">
        <f t="shared" si="51"/>
        <v>#N/A</v>
      </c>
      <c r="U412" s="1" t="s">
        <v>1637</v>
      </c>
      <c r="V412" t="s">
        <v>2116</v>
      </c>
      <c r="W412" s="3">
        <v>0.03</v>
      </c>
      <c r="AH412" t="s">
        <v>2139</v>
      </c>
      <c r="AI412" t="s">
        <v>1826</v>
      </c>
      <c r="AJ412">
        <v>0.5</v>
      </c>
    </row>
    <row r="413" spans="1:36" x14ac:dyDescent="0.25">
      <c r="A413" s="6" t="e">
        <f t="shared" si="47"/>
        <v>#N/A</v>
      </c>
      <c r="B413" s="3" t="e">
        <f t="shared" si="50"/>
        <v>#N/A</v>
      </c>
      <c r="C413" s="3" t="e">
        <f t="shared" si="51"/>
        <v>#N/A</v>
      </c>
      <c r="U413" s="1" t="s">
        <v>1637</v>
      </c>
      <c r="V413" t="s">
        <v>2117</v>
      </c>
      <c r="W413" s="3">
        <v>0.03</v>
      </c>
      <c r="AH413" t="s">
        <v>2140</v>
      </c>
      <c r="AI413" t="s">
        <v>1827</v>
      </c>
      <c r="AJ413">
        <v>0.5</v>
      </c>
    </row>
    <row r="414" spans="1:36" x14ac:dyDescent="0.25">
      <c r="A414" s="6" t="e">
        <f t="shared" si="47"/>
        <v>#N/A</v>
      </c>
      <c r="B414" s="3" t="e">
        <f t="shared" si="50"/>
        <v>#N/A</v>
      </c>
      <c r="C414" s="3" t="e">
        <f t="shared" si="51"/>
        <v>#N/A</v>
      </c>
      <c r="U414" s="1" t="s">
        <v>1637</v>
      </c>
      <c r="V414" t="s">
        <v>2118</v>
      </c>
      <c r="W414" s="3">
        <v>0.03</v>
      </c>
      <c r="AH414" t="s">
        <v>2141</v>
      </c>
      <c r="AI414" t="s">
        <v>1828</v>
      </c>
      <c r="AJ414">
        <v>0.5</v>
      </c>
    </row>
    <row r="415" spans="1:36" x14ac:dyDescent="0.25">
      <c r="A415" s="6" t="e">
        <f t="shared" si="47"/>
        <v>#N/A</v>
      </c>
      <c r="B415" s="3" t="e">
        <f t="shared" si="50"/>
        <v>#N/A</v>
      </c>
      <c r="C415" s="3" t="e">
        <f t="shared" si="51"/>
        <v>#N/A</v>
      </c>
      <c r="U415" s="1" t="s">
        <v>1637</v>
      </c>
      <c r="V415" t="s">
        <v>2119</v>
      </c>
      <c r="W415" s="3">
        <v>4.4999999999999998E-2</v>
      </c>
      <c r="AH415" t="s">
        <v>2142</v>
      </c>
      <c r="AI415" t="s">
        <v>1829</v>
      </c>
      <c r="AJ415">
        <v>0.5</v>
      </c>
    </row>
    <row r="416" spans="1:36" x14ac:dyDescent="0.25">
      <c r="A416" s="6" t="e">
        <f t="shared" si="47"/>
        <v>#N/A</v>
      </c>
      <c r="B416" s="3" t="e">
        <f t="shared" si="50"/>
        <v>#N/A</v>
      </c>
      <c r="C416" s="3" t="e">
        <f t="shared" si="51"/>
        <v>#N/A</v>
      </c>
      <c r="U416" s="1" t="s">
        <v>1637</v>
      </c>
      <c r="V416" t="s">
        <v>2020</v>
      </c>
      <c r="W416" s="3">
        <v>4.4999999999999998E-2</v>
      </c>
      <c r="AH416" t="s">
        <v>2143</v>
      </c>
      <c r="AI416" t="s">
        <v>1830</v>
      </c>
      <c r="AJ416">
        <v>0.5</v>
      </c>
    </row>
    <row r="417" spans="1:36" x14ac:dyDescent="0.25">
      <c r="A417" s="6" t="e">
        <f t="shared" si="47"/>
        <v>#N/A</v>
      </c>
      <c r="B417" s="3" t="e">
        <f t="shared" si="50"/>
        <v>#N/A</v>
      </c>
      <c r="C417" s="3" t="e">
        <f t="shared" si="51"/>
        <v>#N/A</v>
      </c>
      <c r="U417" s="1" t="s">
        <v>1637</v>
      </c>
      <c r="V417" t="s">
        <v>2120</v>
      </c>
      <c r="W417" s="3">
        <v>0.06</v>
      </c>
      <c r="AH417" t="s">
        <v>2144</v>
      </c>
      <c r="AI417" t="s">
        <v>1831</v>
      </c>
      <c r="AJ417">
        <v>0.5</v>
      </c>
    </row>
    <row r="418" spans="1:36" x14ac:dyDescent="0.25">
      <c r="A418" s="6" t="e">
        <f t="shared" si="47"/>
        <v>#N/A</v>
      </c>
      <c r="B418" s="3" t="e">
        <f t="shared" si="50"/>
        <v>#N/A</v>
      </c>
      <c r="C418" s="3" t="e">
        <f t="shared" si="51"/>
        <v>#N/A</v>
      </c>
      <c r="U418" s="1" t="s">
        <v>1637</v>
      </c>
      <c r="V418" t="s">
        <v>2121</v>
      </c>
      <c r="W418" s="3">
        <v>0.06</v>
      </c>
      <c r="AH418" t="s">
        <v>2145</v>
      </c>
      <c r="AI418" t="s">
        <v>1832</v>
      </c>
      <c r="AJ418">
        <v>0.5</v>
      </c>
    </row>
    <row r="419" spans="1:36" x14ac:dyDescent="0.25">
      <c r="A419" s="6" t="e">
        <f t="shared" si="47"/>
        <v>#N/A</v>
      </c>
      <c r="B419" s="3" t="e">
        <f t="shared" si="50"/>
        <v>#N/A</v>
      </c>
      <c r="C419" s="3" t="e">
        <f t="shared" si="51"/>
        <v>#N/A</v>
      </c>
      <c r="U419" s="1" t="s">
        <v>1637</v>
      </c>
      <c r="V419" t="s">
        <v>2122</v>
      </c>
      <c r="W419" s="3">
        <v>0.13500000000000001</v>
      </c>
      <c r="AH419" t="s">
        <v>2146</v>
      </c>
      <c r="AI419" t="s">
        <v>1833</v>
      </c>
      <c r="AJ419">
        <v>0.5</v>
      </c>
    </row>
    <row r="420" spans="1:36" x14ac:dyDescent="0.25">
      <c r="A420" s="6" t="e">
        <f t="shared" ref="A420:A481" si="52">IF($B$1="Solo",IF(L419="","",L419),IF($B$1="Duet",IF(O419="","",O419),IF($B$1="Mixed",IF(R419="","",R419),IF(U419="","",U419))))</f>
        <v>#N/A</v>
      </c>
      <c r="B420" s="3" t="e">
        <f t="shared" si="50"/>
        <v>#N/A</v>
      </c>
      <c r="C420" s="3" t="e">
        <f t="shared" si="51"/>
        <v>#N/A</v>
      </c>
      <c r="U420" s="1" t="s">
        <v>1637</v>
      </c>
      <c r="V420" t="s">
        <v>2123</v>
      </c>
      <c r="W420" s="3">
        <v>0.13500000000000001</v>
      </c>
      <c r="AH420" t="s">
        <v>2147</v>
      </c>
      <c r="AI420" t="s">
        <v>1834</v>
      </c>
      <c r="AJ420">
        <v>0.5</v>
      </c>
    </row>
    <row r="421" spans="1:36" x14ac:dyDescent="0.25">
      <c r="A421" s="6" t="e">
        <f t="shared" si="52"/>
        <v>#N/A</v>
      </c>
      <c r="B421" s="3" t="e">
        <f t="shared" si="50"/>
        <v>#N/A</v>
      </c>
      <c r="C421" s="3" t="e">
        <f t="shared" si="51"/>
        <v>#N/A</v>
      </c>
      <c r="U421" s="1" t="s">
        <v>1637</v>
      </c>
      <c r="V421" t="s">
        <v>2124</v>
      </c>
      <c r="W421" s="3">
        <v>0.19500000000000001</v>
      </c>
      <c r="AH421" t="s">
        <v>2148</v>
      </c>
      <c r="AI421" t="s">
        <v>1835</v>
      </c>
      <c r="AJ421">
        <v>0.5</v>
      </c>
    </row>
    <row r="422" spans="1:36" x14ac:dyDescent="0.25">
      <c r="A422" s="6" t="e">
        <f t="shared" si="52"/>
        <v>#N/A</v>
      </c>
      <c r="B422" s="3" t="e">
        <f t="shared" si="50"/>
        <v>#N/A</v>
      </c>
      <c r="C422" s="3" t="e">
        <f t="shared" si="51"/>
        <v>#N/A</v>
      </c>
      <c r="U422" s="1" t="s">
        <v>1637</v>
      </c>
      <c r="V422" t="s">
        <v>2125</v>
      </c>
      <c r="W422" s="3">
        <v>0.34499999999999997</v>
      </c>
      <c r="AH422" t="s">
        <v>2149</v>
      </c>
      <c r="AI422" t="s">
        <v>1836</v>
      </c>
      <c r="AJ422">
        <v>0.5</v>
      </c>
    </row>
    <row r="423" spans="1:36" x14ac:dyDescent="0.25">
      <c r="A423" s="6" t="e">
        <f t="shared" si="52"/>
        <v>#N/A</v>
      </c>
      <c r="B423" s="3" t="e">
        <f t="shared" si="50"/>
        <v>#N/A</v>
      </c>
      <c r="C423" s="3" t="e">
        <f t="shared" si="51"/>
        <v>#N/A</v>
      </c>
      <c r="U423" s="1" t="s">
        <v>1637</v>
      </c>
      <c r="V423" t="s">
        <v>2126</v>
      </c>
      <c r="W423" s="3">
        <v>0.435</v>
      </c>
      <c r="AH423" t="s">
        <v>2150</v>
      </c>
      <c r="AI423" t="s">
        <v>1837</v>
      </c>
      <c r="AJ423">
        <v>0.5</v>
      </c>
    </row>
    <row r="424" spans="1:36" x14ac:dyDescent="0.25">
      <c r="A424" s="6" t="e">
        <f t="shared" si="52"/>
        <v>#N/A</v>
      </c>
      <c r="B424" s="3" t="e">
        <f t="shared" si="50"/>
        <v>#N/A</v>
      </c>
      <c r="C424" s="3" t="e">
        <f t="shared" si="51"/>
        <v>#N/A</v>
      </c>
      <c r="U424" s="1" t="s">
        <v>1637</v>
      </c>
      <c r="V424" t="s">
        <v>2127</v>
      </c>
      <c r="W424" s="3">
        <v>0.49499999999999994</v>
      </c>
      <c r="AH424" t="s">
        <v>2151</v>
      </c>
      <c r="AI424" t="s">
        <v>1705</v>
      </c>
      <c r="AJ424">
        <v>0.5</v>
      </c>
    </row>
    <row r="425" spans="1:36" x14ac:dyDescent="0.25">
      <c r="A425" s="6" t="e">
        <f t="shared" si="52"/>
        <v>#N/A</v>
      </c>
      <c r="B425" s="3" t="e">
        <f t="shared" si="50"/>
        <v>#N/A</v>
      </c>
      <c r="C425" s="3" t="e">
        <f t="shared" si="51"/>
        <v>#N/A</v>
      </c>
      <c r="U425" s="1" t="s">
        <v>628</v>
      </c>
      <c r="V425" t="s">
        <v>2128</v>
      </c>
      <c r="W425" s="3">
        <v>1.4999999999999999E-2</v>
      </c>
      <c r="AH425" t="s">
        <v>2152</v>
      </c>
      <c r="AI425" t="s">
        <v>1838</v>
      </c>
      <c r="AJ425">
        <v>0.5</v>
      </c>
    </row>
    <row r="426" spans="1:36" x14ac:dyDescent="0.25">
      <c r="A426" s="6" t="e">
        <f t="shared" si="52"/>
        <v>#N/A</v>
      </c>
      <c r="B426" s="3" t="e">
        <f t="shared" si="50"/>
        <v>#N/A</v>
      </c>
      <c r="C426" s="3" t="e">
        <f t="shared" si="51"/>
        <v>#N/A</v>
      </c>
      <c r="U426" s="1" t="s">
        <v>628</v>
      </c>
      <c r="V426" t="s">
        <v>2129</v>
      </c>
      <c r="W426" s="3">
        <v>0.03</v>
      </c>
      <c r="AH426" t="s">
        <v>2153</v>
      </c>
      <c r="AI426" t="s">
        <v>1839</v>
      </c>
      <c r="AJ426">
        <v>0.5</v>
      </c>
    </row>
    <row r="427" spans="1:36" x14ac:dyDescent="0.25">
      <c r="A427" s="6" t="e">
        <f t="shared" si="52"/>
        <v>#N/A</v>
      </c>
      <c r="B427" s="3" t="e">
        <f t="shared" si="50"/>
        <v>#N/A</v>
      </c>
      <c r="C427" s="3" t="e">
        <f t="shared" si="51"/>
        <v>#N/A</v>
      </c>
      <c r="U427" s="1" t="s">
        <v>628</v>
      </c>
      <c r="V427" t="s">
        <v>2130</v>
      </c>
      <c r="W427" s="3">
        <v>0.03</v>
      </c>
      <c r="AH427" t="s">
        <v>2154</v>
      </c>
      <c r="AI427" t="s">
        <v>1706</v>
      </c>
      <c r="AJ427">
        <v>0.5</v>
      </c>
    </row>
    <row r="428" spans="1:36" x14ac:dyDescent="0.25">
      <c r="A428" s="6" t="e">
        <f t="shared" si="52"/>
        <v>#N/A</v>
      </c>
      <c r="B428" s="3" t="e">
        <f t="shared" si="50"/>
        <v>#N/A</v>
      </c>
      <c r="C428" s="3" t="e">
        <f t="shared" si="51"/>
        <v>#N/A</v>
      </c>
      <c r="U428" s="1" t="s">
        <v>628</v>
      </c>
      <c r="V428" t="s">
        <v>2131</v>
      </c>
      <c r="W428" s="3">
        <v>0.03</v>
      </c>
      <c r="AH428" t="s">
        <v>2155</v>
      </c>
      <c r="AI428" t="s">
        <v>1707</v>
      </c>
      <c r="AJ428">
        <v>0.5</v>
      </c>
    </row>
    <row r="429" spans="1:36" x14ac:dyDescent="0.25">
      <c r="A429" s="6" t="e">
        <f t="shared" si="52"/>
        <v>#N/A</v>
      </c>
      <c r="B429" s="3" t="e">
        <f t="shared" si="50"/>
        <v>#N/A</v>
      </c>
      <c r="C429" s="3" t="e">
        <f t="shared" si="51"/>
        <v>#N/A</v>
      </c>
      <c r="U429" s="1" t="s">
        <v>628</v>
      </c>
      <c r="V429" t="s">
        <v>2132</v>
      </c>
      <c r="W429" s="3">
        <v>0.06</v>
      </c>
      <c r="AH429" t="s">
        <v>2003</v>
      </c>
      <c r="AI429" t="s">
        <v>1708</v>
      </c>
      <c r="AJ429">
        <v>0.5</v>
      </c>
    </row>
    <row r="430" spans="1:36" x14ac:dyDescent="0.25">
      <c r="A430" s="6" t="e">
        <f t="shared" si="52"/>
        <v>#N/A</v>
      </c>
      <c r="B430" s="3" t="e">
        <f t="shared" si="50"/>
        <v>#N/A</v>
      </c>
      <c r="C430" s="3" t="e">
        <f t="shared" si="51"/>
        <v>#N/A</v>
      </c>
      <c r="U430" s="1" t="s">
        <v>628</v>
      </c>
      <c r="V430" t="s">
        <v>2133</v>
      </c>
      <c r="W430" s="3">
        <v>0.06</v>
      </c>
      <c r="AH430" t="s">
        <v>2279</v>
      </c>
      <c r="AI430" t="s">
        <v>1708</v>
      </c>
      <c r="AJ430">
        <v>0.5</v>
      </c>
    </row>
    <row r="431" spans="1:36" x14ac:dyDescent="0.25">
      <c r="A431" s="6" t="e">
        <f t="shared" si="52"/>
        <v>#N/A</v>
      </c>
      <c r="B431" s="3" t="e">
        <f t="shared" si="50"/>
        <v>#N/A</v>
      </c>
      <c r="C431" s="3" t="e">
        <f t="shared" si="51"/>
        <v>#N/A</v>
      </c>
      <c r="U431" s="1" t="s">
        <v>628</v>
      </c>
      <c r="V431" t="s">
        <v>2134</v>
      </c>
      <c r="W431" s="3">
        <v>0.06</v>
      </c>
      <c r="AH431" t="s">
        <v>2004</v>
      </c>
      <c r="AI431" t="s">
        <v>1840</v>
      </c>
      <c r="AJ431">
        <v>0.5</v>
      </c>
    </row>
    <row r="432" spans="1:36" x14ac:dyDescent="0.25">
      <c r="A432" s="6" t="e">
        <f t="shared" si="52"/>
        <v>#N/A</v>
      </c>
      <c r="B432" s="3" t="e">
        <f t="shared" si="50"/>
        <v>#N/A</v>
      </c>
      <c r="C432" s="3" t="e">
        <f t="shared" si="51"/>
        <v>#N/A</v>
      </c>
      <c r="U432" s="1" t="s">
        <v>628</v>
      </c>
      <c r="V432" t="s">
        <v>2135</v>
      </c>
      <c r="W432" s="3">
        <v>0.09</v>
      </c>
      <c r="AH432" t="s">
        <v>2280</v>
      </c>
      <c r="AI432" t="s">
        <v>1840</v>
      </c>
      <c r="AJ432">
        <v>0.5</v>
      </c>
    </row>
    <row r="433" spans="1:36" x14ac:dyDescent="0.25">
      <c r="A433" s="6" t="e">
        <f t="shared" si="52"/>
        <v>#N/A</v>
      </c>
      <c r="B433" s="3" t="e">
        <f t="shared" si="50"/>
        <v>#N/A</v>
      </c>
      <c r="C433" s="3" t="e">
        <f t="shared" si="51"/>
        <v>#N/A</v>
      </c>
      <c r="U433" s="1" t="s">
        <v>628</v>
      </c>
      <c r="V433" t="s">
        <v>2136</v>
      </c>
      <c r="W433" s="3">
        <v>0.09</v>
      </c>
      <c r="AH433" t="s">
        <v>2005</v>
      </c>
      <c r="AI433" t="s">
        <v>1841</v>
      </c>
      <c r="AJ433">
        <v>0.5</v>
      </c>
    </row>
    <row r="434" spans="1:36" x14ac:dyDescent="0.25">
      <c r="A434" s="6" t="e">
        <f t="shared" si="52"/>
        <v>#N/A</v>
      </c>
      <c r="B434" s="3" t="e">
        <f t="shared" si="50"/>
        <v>#N/A</v>
      </c>
      <c r="C434" s="3" t="e">
        <f t="shared" si="51"/>
        <v>#N/A</v>
      </c>
      <c r="U434" s="1" t="s">
        <v>628</v>
      </c>
      <c r="V434" t="s">
        <v>2137</v>
      </c>
      <c r="W434" s="3">
        <v>0.09</v>
      </c>
      <c r="AH434" t="s">
        <v>2281</v>
      </c>
      <c r="AI434" t="s">
        <v>1841</v>
      </c>
      <c r="AJ434">
        <v>0.5</v>
      </c>
    </row>
    <row r="435" spans="1:36" x14ac:dyDescent="0.25">
      <c r="A435" s="6" t="e">
        <f t="shared" si="52"/>
        <v>#N/A</v>
      </c>
      <c r="B435" s="3" t="e">
        <f t="shared" si="50"/>
        <v>#N/A</v>
      </c>
      <c r="C435" s="3" t="e">
        <f t="shared" si="51"/>
        <v>#N/A</v>
      </c>
      <c r="U435" s="1" t="s">
        <v>628</v>
      </c>
      <c r="V435" t="s">
        <v>2138</v>
      </c>
      <c r="W435" s="3">
        <v>0.12</v>
      </c>
      <c r="AH435" t="s">
        <v>2006</v>
      </c>
      <c r="AI435" t="s">
        <v>1844</v>
      </c>
      <c r="AJ435">
        <v>0.5</v>
      </c>
    </row>
    <row r="436" spans="1:36" x14ac:dyDescent="0.25">
      <c r="A436" s="6" t="e">
        <f t="shared" si="52"/>
        <v>#N/A</v>
      </c>
      <c r="B436" s="3" t="e">
        <f t="shared" si="50"/>
        <v>#N/A</v>
      </c>
      <c r="C436" s="3" t="e">
        <f t="shared" si="51"/>
        <v>#N/A</v>
      </c>
      <c r="U436" s="1" t="s">
        <v>628</v>
      </c>
      <c r="V436" t="s">
        <v>2139</v>
      </c>
      <c r="W436" s="3">
        <v>0.12</v>
      </c>
      <c r="AH436" t="s">
        <v>2282</v>
      </c>
      <c r="AI436" t="s">
        <v>1844</v>
      </c>
      <c r="AJ436">
        <v>0.5</v>
      </c>
    </row>
    <row r="437" spans="1:36" x14ac:dyDescent="0.25">
      <c r="A437" s="6" t="e">
        <f t="shared" si="52"/>
        <v>#N/A</v>
      </c>
      <c r="B437" s="3" t="e">
        <f t="shared" si="50"/>
        <v>#N/A</v>
      </c>
      <c r="C437" s="3" t="e">
        <f t="shared" si="51"/>
        <v>#N/A</v>
      </c>
      <c r="U437" s="1" t="s">
        <v>628</v>
      </c>
      <c r="V437" t="s">
        <v>2140</v>
      </c>
      <c r="W437" s="3">
        <v>0.12</v>
      </c>
      <c r="AH437" t="s">
        <v>2007</v>
      </c>
      <c r="AI437" t="s">
        <v>1845</v>
      </c>
      <c r="AJ437">
        <v>0.5</v>
      </c>
    </row>
    <row r="438" spans="1:36" x14ac:dyDescent="0.25">
      <c r="A438" s="6" t="e">
        <f t="shared" si="52"/>
        <v>#N/A</v>
      </c>
      <c r="B438" s="3" t="e">
        <f t="shared" si="50"/>
        <v>#N/A</v>
      </c>
      <c r="C438" s="3" t="e">
        <f t="shared" si="51"/>
        <v>#N/A</v>
      </c>
      <c r="U438" s="1" t="s">
        <v>628</v>
      </c>
      <c r="V438" t="s">
        <v>2141</v>
      </c>
      <c r="W438" s="3">
        <v>0.12</v>
      </c>
      <c r="AH438" t="s">
        <v>2283</v>
      </c>
      <c r="AI438" t="s">
        <v>1845</v>
      </c>
      <c r="AJ438">
        <v>0.5</v>
      </c>
    </row>
    <row r="439" spans="1:36" x14ac:dyDescent="0.25">
      <c r="A439" s="6" t="e">
        <f t="shared" si="52"/>
        <v>#N/A</v>
      </c>
      <c r="B439" s="3" t="e">
        <f t="shared" si="50"/>
        <v>#N/A</v>
      </c>
      <c r="C439" s="3" t="e">
        <f t="shared" si="51"/>
        <v>#N/A</v>
      </c>
      <c r="U439" s="1" t="s">
        <v>628</v>
      </c>
      <c r="V439" t="s">
        <v>2142</v>
      </c>
      <c r="W439" s="3">
        <v>0.12</v>
      </c>
      <c r="AH439" t="s">
        <v>2008</v>
      </c>
      <c r="AI439" t="s">
        <v>1846</v>
      </c>
      <c r="AJ439">
        <v>0.5</v>
      </c>
    </row>
    <row r="440" spans="1:36" x14ac:dyDescent="0.25">
      <c r="A440" s="6" t="e">
        <f t="shared" si="52"/>
        <v>#N/A</v>
      </c>
      <c r="B440" s="3" t="e">
        <f t="shared" si="50"/>
        <v>#N/A</v>
      </c>
      <c r="C440" s="3" t="e">
        <f t="shared" si="51"/>
        <v>#N/A</v>
      </c>
      <c r="U440" s="1" t="s">
        <v>628</v>
      </c>
      <c r="V440" t="s">
        <v>2143</v>
      </c>
      <c r="W440" s="3">
        <v>0.12</v>
      </c>
      <c r="AH440" t="s">
        <v>2284</v>
      </c>
      <c r="AI440" t="s">
        <v>1846</v>
      </c>
      <c r="AJ440">
        <v>0.5</v>
      </c>
    </row>
    <row r="441" spans="1:36" x14ac:dyDescent="0.25">
      <c r="A441" s="6" t="e">
        <f t="shared" si="52"/>
        <v>#N/A</v>
      </c>
      <c r="B441" s="3" t="e">
        <f t="shared" si="50"/>
        <v>#N/A</v>
      </c>
      <c r="C441" s="3" t="e">
        <f t="shared" si="51"/>
        <v>#N/A</v>
      </c>
      <c r="U441" s="1" t="s">
        <v>628</v>
      </c>
      <c r="V441" t="s">
        <v>2144</v>
      </c>
      <c r="W441" s="3">
        <v>0.15</v>
      </c>
      <c r="AH441" t="s">
        <v>2009</v>
      </c>
      <c r="AI441" t="s">
        <v>64</v>
      </c>
      <c r="AJ441">
        <v>0.5</v>
      </c>
    </row>
    <row r="442" spans="1:36" x14ac:dyDescent="0.25">
      <c r="A442" s="6" t="e">
        <f t="shared" si="52"/>
        <v>#N/A</v>
      </c>
      <c r="B442" s="3" t="e">
        <f t="shared" si="50"/>
        <v>#N/A</v>
      </c>
      <c r="C442" s="3" t="e">
        <f t="shared" si="51"/>
        <v>#N/A</v>
      </c>
      <c r="U442" s="1" t="s">
        <v>628</v>
      </c>
      <c r="V442" t="s">
        <v>2145</v>
      </c>
      <c r="W442" s="3">
        <v>0.15</v>
      </c>
      <c r="AH442" t="s">
        <v>2285</v>
      </c>
      <c r="AI442" t="s">
        <v>64</v>
      </c>
      <c r="AJ442">
        <v>0.5</v>
      </c>
    </row>
    <row r="443" spans="1:36" x14ac:dyDescent="0.25">
      <c r="A443" s="6" t="e">
        <f t="shared" si="52"/>
        <v>#N/A</v>
      </c>
      <c r="B443" s="3" t="e">
        <f t="shared" si="50"/>
        <v>#N/A</v>
      </c>
      <c r="C443" s="3" t="e">
        <f t="shared" si="51"/>
        <v>#N/A</v>
      </c>
      <c r="U443" s="1" t="s">
        <v>628</v>
      </c>
      <c r="V443" t="s">
        <v>2146</v>
      </c>
      <c r="W443" s="3">
        <v>0.15</v>
      </c>
      <c r="AH443" t="s">
        <v>2010</v>
      </c>
      <c r="AI443" t="s">
        <v>65</v>
      </c>
      <c r="AJ443">
        <v>0.5</v>
      </c>
    </row>
    <row r="444" spans="1:36" x14ac:dyDescent="0.25">
      <c r="A444" s="6" t="e">
        <f t="shared" si="52"/>
        <v>#N/A</v>
      </c>
      <c r="B444" s="3" t="e">
        <f t="shared" si="50"/>
        <v>#N/A</v>
      </c>
      <c r="C444" s="3" t="e">
        <f t="shared" si="51"/>
        <v>#N/A</v>
      </c>
      <c r="U444" s="1" t="s">
        <v>628</v>
      </c>
      <c r="V444" t="s">
        <v>2147</v>
      </c>
      <c r="W444" s="3">
        <v>0.19500000000000001</v>
      </c>
      <c r="AH444" t="s">
        <v>2286</v>
      </c>
      <c r="AI444" t="s">
        <v>65</v>
      </c>
      <c r="AJ444">
        <v>0.5</v>
      </c>
    </row>
    <row r="445" spans="1:36" x14ac:dyDescent="0.25">
      <c r="A445" s="6" t="e">
        <f t="shared" si="52"/>
        <v>#N/A</v>
      </c>
      <c r="B445" s="3" t="e">
        <f t="shared" si="50"/>
        <v>#N/A</v>
      </c>
      <c r="C445" s="3" t="e">
        <f t="shared" si="51"/>
        <v>#N/A</v>
      </c>
      <c r="U445" s="1" t="s">
        <v>628</v>
      </c>
      <c r="V445" t="s">
        <v>2148</v>
      </c>
      <c r="W445" s="3">
        <v>0.19500000000000001</v>
      </c>
      <c r="AH445" t="s">
        <v>2011</v>
      </c>
      <c r="AI445" t="s">
        <v>66</v>
      </c>
      <c r="AJ445">
        <v>0.5</v>
      </c>
    </row>
    <row r="446" spans="1:36" x14ac:dyDescent="0.25">
      <c r="A446" s="6" t="e">
        <f t="shared" si="52"/>
        <v>#N/A</v>
      </c>
      <c r="B446" s="3" t="e">
        <f t="shared" si="50"/>
        <v>#N/A</v>
      </c>
      <c r="C446" s="3" t="e">
        <f t="shared" si="51"/>
        <v>#N/A</v>
      </c>
      <c r="U446" s="1" t="s">
        <v>628</v>
      </c>
      <c r="V446" t="s">
        <v>2149</v>
      </c>
      <c r="W446" s="3">
        <v>0.19500000000000001</v>
      </c>
      <c r="AH446" t="s">
        <v>2287</v>
      </c>
      <c r="AI446" t="s">
        <v>66</v>
      </c>
      <c r="AJ446">
        <v>0.5</v>
      </c>
    </row>
    <row r="447" spans="1:36" x14ac:dyDescent="0.25">
      <c r="A447" s="6" t="e">
        <f t="shared" si="52"/>
        <v>#N/A</v>
      </c>
      <c r="B447" s="3" t="e">
        <f t="shared" si="50"/>
        <v>#N/A</v>
      </c>
      <c r="C447" s="3" t="e">
        <f t="shared" si="51"/>
        <v>#N/A</v>
      </c>
      <c r="U447" s="1" t="s">
        <v>628</v>
      </c>
      <c r="V447" t="s">
        <v>2150</v>
      </c>
      <c r="W447" s="3">
        <v>0.19500000000000001</v>
      </c>
      <c r="AH447" t="s">
        <v>2012</v>
      </c>
      <c r="AI447" t="s">
        <v>1850</v>
      </c>
      <c r="AJ447">
        <v>0.5</v>
      </c>
    </row>
    <row r="448" spans="1:36" x14ac:dyDescent="0.25">
      <c r="A448" s="6" t="e">
        <f t="shared" si="52"/>
        <v>#N/A</v>
      </c>
      <c r="B448" s="3" t="e">
        <f t="shared" si="50"/>
        <v>#N/A</v>
      </c>
      <c r="C448" s="3" t="e">
        <f t="shared" si="51"/>
        <v>#N/A</v>
      </c>
      <c r="U448" s="1" t="s">
        <v>628</v>
      </c>
      <c r="V448" t="s">
        <v>2151</v>
      </c>
      <c r="W448" s="3">
        <v>0.22499999999999998</v>
      </c>
      <c r="AH448" t="s">
        <v>2288</v>
      </c>
      <c r="AI448" t="s">
        <v>1850</v>
      </c>
      <c r="AJ448">
        <v>0.5</v>
      </c>
    </row>
    <row r="449" spans="1:36" x14ac:dyDescent="0.25">
      <c r="A449" s="6" t="e">
        <f t="shared" si="52"/>
        <v>#N/A</v>
      </c>
      <c r="B449" s="3" t="e">
        <f t="shared" si="50"/>
        <v>#N/A</v>
      </c>
      <c r="C449" s="3" t="e">
        <f t="shared" si="51"/>
        <v>#N/A</v>
      </c>
      <c r="U449" s="1" t="s">
        <v>628</v>
      </c>
      <c r="V449" t="s">
        <v>2152</v>
      </c>
      <c r="W449" s="3">
        <v>0.27</v>
      </c>
      <c r="AH449" t="s">
        <v>2013</v>
      </c>
      <c r="AI449" t="s">
        <v>1851</v>
      </c>
      <c r="AJ449">
        <v>0.5</v>
      </c>
    </row>
    <row r="450" spans="1:36" x14ac:dyDescent="0.25">
      <c r="A450" s="6" t="e">
        <f t="shared" si="52"/>
        <v>#N/A</v>
      </c>
      <c r="B450" s="3" t="e">
        <f t="shared" si="50"/>
        <v>#N/A</v>
      </c>
      <c r="C450" s="3" t="e">
        <f t="shared" si="51"/>
        <v>#N/A</v>
      </c>
      <c r="U450" s="1" t="s">
        <v>628</v>
      </c>
      <c r="V450" t="s">
        <v>2153</v>
      </c>
      <c r="W450" s="3">
        <v>0.27</v>
      </c>
      <c r="AH450" t="s">
        <v>2289</v>
      </c>
      <c r="AI450" t="s">
        <v>1851</v>
      </c>
      <c r="AJ450">
        <v>0.5</v>
      </c>
    </row>
    <row r="451" spans="1:36" x14ac:dyDescent="0.25">
      <c r="A451" s="6" t="e">
        <f t="shared" si="52"/>
        <v>#N/A</v>
      </c>
      <c r="B451" s="3" t="e">
        <f t="shared" si="50"/>
        <v>#N/A</v>
      </c>
      <c r="C451" s="3" t="e">
        <f t="shared" si="51"/>
        <v>#N/A</v>
      </c>
      <c r="U451" s="1" t="s">
        <v>628</v>
      </c>
      <c r="V451" t="s">
        <v>2154</v>
      </c>
      <c r="W451" s="3">
        <v>0.3</v>
      </c>
      <c r="AH451" t="s">
        <v>2014</v>
      </c>
      <c r="AI451" t="s">
        <v>1710</v>
      </c>
      <c r="AJ451">
        <v>0.5</v>
      </c>
    </row>
    <row r="452" spans="1:36" x14ac:dyDescent="0.25">
      <c r="A452" s="6" t="e">
        <f t="shared" si="52"/>
        <v>#N/A</v>
      </c>
      <c r="B452" s="3" t="e">
        <f t="shared" si="50"/>
        <v>#N/A</v>
      </c>
      <c r="C452" s="3" t="e">
        <f t="shared" si="51"/>
        <v>#N/A</v>
      </c>
      <c r="U452" s="1" t="s">
        <v>628</v>
      </c>
      <c r="V452" t="s">
        <v>2155</v>
      </c>
      <c r="W452" s="3">
        <v>0.39</v>
      </c>
      <c r="AH452" t="s">
        <v>2290</v>
      </c>
      <c r="AI452" t="s">
        <v>1710</v>
      </c>
      <c r="AJ452">
        <v>0.5</v>
      </c>
    </row>
    <row r="453" spans="1:36" x14ac:dyDescent="0.25">
      <c r="A453" s="6" t="e">
        <f t="shared" si="52"/>
        <v>#N/A</v>
      </c>
      <c r="B453" s="3" t="e">
        <f t="shared" si="50"/>
        <v>#N/A</v>
      </c>
      <c r="C453" s="3" t="e">
        <f t="shared" si="51"/>
        <v>#N/A</v>
      </c>
      <c r="U453" s="1" t="s">
        <v>629</v>
      </c>
      <c r="V453" t="s">
        <v>2291</v>
      </c>
      <c r="W453" s="3">
        <v>0.03</v>
      </c>
      <c r="AH453" t="s">
        <v>2291</v>
      </c>
      <c r="AI453" t="s">
        <v>1708</v>
      </c>
      <c r="AJ453">
        <v>0.5</v>
      </c>
    </row>
    <row r="454" spans="1:36" x14ac:dyDescent="0.25">
      <c r="A454" s="6" t="e">
        <f t="shared" si="52"/>
        <v>#N/A</v>
      </c>
      <c r="B454" s="3" t="e">
        <f t="shared" si="50"/>
        <v>#N/A</v>
      </c>
      <c r="C454" s="3" t="e">
        <f t="shared" si="51"/>
        <v>#N/A</v>
      </c>
      <c r="U454" s="1" t="s">
        <v>629</v>
      </c>
      <c r="V454" t="s">
        <v>2292</v>
      </c>
      <c r="W454" s="3">
        <v>0.06</v>
      </c>
      <c r="AH454" t="s">
        <v>2292</v>
      </c>
      <c r="AI454" t="s">
        <v>1708</v>
      </c>
      <c r="AJ454">
        <v>0.5</v>
      </c>
    </row>
    <row r="455" spans="1:36" x14ac:dyDescent="0.25">
      <c r="A455" s="6" t="e">
        <f t="shared" si="52"/>
        <v>#N/A</v>
      </c>
      <c r="B455" s="3" t="e">
        <f t="shared" si="50"/>
        <v>#N/A</v>
      </c>
      <c r="C455" s="3" t="e">
        <f t="shared" si="51"/>
        <v>#N/A</v>
      </c>
      <c r="U455" s="1" t="s">
        <v>629</v>
      </c>
      <c r="V455" t="s">
        <v>2293</v>
      </c>
      <c r="W455" s="3">
        <v>0.06</v>
      </c>
      <c r="AH455" t="s">
        <v>2293</v>
      </c>
      <c r="AI455" t="s">
        <v>1840</v>
      </c>
      <c r="AJ455">
        <v>0.5</v>
      </c>
    </row>
    <row r="456" spans="1:36" x14ac:dyDescent="0.25">
      <c r="A456" s="6" t="e">
        <f t="shared" si="52"/>
        <v>#N/A</v>
      </c>
      <c r="B456" s="3" t="e">
        <f t="shared" si="50"/>
        <v>#N/A</v>
      </c>
      <c r="C456" s="3" t="e">
        <f t="shared" si="51"/>
        <v>#N/A</v>
      </c>
      <c r="U456" s="1" t="s">
        <v>629</v>
      </c>
      <c r="V456" t="s">
        <v>2294</v>
      </c>
      <c r="W456" s="3">
        <v>0.09</v>
      </c>
      <c r="AH456" t="s">
        <v>2294</v>
      </c>
      <c r="AI456" t="s">
        <v>1840</v>
      </c>
      <c r="AJ456">
        <v>0.5</v>
      </c>
    </row>
    <row r="457" spans="1:36" x14ac:dyDescent="0.25">
      <c r="A457" s="6" t="e">
        <f t="shared" si="52"/>
        <v>#N/A</v>
      </c>
      <c r="B457" s="3" t="e">
        <f t="shared" ref="B457:B474" si="53">IF($B$1="Solo",IF(M456="","",M456),IF($B$1="Duet",IF(P456="","",P456),IF($B$1="Mixed",IF(S456="","",S456),IF(V456="","",V456))))</f>
        <v>#N/A</v>
      </c>
      <c r="C457" s="3" t="e">
        <f t="shared" ref="C457:C474" si="54">IF($B$1="Solo",IF(N456="","",N456),IF($B$1="Duet",IF(Q456="","",Q456),IF($B$1="Mixed",IF(T456="","",T456),IF(W456="","",W456))))</f>
        <v>#N/A</v>
      </c>
      <c r="U457" s="1" t="s">
        <v>629</v>
      </c>
      <c r="V457" t="s">
        <v>2295</v>
      </c>
      <c r="W457" s="3">
        <v>0.06</v>
      </c>
      <c r="AH457" t="s">
        <v>2295</v>
      </c>
      <c r="AI457" t="s">
        <v>1841</v>
      </c>
      <c r="AJ457">
        <v>0.5</v>
      </c>
    </row>
    <row r="458" spans="1:36" x14ac:dyDescent="0.25">
      <c r="A458" s="6" t="e">
        <f t="shared" si="52"/>
        <v>#N/A</v>
      </c>
      <c r="B458" s="3" t="e">
        <f t="shared" si="53"/>
        <v>#N/A</v>
      </c>
      <c r="C458" s="3" t="e">
        <f t="shared" si="54"/>
        <v>#N/A</v>
      </c>
      <c r="U458" s="1" t="s">
        <v>629</v>
      </c>
      <c r="V458" t="s">
        <v>2296</v>
      </c>
      <c r="W458" s="3">
        <v>0.09</v>
      </c>
      <c r="AH458" t="s">
        <v>2296</v>
      </c>
      <c r="AI458" t="s">
        <v>1841</v>
      </c>
      <c r="AJ458">
        <v>0.5</v>
      </c>
    </row>
    <row r="459" spans="1:36" x14ac:dyDescent="0.25">
      <c r="A459" s="6" t="e">
        <f t="shared" si="52"/>
        <v>#N/A</v>
      </c>
      <c r="B459" s="3" t="e">
        <f t="shared" si="53"/>
        <v>#N/A</v>
      </c>
      <c r="C459" s="3" t="e">
        <f t="shared" si="54"/>
        <v>#N/A</v>
      </c>
      <c r="U459" s="1" t="s">
        <v>629</v>
      </c>
      <c r="V459" t="s">
        <v>2297</v>
      </c>
      <c r="W459" s="3">
        <v>0.09</v>
      </c>
      <c r="AH459" t="s">
        <v>2297</v>
      </c>
      <c r="AI459" t="s">
        <v>1844</v>
      </c>
      <c r="AJ459">
        <v>0.5</v>
      </c>
    </row>
    <row r="460" spans="1:36" x14ac:dyDescent="0.25">
      <c r="A460" s="6" t="e">
        <f t="shared" si="52"/>
        <v>#N/A</v>
      </c>
      <c r="B460" s="3" t="e">
        <f t="shared" si="53"/>
        <v>#N/A</v>
      </c>
      <c r="C460" s="3" t="e">
        <f t="shared" si="54"/>
        <v>#N/A</v>
      </c>
      <c r="U460" s="1" t="s">
        <v>629</v>
      </c>
      <c r="V460" t="s">
        <v>2298</v>
      </c>
      <c r="W460" s="3">
        <v>0.12</v>
      </c>
      <c r="AH460" t="s">
        <v>2298</v>
      </c>
      <c r="AI460" t="s">
        <v>1844</v>
      </c>
      <c r="AJ460">
        <v>0.5</v>
      </c>
    </row>
    <row r="461" spans="1:36" x14ac:dyDescent="0.25">
      <c r="A461" s="6" t="e">
        <f t="shared" si="52"/>
        <v>#N/A</v>
      </c>
      <c r="B461" s="3" t="e">
        <f t="shared" si="53"/>
        <v>#N/A</v>
      </c>
      <c r="C461" s="3" t="e">
        <f t="shared" si="54"/>
        <v>#N/A</v>
      </c>
      <c r="U461" s="1" t="s">
        <v>629</v>
      </c>
      <c r="V461" t="s">
        <v>2299</v>
      </c>
      <c r="W461" s="3">
        <v>0.09</v>
      </c>
      <c r="AH461" t="s">
        <v>2299</v>
      </c>
      <c r="AI461" t="s">
        <v>1845</v>
      </c>
      <c r="AJ461">
        <v>0.5</v>
      </c>
    </row>
    <row r="462" spans="1:36" x14ac:dyDescent="0.25">
      <c r="A462" s="6" t="e">
        <f t="shared" si="52"/>
        <v>#N/A</v>
      </c>
      <c r="B462" s="3" t="e">
        <f t="shared" si="53"/>
        <v>#N/A</v>
      </c>
      <c r="C462" s="3" t="e">
        <f t="shared" si="54"/>
        <v>#N/A</v>
      </c>
      <c r="U462" s="1" t="s">
        <v>629</v>
      </c>
      <c r="V462" t="s">
        <v>2300</v>
      </c>
      <c r="W462" s="3">
        <v>0.12</v>
      </c>
      <c r="AH462" t="s">
        <v>2300</v>
      </c>
      <c r="AI462" t="s">
        <v>1845</v>
      </c>
      <c r="AJ462">
        <v>0.5</v>
      </c>
    </row>
    <row r="463" spans="1:36" x14ac:dyDescent="0.25">
      <c r="A463" s="6" t="e">
        <f t="shared" si="52"/>
        <v>#N/A</v>
      </c>
      <c r="B463" s="3" t="e">
        <f t="shared" si="53"/>
        <v>#N/A</v>
      </c>
      <c r="C463" s="3" t="e">
        <f t="shared" si="54"/>
        <v>#N/A</v>
      </c>
      <c r="U463" s="1" t="s">
        <v>629</v>
      </c>
      <c r="V463" t="s">
        <v>2301</v>
      </c>
      <c r="W463" s="3">
        <v>0.09</v>
      </c>
      <c r="AH463" t="s">
        <v>2301</v>
      </c>
      <c r="AI463" t="s">
        <v>1846</v>
      </c>
      <c r="AJ463">
        <v>0.5</v>
      </c>
    </row>
    <row r="464" spans="1:36" x14ac:dyDescent="0.25">
      <c r="A464" s="6" t="e">
        <f t="shared" si="52"/>
        <v>#N/A</v>
      </c>
      <c r="B464" s="3" t="e">
        <f t="shared" si="53"/>
        <v>#N/A</v>
      </c>
      <c r="C464" s="3" t="e">
        <f t="shared" si="54"/>
        <v>#N/A</v>
      </c>
      <c r="U464" s="1" t="s">
        <v>629</v>
      </c>
      <c r="V464" t="s">
        <v>2302</v>
      </c>
      <c r="W464" s="3">
        <v>0.12</v>
      </c>
      <c r="AH464" t="s">
        <v>2302</v>
      </c>
      <c r="AI464" t="s">
        <v>1846</v>
      </c>
      <c r="AJ464">
        <v>0.5</v>
      </c>
    </row>
    <row r="465" spans="1:36" x14ac:dyDescent="0.25">
      <c r="A465" s="6" t="e">
        <f t="shared" si="52"/>
        <v>#N/A</v>
      </c>
      <c r="B465" s="3" t="e">
        <f t="shared" si="53"/>
        <v>#N/A</v>
      </c>
      <c r="C465" s="3" t="e">
        <f t="shared" si="54"/>
        <v>#N/A</v>
      </c>
      <c r="U465" s="1" t="s">
        <v>629</v>
      </c>
      <c r="V465" t="s">
        <v>2303</v>
      </c>
      <c r="W465" s="3">
        <v>0.12</v>
      </c>
      <c r="AH465" t="s">
        <v>2303</v>
      </c>
      <c r="AI465" t="s">
        <v>64</v>
      </c>
      <c r="AJ465">
        <v>0.5</v>
      </c>
    </row>
    <row r="466" spans="1:36" x14ac:dyDescent="0.25">
      <c r="A466" s="6" t="e">
        <f t="shared" si="52"/>
        <v>#N/A</v>
      </c>
      <c r="B466" s="3" t="e">
        <f t="shared" si="53"/>
        <v>#N/A</v>
      </c>
      <c r="C466" s="3" t="e">
        <f t="shared" si="54"/>
        <v>#N/A</v>
      </c>
      <c r="U466" s="1" t="s">
        <v>629</v>
      </c>
      <c r="V466" t="s">
        <v>2304</v>
      </c>
      <c r="W466" s="3">
        <v>0.15</v>
      </c>
      <c r="AH466" t="s">
        <v>2304</v>
      </c>
      <c r="AI466" t="s">
        <v>64</v>
      </c>
      <c r="AJ466">
        <v>0.5</v>
      </c>
    </row>
    <row r="467" spans="1:36" x14ac:dyDescent="0.25">
      <c r="A467" s="6" t="e">
        <f t="shared" si="52"/>
        <v>#N/A</v>
      </c>
      <c r="B467" s="3" t="e">
        <f t="shared" si="53"/>
        <v>#N/A</v>
      </c>
      <c r="C467" s="3" t="e">
        <f t="shared" si="54"/>
        <v>#N/A</v>
      </c>
      <c r="U467" s="1" t="s">
        <v>629</v>
      </c>
      <c r="V467" t="s">
        <v>2305</v>
      </c>
      <c r="W467" s="3">
        <v>0.15</v>
      </c>
      <c r="AH467" t="s">
        <v>2305</v>
      </c>
      <c r="AI467" t="s">
        <v>65</v>
      </c>
      <c r="AJ467">
        <v>0.5</v>
      </c>
    </row>
    <row r="468" spans="1:36" x14ac:dyDescent="0.25">
      <c r="A468" s="6" t="e">
        <f t="shared" si="52"/>
        <v>#N/A</v>
      </c>
      <c r="B468" s="3" t="e">
        <f t="shared" si="53"/>
        <v>#N/A</v>
      </c>
      <c r="C468" s="3" t="e">
        <f t="shared" si="54"/>
        <v>#N/A</v>
      </c>
      <c r="U468" s="1" t="s">
        <v>629</v>
      </c>
      <c r="V468" t="s">
        <v>2306</v>
      </c>
      <c r="W468" s="3">
        <v>0.18</v>
      </c>
      <c r="AH468" t="s">
        <v>2306</v>
      </c>
      <c r="AI468" t="s">
        <v>65</v>
      </c>
      <c r="AJ468">
        <v>0.5</v>
      </c>
    </row>
    <row r="469" spans="1:36" x14ac:dyDescent="0.25">
      <c r="A469" s="6" t="e">
        <f t="shared" si="52"/>
        <v>#N/A</v>
      </c>
      <c r="B469" s="3" t="e">
        <f t="shared" si="53"/>
        <v>#N/A</v>
      </c>
      <c r="C469" s="3" t="e">
        <f t="shared" si="54"/>
        <v>#N/A</v>
      </c>
      <c r="U469" s="1" t="s">
        <v>629</v>
      </c>
      <c r="V469" t="s">
        <v>2307</v>
      </c>
      <c r="W469" s="3">
        <v>0.3</v>
      </c>
      <c r="AH469" t="s">
        <v>2307</v>
      </c>
      <c r="AI469" t="s">
        <v>66</v>
      </c>
      <c r="AJ469">
        <v>0.5</v>
      </c>
    </row>
    <row r="470" spans="1:36" x14ac:dyDescent="0.25">
      <c r="A470" s="6" t="e">
        <f t="shared" si="52"/>
        <v>#N/A</v>
      </c>
      <c r="B470" s="3" t="e">
        <f t="shared" si="53"/>
        <v>#N/A</v>
      </c>
      <c r="C470" s="3" t="e">
        <f t="shared" si="54"/>
        <v>#N/A</v>
      </c>
      <c r="U470" s="1" t="s">
        <v>629</v>
      </c>
      <c r="V470" t="s">
        <v>2308</v>
      </c>
      <c r="W470" s="3">
        <v>0.33</v>
      </c>
      <c r="AH470" t="s">
        <v>2308</v>
      </c>
      <c r="AI470" t="s">
        <v>66</v>
      </c>
      <c r="AJ470">
        <v>0.5</v>
      </c>
    </row>
    <row r="471" spans="1:36" x14ac:dyDescent="0.25">
      <c r="A471" s="6" t="e">
        <f t="shared" si="52"/>
        <v>#N/A</v>
      </c>
      <c r="B471" s="3" t="e">
        <f t="shared" si="53"/>
        <v>#N/A</v>
      </c>
      <c r="C471" s="3" t="e">
        <f t="shared" si="54"/>
        <v>#N/A</v>
      </c>
      <c r="U471" s="1" t="s">
        <v>629</v>
      </c>
      <c r="V471" t="s">
        <v>2309</v>
      </c>
      <c r="W471" s="3">
        <v>0.375</v>
      </c>
      <c r="AH471" t="s">
        <v>2309</v>
      </c>
      <c r="AI471" t="s">
        <v>1850</v>
      </c>
      <c r="AJ471">
        <v>0.5</v>
      </c>
    </row>
    <row r="472" spans="1:36" x14ac:dyDescent="0.25">
      <c r="A472" s="6" t="e">
        <f t="shared" si="52"/>
        <v>#N/A</v>
      </c>
      <c r="B472" s="3" t="e">
        <f t="shared" si="53"/>
        <v>#N/A</v>
      </c>
      <c r="C472" s="3" t="e">
        <f t="shared" si="54"/>
        <v>#N/A</v>
      </c>
      <c r="U472" s="1" t="s">
        <v>629</v>
      </c>
      <c r="V472" t="s">
        <v>2310</v>
      </c>
      <c r="W472" s="3">
        <v>0.40500000000000003</v>
      </c>
      <c r="AH472" t="s">
        <v>2310</v>
      </c>
      <c r="AI472" t="s">
        <v>1850</v>
      </c>
      <c r="AJ472">
        <v>0.5</v>
      </c>
    </row>
    <row r="473" spans="1:36" x14ac:dyDescent="0.25">
      <c r="A473" s="6" t="e">
        <f t="shared" si="52"/>
        <v>#N/A</v>
      </c>
      <c r="B473" s="3" t="e">
        <f t="shared" si="53"/>
        <v>#N/A</v>
      </c>
      <c r="C473" s="3" t="e">
        <f t="shared" si="54"/>
        <v>#N/A</v>
      </c>
      <c r="U473" s="1" t="s">
        <v>629</v>
      </c>
      <c r="V473" t="s">
        <v>2311</v>
      </c>
      <c r="W473" s="3">
        <v>0.375</v>
      </c>
      <c r="AH473" t="s">
        <v>2311</v>
      </c>
      <c r="AI473" t="s">
        <v>1851</v>
      </c>
      <c r="AJ473">
        <v>0.5</v>
      </c>
    </row>
    <row r="474" spans="1:36" x14ac:dyDescent="0.25">
      <c r="A474" s="6" t="e">
        <f t="shared" si="52"/>
        <v>#N/A</v>
      </c>
      <c r="B474" s="3" t="e">
        <f t="shared" si="53"/>
        <v>#N/A</v>
      </c>
      <c r="C474" s="3" t="e">
        <f t="shared" si="54"/>
        <v>#N/A</v>
      </c>
      <c r="U474" s="1" t="s">
        <v>629</v>
      </c>
      <c r="V474" t="s">
        <v>2312</v>
      </c>
      <c r="W474" s="3">
        <v>0.40500000000000003</v>
      </c>
      <c r="AH474" t="s">
        <v>2312</v>
      </c>
      <c r="AI474" t="s">
        <v>1851</v>
      </c>
      <c r="AJ474">
        <v>0.5</v>
      </c>
    </row>
    <row r="475" spans="1:36" x14ac:dyDescent="0.25">
      <c r="A475" s="6" t="e">
        <f t="shared" si="52"/>
        <v>#N/A</v>
      </c>
      <c r="B475" s="3" t="e">
        <f t="shared" ref="B475:B500" si="55">IF($B$1="Solo",IF(M474="","",M474),IF($B$1="Duet",IF(P474="","",P474),IF($B$1="Mixed",IF(S474="","",S474),IF(V474="","",V474))))</f>
        <v>#N/A</v>
      </c>
      <c r="C475" s="3" t="e">
        <f t="shared" ref="C475:C500" si="56">IF($B$1="Solo",IF(N474="","",N474),IF($B$1="Duet",IF(Q474="","",Q474),IF($B$1="Mixed",IF(T474="","",T474),IF(W474="","",W474))))</f>
        <v>#N/A</v>
      </c>
      <c r="U475" s="1" t="s">
        <v>629</v>
      </c>
      <c r="V475" t="s">
        <v>2313</v>
      </c>
      <c r="W475" s="3">
        <v>0.44999999999999996</v>
      </c>
      <c r="AH475" t="s">
        <v>2313</v>
      </c>
      <c r="AI475" t="s">
        <v>1710</v>
      </c>
      <c r="AJ475">
        <v>0.5</v>
      </c>
    </row>
    <row r="476" spans="1:36" x14ac:dyDescent="0.25">
      <c r="A476" s="6" t="e">
        <f t="shared" si="52"/>
        <v>#N/A</v>
      </c>
      <c r="B476" s="3" t="e">
        <f t="shared" si="55"/>
        <v>#N/A</v>
      </c>
      <c r="C476" s="3" t="e">
        <f t="shared" si="56"/>
        <v>#N/A</v>
      </c>
      <c r="U476" s="1" t="s">
        <v>629</v>
      </c>
      <c r="V476" t="s">
        <v>2314</v>
      </c>
      <c r="W476" s="3">
        <v>0.48</v>
      </c>
      <c r="AH476" t="s">
        <v>2314</v>
      </c>
      <c r="AI476" t="s">
        <v>1710</v>
      </c>
      <c r="AJ476">
        <v>0.5</v>
      </c>
    </row>
    <row r="477" spans="1:36" x14ac:dyDescent="0.25">
      <c r="A477" s="6" t="e">
        <f t="shared" si="52"/>
        <v>#N/A</v>
      </c>
      <c r="B477" s="3" t="e">
        <f t="shared" si="55"/>
        <v>#N/A</v>
      </c>
      <c r="C477" s="3" t="e">
        <f t="shared" si="56"/>
        <v>#N/A</v>
      </c>
    </row>
    <row r="478" spans="1:36" x14ac:dyDescent="0.25">
      <c r="A478" s="6" t="e">
        <f t="shared" si="52"/>
        <v>#N/A</v>
      </c>
      <c r="B478" s="3" t="e">
        <f t="shared" si="55"/>
        <v>#N/A</v>
      </c>
      <c r="C478" s="3" t="e">
        <f t="shared" si="56"/>
        <v>#N/A</v>
      </c>
    </row>
    <row r="479" spans="1:36" x14ac:dyDescent="0.25">
      <c r="A479" s="6" t="e">
        <f t="shared" si="52"/>
        <v>#N/A</v>
      </c>
      <c r="B479" s="3" t="e">
        <f t="shared" si="55"/>
        <v>#N/A</v>
      </c>
      <c r="C479" s="3" t="e">
        <f t="shared" si="56"/>
        <v>#N/A</v>
      </c>
    </row>
    <row r="480" spans="1:36" x14ac:dyDescent="0.25">
      <c r="A480" s="6" t="e">
        <f t="shared" si="52"/>
        <v>#N/A</v>
      </c>
      <c r="B480" s="3" t="e">
        <f t="shared" si="55"/>
        <v>#N/A</v>
      </c>
      <c r="C480" s="3" t="e">
        <f t="shared" si="56"/>
        <v>#N/A</v>
      </c>
    </row>
    <row r="481" spans="1:3" x14ac:dyDescent="0.25">
      <c r="A481" s="6" t="e">
        <f t="shared" si="52"/>
        <v>#N/A</v>
      </c>
      <c r="B481" s="3" t="e">
        <f t="shared" si="55"/>
        <v>#N/A</v>
      </c>
      <c r="C481" s="3" t="e">
        <f t="shared" si="56"/>
        <v>#N/A</v>
      </c>
    </row>
    <row r="482" spans="1:3" x14ac:dyDescent="0.25">
      <c r="B482" s="3" t="e">
        <f t="shared" si="55"/>
        <v>#N/A</v>
      </c>
      <c r="C482" s="3" t="e">
        <f t="shared" si="56"/>
        <v>#N/A</v>
      </c>
    </row>
    <row r="483" spans="1:3" x14ac:dyDescent="0.25">
      <c r="B483" s="3" t="e">
        <f t="shared" si="55"/>
        <v>#N/A</v>
      </c>
      <c r="C483" s="3" t="e">
        <f t="shared" si="56"/>
        <v>#N/A</v>
      </c>
    </row>
    <row r="484" spans="1:3" x14ac:dyDescent="0.25">
      <c r="B484" s="3" t="e">
        <f t="shared" si="55"/>
        <v>#N/A</v>
      </c>
      <c r="C484" s="3" t="e">
        <f t="shared" si="56"/>
        <v>#N/A</v>
      </c>
    </row>
    <row r="485" spans="1:3" x14ac:dyDescent="0.25">
      <c r="B485" s="3" t="e">
        <f t="shared" si="55"/>
        <v>#N/A</v>
      </c>
      <c r="C485" s="3" t="e">
        <f t="shared" si="56"/>
        <v>#N/A</v>
      </c>
    </row>
    <row r="486" spans="1:3" x14ac:dyDescent="0.25">
      <c r="B486" s="3" t="e">
        <f t="shared" si="55"/>
        <v>#N/A</v>
      </c>
      <c r="C486" s="3" t="e">
        <f t="shared" si="56"/>
        <v>#N/A</v>
      </c>
    </row>
    <row r="487" spans="1:3" x14ac:dyDescent="0.25">
      <c r="B487" s="3" t="e">
        <f t="shared" si="55"/>
        <v>#N/A</v>
      </c>
      <c r="C487" s="3" t="e">
        <f t="shared" si="56"/>
        <v>#N/A</v>
      </c>
    </row>
    <row r="488" spans="1:3" x14ac:dyDescent="0.25">
      <c r="B488" s="3" t="e">
        <f t="shared" si="55"/>
        <v>#N/A</v>
      </c>
      <c r="C488" s="3" t="e">
        <f t="shared" si="56"/>
        <v>#N/A</v>
      </c>
    </row>
    <row r="489" spans="1:3" x14ac:dyDescent="0.25">
      <c r="B489" s="3" t="e">
        <f t="shared" si="55"/>
        <v>#N/A</v>
      </c>
      <c r="C489" s="3" t="e">
        <f t="shared" si="56"/>
        <v>#N/A</v>
      </c>
    </row>
    <row r="490" spans="1:3" x14ac:dyDescent="0.25">
      <c r="B490" s="3" t="e">
        <f t="shared" si="55"/>
        <v>#N/A</v>
      </c>
      <c r="C490" s="3" t="e">
        <f t="shared" si="56"/>
        <v>#N/A</v>
      </c>
    </row>
    <row r="491" spans="1:3" x14ac:dyDescent="0.25">
      <c r="B491" s="3" t="e">
        <f t="shared" si="55"/>
        <v>#N/A</v>
      </c>
      <c r="C491" s="3" t="e">
        <f t="shared" si="56"/>
        <v>#N/A</v>
      </c>
    </row>
    <row r="492" spans="1:3" x14ac:dyDescent="0.25">
      <c r="B492" s="3" t="e">
        <f t="shared" si="55"/>
        <v>#N/A</v>
      </c>
      <c r="C492" s="3" t="e">
        <f t="shared" si="56"/>
        <v>#N/A</v>
      </c>
    </row>
    <row r="493" spans="1:3" x14ac:dyDescent="0.25">
      <c r="B493" s="3" t="e">
        <f t="shared" si="55"/>
        <v>#N/A</v>
      </c>
      <c r="C493" s="3" t="e">
        <f t="shared" si="56"/>
        <v>#N/A</v>
      </c>
    </row>
    <row r="494" spans="1:3" x14ac:dyDescent="0.25">
      <c r="B494" s="3" t="e">
        <f t="shared" si="55"/>
        <v>#N/A</v>
      </c>
      <c r="C494" s="3" t="e">
        <f t="shared" si="56"/>
        <v>#N/A</v>
      </c>
    </row>
    <row r="495" spans="1:3" x14ac:dyDescent="0.25">
      <c r="B495" s="3" t="e">
        <f t="shared" si="55"/>
        <v>#N/A</v>
      </c>
      <c r="C495" s="3" t="e">
        <f t="shared" si="56"/>
        <v>#N/A</v>
      </c>
    </row>
    <row r="496" spans="1:3" x14ac:dyDescent="0.25">
      <c r="B496" s="3" t="e">
        <f t="shared" si="55"/>
        <v>#N/A</v>
      </c>
      <c r="C496" s="3" t="e">
        <f t="shared" si="56"/>
        <v>#N/A</v>
      </c>
    </row>
    <row r="497" spans="2:3" x14ac:dyDescent="0.25">
      <c r="B497" s="3" t="e">
        <f t="shared" si="55"/>
        <v>#N/A</v>
      </c>
      <c r="C497" s="3" t="e">
        <f t="shared" si="56"/>
        <v>#N/A</v>
      </c>
    </row>
    <row r="498" spans="2:3" x14ac:dyDescent="0.25">
      <c r="B498" s="3" t="e">
        <f t="shared" si="55"/>
        <v>#N/A</v>
      </c>
      <c r="C498" s="3" t="e">
        <f t="shared" si="56"/>
        <v>#N/A</v>
      </c>
    </row>
    <row r="499" spans="2:3" x14ac:dyDescent="0.25">
      <c r="B499" s="3" t="e">
        <f t="shared" si="55"/>
        <v>#N/A</v>
      </c>
      <c r="C499" s="3" t="e">
        <f t="shared" si="56"/>
        <v>#N/A</v>
      </c>
    </row>
    <row r="500" spans="2:3" x14ac:dyDescent="0.25">
      <c r="B500" s="3" t="e">
        <f t="shared" si="55"/>
        <v>#N/A</v>
      </c>
      <c r="C500" s="3" t="e">
        <f t="shared" si="56"/>
        <v>#N/A</v>
      </c>
    </row>
  </sheetData>
  <mergeCells count="11">
    <mergeCell ref="B1:C1"/>
    <mergeCell ref="D1:E1"/>
    <mergeCell ref="AD1:AE1"/>
    <mergeCell ref="S1:T1"/>
    <mergeCell ref="AB1:AC1"/>
    <mergeCell ref="M1:N1"/>
    <mergeCell ref="P1:Q1"/>
    <mergeCell ref="V1:W1"/>
    <mergeCell ref="X1:Y1"/>
    <mergeCell ref="Z1:AA1"/>
    <mergeCell ref="F1:G1"/>
  </mergeCells>
  <phoneticPr fontId="10"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13"/>
  <sheetViews>
    <sheetView workbookViewId="0">
      <selection activeCell="I15" sqref="I15"/>
    </sheetView>
  </sheetViews>
  <sheetFormatPr defaultRowHeight="15" x14ac:dyDescent="0.25"/>
  <cols>
    <col min="1" max="1" width="9.140625" style="5"/>
    <col min="2" max="2" width="11.7109375" style="3" customWidth="1"/>
    <col min="3" max="3" width="9.140625" style="3"/>
    <col min="4" max="4" width="9.7109375" style="3" bestFit="1" customWidth="1"/>
    <col min="5" max="5" width="10.28515625" style="3" bestFit="1" customWidth="1"/>
    <col min="6" max="6" width="9.140625" style="5"/>
  </cols>
  <sheetData>
    <row r="1" spans="1:14" x14ac:dyDescent="0.25">
      <c r="A1" s="6"/>
      <c r="B1" s="393" t="e">
        <f>INDEX(Data!$V$3:$V$38,MATCH('Coach Card'!$BU$9,Data!$G$3:$G$38,0))</f>
        <v>#N/A</v>
      </c>
      <c r="C1" s="393"/>
      <c r="D1" s="393"/>
      <c r="E1" s="393"/>
      <c r="F1" s="6"/>
      <c r="G1" s="393" t="s">
        <v>74</v>
      </c>
      <c r="H1" s="393"/>
      <c r="I1" s="393" t="s">
        <v>75</v>
      </c>
      <c r="J1" s="393"/>
      <c r="K1" s="393" t="s">
        <v>76</v>
      </c>
      <c r="L1" s="393"/>
      <c r="M1" s="393" t="s">
        <v>77</v>
      </c>
      <c r="N1" s="393"/>
    </row>
    <row r="2" spans="1:14" x14ac:dyDescent="0.25">
      <c r="B2" s="1" t="s">
        <v>71</v>
      </c>
      <c r="C2" s="1" t="s">
        <v>72</v>
      </c>
      <c r="D2" s="1"/>
      <c r="E2" s="1"/>
      <c r="G2" t="s">
        <v>71</v>
      </c>
      <c r="H2" t="s">
        <v>72</v>
      </c>
      <c r="I2" t="s">
        <v>71</v>
      </c>
      <c r="J2" t="s">
        <v>72</v>
      </c>
      <c r="K2" t="s">
        <v>71</v>
      </c>
      <c r="L2" t="s">
        <v>72</v>
      </c>
      <c r="M2" t="s">
        <v>71</v>
      </c>
      <c r="N2" t="s">
        <v>72</v>
      </c>
    </row>
    <row r="3" spans="1:14" x14ac:dyDescent="0.25">
      <c r="G3" s="1" t="s">
        <v>73</v>
      </c>
      <c r="H3" s="4">
        <v>2.7</v>
      </c>
      <c r="I3" s="1" t="s">
        <v>73</v>
      </c>
      <c r="J3" s="4">
        <v>3</v>
      </c>
      <c r="K3" s="1" t="s">
        <v>73</v>
      </c>
      <c r="L3" s="4">
        <v>2.7</v>
      </c>
      <c r="M3" s="1" t="s">
        <v>73</v>
      </c>
      <c r="N3" s="4">
        <v>2.5</v>
      </c>
    </row>
    <row r="4" spans="1:14" x14ac:dyDescent="0.25">
      <c r="B4" s="3" t="e">
        <f>IF($B$1="Solo",IF(G3="","",G3),IF($B$1="Duet",IF(I3="","",I3),IF($B$1="Mixed",IF(K3="","",K3),IF(M3="","",M3))))</f>
        <v>#N/A</v>
      </c>
      <c r="C4" s="3" t="e">
        <f>IF($B$1="Solo",IF(H3="","",H3),IF($B$1="Duet",IF(J3="","",J3),IF($B$1="Mixed",IF(L3="","",L3),IF(N3="","",N3))))</f>
        <v>#N/A</v>
      </c>
      <c r="D4" s="3" t="str">
        <f>IFERROR(IF(B4&lt;&gt;"",COUNTIF('Coach Card'!$HI$19:$HI$68,_xlfn.NUMBERVALUE(LEFT(B4,1))),""),"")</f>
        <v/>
      </c>
      <c r="E4" s="3" t="str">
        <f>IFERROR(IF(D4&gt;1,B4,""),"")</f>
        <v/>
      </c>
      <c r="G4" s="1" t="s">
        <v>78</v>
      </c>
      <c r="H4" s="4">
        <v>2.1</v>
      </c>
      <c r="I4" s="1" t="s">
        <v>78</v>
      </c>
      <c r="J4" s="4">
        <v>2.5</v>
      </c>
      <c r="K4" s="1" t="s">
        <v>78</v>
      </c>
      <c r="L4" s="4">
        <v>2.5</v>
      </c>
      <c r="M4" s="1" t="s">
        <v>78</v>
      </c>
      <c r="N4" s="4">
        <v>2.2999999999999998</v>
      </c>
    </row>
    <row r="5" spans="1:14" x14ac:dyDescent="0.25">
      <c r="B5" s="3" t="e">
        <f t="shared" ref="B5:B13" si="0">IF($B$1="Solo",IF(G4="","",G4),IF($B$1="Duet",IF(I4="","",I4),IF($B$1="Mixed",IF(K4="","",K4),IF(M4="","",M4))))</f>
        <v>#N/A</v>
      </c>
      <c r="C5" s="3" t="e">
        <f t="shared" ref="C5:C13" si="1">IF($B$1="Solo",IF(H4="","",H4),IF($B$1="Duet",IF(J4="","",J4),IF($B$1="Mixed",IF(L4="","",L4),IF(N4="","",N4))))</f>
        <v>#N/A</v>
      </c>
      <c r="D5" s="3" t="str">
        <f>IFERROR(IF(B5&lt;&gt;"",COUNTIF('Coach Card'!$HI$19:$HI$68,_xlfn.NUMBERVALUE(LEFT(B5,1))),""),"")</f>
        <v/>
      </c>
      <c r="E5" s="3" t="str">
        <f t="shared" ref="E5:E13" si="2">IFERROR(IF(D5&gt;1,B5,""),"")</f>
        <v/>
      </c>
      <c r="G5" s="1" t="s">
        <v>79</v>
      </c>
      <c r="H5" s="4">
        <v>3</v>
      </c>
      <c r="I5" s="1" t="s">
        <v>79</v>
      </c>
      <c r="J5" s="4">
        <v>2.8</v>
      </c>
      <c r="K5" s="1" t="s">
        <v>79</v>
      </c>
      <c r="L5" s="4">
        <v>2.4</v>
      </c>
      <c r="M5" s="1" t="s">
        <v>79</v>
      </c>
      <c r="N5" s="4">
        <v>2.6</v>
      </c>
    </row>
    <row r="6" spans="1:14" x14ac:dyDescent="0.25">
      <c r="B6" s="3" t="e">
        <f t="shared" si="0"/>
        <v>#N/A</v>
      </c>
      <c r="C6" s="3" t="e">
        <f t="shared" si="1"/>
        <v>#N/A</v>
      </c>
      <c r="D6" s="3" t="str">
        <f>IFERROR(IF(B6&lt;&gt;"",COUNTIF('Coach Card'!$HI$19:$HI$68,_xlfn.NUMBERVALUE(LEFT(B6,1))),""),"")</f>
        <v/>
      </c>
      <c r="E6" s="3" t="str">
        <f t="shared" si="2"/>
        <v/>
      </c>
      <c r="G6" s="1" t="s">
        <v>80</v>
      </c>
      <c r="H6" s="4">
        <v>2.7</v>
      </c>
      <c r="I6" s="1" t="s">
        <v>80</v>
      </c>
      <c r="J6" s="4">
        <v>2.4</v>
      </c>
      <c r="K6" s="1" t="s">
        <v>80</v>
      </c>
      <c r="L6" s="4">
        <v>2.2000000000000002</v>
      </c>
      <c r="M6" s="1" t="s">
        <v>80</v>
      </c>
      <c r="N6" s="4">
        <v>2.2999999999999998</v>
      </c>
    </row>
    <row r="7" spans="1:14" x14ac:dyDescent="0.25">
      <c r="B7" s="3" t="e">
        <f t="shared" si="0"/>
        <v>#N/A</v>
      </c>
      <c r="C7" s="3" t="e">
        <f t="shared" si="1"/>
        <v>#N/A</v>
      </c>
      <c r="D7" s="3" t="str">
        <f>IFERROR(IF(B7&lt;&gt;"",COUNTIF('Coach Card'!$HI$19:$HI$68,_xlfn.NUMBERVALUE(LEFT(B7,1))),""),"")</f>
        <v/>
      </c>
      <c r="E7" s="3" t="str">
        <f t="shared" si="2"/>
        <v/>
      </c>
      <c r="G7" s="1">
        <v>3</v>
      </c>
      <c r="H7" s="4">
        <v>3.2</v>
      </c>
      <c r="I7" s="1">
        <v>3</v>
      </c>
      <c r="J7" s="4">
        <v>3.1</v>
      </c>
      <c r="K7" s="1">
        <v>3</v>
      </c>
      <c r="L7" s="4">
        <v>3</v>
      </c>
      <c r="M7" s="1" t="s">
        <v>85</v>
      </c>
      <c r="N7" s="4">
        <v>2.6</v>
      </c>
    </row>
    <row r="8" spans="1:14" x14ac:dyDescent="0.25">
      <c r="B8" s="3" t="e">
        <f t="shared" si="0"/>
        <v>#N/A</v>
      </c>
      <c r="C8" s="3" t="e">
        <f t="shared" si="1"/>
        <v>#N/A</v>
      </c>
      <c r="D8" s="3" t="str">
        <f>IFERROR(IF(B8&lt;&gt;"",COUNTIF('Coach Card'!$HI$19:$HI$68,_xlfn.NUMBERVALUE(LEFT(B8,1))),""),"")</f>
        <v/>
      </c>
      <c r="E8" s="3" t="str">
        <f t="shared" si="2"/>
        <v/>
      </c>
      <c r="G8" s="1" t="s">
        <v>81</v>
      </c>
      <c r="H8" s="4">
        <v>2.9</v>
      </c>
      <c r="I8" s="1" t="s">
        <v>81</v>
      </c>
      <c r="J8" s="4">
        <v>3.2</v>
      </c>
      <c r="K8" s="1"/>
      <c r="L8" s="4"/>
      <c r="M8" s="1" t="s">
        <v>86</v>
      </c>
      <c r="N8" s="4">
        <v>2.2999999999999998</v>
      </c>
    </row>
    <row r="9" spans="1:14" x14ac:dyDescent="0.25">
      <c r="B9" s="3" t="e">
        <f t="shared" si="0"/>
        <v>#N/A</v>
      </c>
      <c r="C9" s="3" t="e">
        <f t="shared" si="1"/>
        <v>#N/A</v>
      </c>
      <c r="D9" s="3" t="str">
        <f>IFERROR(IF(B9&lt;&gt;"",COUNTIF('Coach Card'!$HI$19:$HI$68,_xlfn.NUMBERVALUE(LEFT(B9,1))),""),"")</f>
        <v/>
      </c>
      <c r="E9" s="3" t="str">
        <f t="shared" si="2"/>
        <v/>
      </c>
      <c r="G9" s="1" t="s">
        <v>82</v>
      </c>
      <c r="H9" s="4">
        <v>2.6</v>
      </c>
      <c r="I9" s="1" t="s">
        <v>82</v>
      </c>
      <c r="J9" s="4">
        <v>2.7</v>
      </c>
      <c r="K9" s="1"/>
      <c r="L9" s="4"/>
      <c r="M9" s="1">
        <v>4</v>
      </c>
      <c r="N9" s="4">
        <v>2.9</v>
      </c>
    </row>
    <row r="10" spans="1:14" x14ac:dyDescent="0.25">
      <c r="B10" s="3" t="e">
        <f t="shared" si="0"/>
        <v>#N/A</v>
      </c>
      <c r="C10" s="3" t="e">
        <f t="shared" si="1"/>
        <v>#N/A</v>
      </c>
      <c r="D10" s="3" t="str">
        <f>IFERROR(IF(B10&lt;&gt;"",COUNTIF('Coach Card'!$HI$19:$HI$68,_xlfn.NUMBERVALUE(LEFT(B10,1))),""),"")</f>
        <v/>
      </c>
      <c r="E10" s="3" t="str">
        <f t="shared" si="2"/>
        <v/>
      </c>
      <c r="G10" s="1" t="s">
        <v>83</v>
      </c>
      <c r="H10" s="4">
        <v>2.4</v>
      </c>
      <c r="I10" s="1" t="s">
        <v>83</v>
      </c>
      <c r="J10" s="4">
        <v>2.2999999999999998</v>
      </c>
      <c r="K10" s="1"/>
      <c r="L10" s="4"/>
      <c r="M10" s="1" t="s">
        <v>83</v>
      </c>
      <c r="N10" s="4">
        <v>2.4</v>
      </c>
    </row>
    <row r="11" spans="1:14" x14ac:dyDescent="0.25">
      <c r="B11" s="3" t="e">
        <f t="shared" si="0"/>
        <v>#N/A</v>
      </c>
      <c r="C11" s="3" t="e">
        <f t="shared" si="1"/>
        <v>#N/A</v>
      </c>
      <c r="D11" s="3" t="str">
        <f>IFERROR(IF(B11&lt;&gt;"",COUNTIF('Coach Card'!$HI$19:$HI$68,_xlfn.NUMBERVALUE(LEFT(B11,1))),""),"")</f>
        <v/>
      </c>
      <c r="E11" s="3" t="str">
        <f t="shared" si="2"/>
        <v/>
      </c>
      <c r="G11" s="1" t="s">
        <v>84</v>
      </c>
      <c r="H11" s="4">
        <v>2.1</v>
      </c>
      <c r="I11" s="1" t="s">
        <v>84</v>
      </c>
      <c r="J11" s="4">
        <v>2.1</v>
      </c>
      <c r="K11" s="1"/>
      <c r="L11" s="4"/>
      <c r="M11" s="1" t="s">
        <v>84</v>
      </c>
      <c r="N11" s="4">
        <v>2.1</v>
      </c>
    </row>
    <row r="12" spans="1:14" x14ac:dyDescent="0.25">
      <c r="B12" s="3" t="e">
        <f t="shared" si="0"/>
        <v>#N/A</v>
      </c>
      <c r="C12" s="3" t="e">
        <f t="shared" si="1"/>
        <v>#N/A</v>
      </c>
      <c r="D12" s="3" t="str">
        <f>IFERROR(IF(B12&lt;&gt;"",COUNTIF('Coach Card'!$HI$19:$HI$68,_xlfn.NUMBERVALUE(LEFT(B12,1))),""),"")</f>
        <v/>
      </c>
      <c r="E12" s="3" t="str">
        <f t="shared" si="2"/>
        <v/>
      </c>
      <c r="G12" s="1"/>
      <c r="H12" s="1"/>
      <c r="K12" s="1"/>
      <c r="L12" s="1"/>
      <c r="M12" s="1"/>
      <c r="N12" s="1"/>
    </row>
    <row r="13" spans="1:14" x14ac:dyDescent="0.25">
      <c r="B13" s="3" t="e">
        <f t="shared" si="0"/>
        <v>#N/A</v>
      </c>
      <c r="C13" s="3" t="e">
        <f t="shared" si="1"/>
        <v>#N/A</v>
      </c>
      <c r="D13" s="3" t="str">
        <f>IFERROR(IF(B13&lt;&gt;"",COUNTIF('Coach Card'!$HI$19:$HI$68,_xlfn.NUMBERVALUE(LEFT(B13,1))),""),"")</f>
        <v/>
      </c>
      <c r="E13" s="3" t="str">
        <f t="shared" si="2"/>
        <v/>
      </c>
    </row>
  </sheetData>
  <mergeCells count="6">
    <mergeCell ref="M1:N1"/>
    <mergeCell ref="B1:C1"/>
    <mergeCell ref="D1:E1"/>
    <mergeCell ref="G1:H1"/>
    <mergeCell ref="I1:J1"/>
    <mergeCell ref="K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7</vt:i4>
      </vt:variant>
      <vt:variant>
        <vt:lpstr>Namngivna områden</vt:lpstr>
      </vt:variant>
      <vt:variant>
        <vt:i4>109</vt:i4>
      </vt:variant>
    </vt:vector>
  </HeadingPairs>
  <TitlesOfParts>
    <vt:vector size="116" baseType="lpstr">
      <vt:lpstr>Instructions</vt:lpstr>
      <vt:lpstr>Coach Card</vt:lpstr>
      <vt:lpstr>Print</vt:lpstr>
      <vt:lpstr>Data</vt:lpstr>
      <vt:lpstr>AcroDD</vt:lpstr>
      <vt:lpstr>HybridDD</vt:lpstr>
      <vt:lpstr>TREDD</vt:lpstr>
      <vt:lpstr>AcroBonus_A_Code</vt:lpstr>
      <vt:lpstr>AcroBonus_A_Value</vt:lpstr>
      <vt:lpstr>AcroBonus_B_Code</vt:lpstr>
      <vt:lpstr>AcroBonus_B_Value</vt:lpstr>
      <vt:lpstr>AcroBonus_C_Code</vt:lpstr>
      <vt:lpstr>AcroBonus_C_Value</vt:lpstr>
      <vt:lpstr>AcroBonus_P_Code</vt:lpstr>
      <vt:lpstr>AcroBonus_P_Value</vt:lpstr>
      <vt:lpstr>AcroPair_Code</vt:lpstr>
      <vt:lpstr>AcroPair_Value</vt:lpstr>
      <vt:lpstr>Cons_A_Code</vt:lpstr>
      <vt:lpstr>Cons_A_Value</vt:lpstr>
      <vt:lpstr>Cons_B_Code</vt:lpstr>
      <vt:lpstr>Cons_B_Value</vt:lpstr>
      <vt:lpstr>Cons_C_Code</vt:lpstr>
      <vt:lpstr>Cons_C_Value</vt:lpstr>
      <vt:lpstr>Cons_P_Code</vt:lpstr>
      <vt:lpstr>Cons_P_Value</vt:lpstr>
      <vt:lpstr>Conx_A_Code</vt:lpstr>
      <vt:lpstr>Conx_A_Value</vt:lpstr>
      <vt:lpstr>Conx_B_Code</vt:lpstr>
      <vt:lpstr>Conx_B_Value</vt:lpstr>
      <vt:lpstr>Conx_C_Code</vt:lpstr>
      <vt:lpstr>Conx_C_Value</vt:lpstr>
      <vt:lpstr>Conx_P_Code</vt:lpstr>
      <vt:lpstr>Conx_P_Value</vt:lpstr>
      <vt:lpstr>Dirx_A_Code</vt:lpstr>
      <vt:lpstr>Dirx_A_Value</vt:lpstr>
      <vt:lpstr>Dirx_B_Code</vt:lpstr>
      <vt:lpstr>Dirx_B_Value</vt:lpstr>
      <vt:lpstr>Dirx_C_Code</vt:lpstr>
      <vt:lpstr>Dirx_C_Value</vt:lpstr>
      <vt:lpstr>Dirx_P_Code</vt:lpstr>
      <vt:lpstr>Dirx_P_Value</vt:lpstr>
      <vt:lpstr>Hyb_Code</vt:lpstr>
      <vt:lpstr>Hyb_Family</vt:lpstr>
      <vt:lpstr>Hyb_Tech</vt:lpstr>
      <vt:lpstr>Hyb_Tech_Value</vt:lpstr>
      <vt:lpstr>Hybrid_ChoHY</vt:lpstr>
      <vt:lpstr>Hybrid_Mix_Req</vt:lpstr>
      <vt:lpstr>Hybrid_Mix_Req_Value</vt:lpstr>
      <vt:lpstr>HybridBonus_Code</vt:lpstr>
      <vt:lpstr>HybridBonus_Value</vt:lpstr>
      <vt:lpstr>HybridDD_Code</vt:lpstr>
      <vt:lpstr>HybridDD_Value</vt:lpstr>
      <vt:lpstr>Parts_Active</vt:lpstr>
      <vt:lpstr>Pos1_A_Code</vt:lpstr>
      <vt:lpstr>Pos1_A_Value</vt:lpstr>
      <vt:lpstr>Pos1_A_Var</vt:lpstr>
      <vt:lpstr>Pos1_B_Code</vt:lpstr>
      <vt:lpstr>Pos1_B_Value</vt:lpstr>
      <vt:lpstr>Pos1_B_Var</vt:lpstr>
      <vt:lpstr>Pos1_C_Code</vt:lpstr>
      <vt:lpstr>Pos1_C_Value</vt:lpstr>
      <vt:lpstr>Pos1_C_Var</vt:lpstr>
      <vt:lpstr>Pos1_P_Code</vt:lpstr>
      <vt:lpstr>Pos1_P_Value</vt:lpstr>
      <vt:lpstr>Pos1_P_Var</vt:lpstr>
      <vt:lpstr>Pos2_A_Code</vt:lpstr>
      <vt:lpstr>Pos2_A_Value</vt:lpstr>
      <vt:lpstr>Pos2_A_Var</vt:lpstr>
      <vt:lpstr>Pos2_B_Code</vt:lpstr>
      <vt:lpstr>Pos2_B_Value</vt:lpstr>
      <vt:lpstr>Pos2_B_Var</vt:lpstr>
      <vt:lpstr>Pos2_C_Code</vt:lpstr>
      <vt:lpstr>Pos2_C_Value</vt:lpstr>
      <vt:lpstr>Pos2_C_Var</vt:lpstr>
      <vt:lpstr>Pos2_P_Code</vt:lpstr>
      <vt:lpstr>Pos2_P_Value</vt:lpstr>
      <vt:lpstr>Pos2_P_Var</vt:lpstr>
      <vt:lpstr>Requ_App</vt:lpstr>
      <vt:lpstr>Requ_Code</vt:lpstr>
      <vt:lpstr>Requ_Min</vt:lpstr>
      <vt:lpstr>RotB_A_Code</vt:lpstr>
      <vt:lpstr>RotB_A_Value</vt:lpstr>
      <vt:lpstr>RotB_B_Code</vt:lpstr>
      <vt:lpstr>RotB_B_Value</vt:lpstr>
      <vt:lpstr>RotB_C_Code</vt:lpstr>
      <vt:lpstr>RotB_C_Value</vt:lpstr>
      <vt:lpstr>RotB_P_Code</vt:lpstr>
      <vt:lpstr>RotB_P_Value</vt:lpstr>
      <vt:lpstr>RotP_A_Code</vt:lpstr>
      <vt:lpstr>RotP_A_Value</vt:lpstr>
      <vt:lpstr>RotP_B_Code</vt:lpstr>
      <vt:lpstr>RotP_B_Value</vt:lpstr>
      <vt:lpstr>RotP_C_Code</vt:lpstr>
      <vt:lpstr>RotP_C_Value</vt:lpstr>
      <vt:lpstr>RotP_P_Code</vt:lpstr>
      <vt:lpstr>RotP_P_Value</vt:lpstr>
      <vt:lpstr>Team_Acro_P_Chk1</vt:lpstr>
      <vt:lpstr>Team_Acro_P_Chk2</vt:lpstr>
      <vt:lpstr>TeamAcro_A_Pos1</vt:lpstr>
      <vt:lpstr>TeamAcro_A_Pos2</vt:lpstr>
      <vt:lpstr>TeamAcro_B_Cons</vt:lpstr>
      <vt:lpstr>TeamAcro_B_Conx</vt:lpstr>
      <vt:lpstr>TeamAcro_C_Cons</vt:lpstr>
      <vt:lpstr>TeamAcro_P_Bonus</vt:lpstr>
      <vt:lpstr>TeamAcro_P_Bonus1</vt:lpstr>
      <vt:lpstr>TeamAcro_P_Bonus2</vt:lpstr>
      <vt:lpstr>TeamAcro_P_Cons</vt:lpstr>
      <vt:lpstr>TeamAcro_P_Conx</vt:lpstr>
      <vt:lpstr>TeamAcro_P_Pos1</vt:lpstr>
      <vt:lpstr>TeamAcro_P_Pos2</vt:lpstr>
      <vt:lpstr>TRE_check</vt:lpstr>
      <vt:lpstr>TreDD_Code</vt:lpstr>
      <vt:lpstr>TreDD_Value</vt:lpstr>
      <vt:lpstr>AcroDD!Utskriftsområde</vt:lpstr>
      <vt:lpstr>'Coach Card'!Utskriftsområde</vt:lpstr>
      <vt:lpstr>Print!Utskriftsområde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Röhss</dc:creator>
  <cp:lastModifiedBy>Thomas Röhss</cp:lastModifiedBy>
  <cp:lastPrinted>2025-11-18T12:55:34Z</cp:lastPrinted>
  <dcterms:created xsi:type="dcterms:W3CDTF">2022-07-23T14:14:56Z</dcterms:created>
  <dcterms:modified xsi:type="dcterms:W3CDTF">2026-05-14T07:33:00Z</dcterms:modified>
</cp:coreProperties>
</file>