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sandra.allerud\Downloads\"/>
    </mc:Choice>
  </mc:AlternateContent>
  <xr:revisionPtr revIDLastSave="0" documentId="13_ncr:1_{4BDA27B3-C7A8-4CE2-B898-2AFE98AD64D3}" xr6:coauthVersionLast="47" xr6:coauthVersionMax="47" xr10:uidLastSave="{00000000-0000-0000-0000-000000000000}"/>
  <bookViews>
    <workbookView xWindow="-108" yWindow="-108" windowWidth="23256" windowHeight="12456" activeTab="2" xr2:uid="{00000000-000D-0000-FFFF-FFFF00000000}"/>
  </bookViews>
  <sheets>
    <sheet name="Instruktioner" sheetId="1" r:id="rId1"/>
    <sheet name="Coach Card" sheetId="2" state="hidden" r:id="rId2"/>
    <sheet name="Exempel" sheetId="10" r:id="rId3"/>
    <sheet name="Print" sheetId="3" r:id="rId4"/>
    <sheet name="Data" sheetId="4" state="hidden" r:id="rId5"/>
    <sheet name="AcroDD" sheetId="5" state="hidden" r:id="rId6"/>
    <sheet name="HybridDD" sheetId="6" state="hidden" r:id="rId7"/>
    <sheet name="TREDD" sheetId="7" state="hidden" r:id="rId8"/>
  </sheets>
  <definedNames>
    <definedName name="AcroBonus_A_Code">AcroDD!$B$299:$B$328</definedName>
    <definedName name="AcroBonus_A_Value">AcroDD!$C$299:$C$328</definedName>
    <definedName name="AcroBonus_B_Code">AcroDD!$E$299:$E$328</definedName>
    <definedName name="AcroBonus_B_Value">AcroDD!$F$299:$F$328</definedName>
    <definedName name="AcroBonus_C_Code">AcroDD!$H$299:$H$328</definedName>
    <definedName name="AcroBonus_C_Value">AcroDD!$I$299:$I$328</definedName>
    <definedName name="AcroBonus_P_Code">AcroDD!$K$299:$K$328</definedName>
    <definedName name="AcroBonus_P_Value">AcroDD!$L$299:$L$328</definedName>
    <definedName name="AcroPair_Code">AcroDD!$Q$4:$Q$78</definedName>
    <definedName name="AcroPair_Value">AcroDD!$R$4:$R$78</definedName>
    <definedName name="Cons_A_Code">AcroDD!$B$4:$B$31</definedName>
    <definedName name="Cons_A_Value">AcroDD!$C$4:$C$31</definedName>
    <definedName name="Cons_B_Code">AcroDD!$E$4:$E$31</definedName>
    <definedName name="Cons_B_Value">AcroDD!$F$4:$F$31</definedName>
    <definedName name="Cons_C_Code">AcroDD!$H$4:$H$31</definedName>
    <definedName name="Cons_C_Value">AcroDD!$I$4:$I$31</definedName>
    <definedName name="Cons_P_Code">AcroDD!$K$4:$K$31</definedName>
    <definedName name="Cons_P_Value">AcroDD!$L$4:$L$31</definedName>
    <definedName name="Conx_A_Code">AcroDD!$B$38:$B$70</definedName>
    <definedName name="Conx_A_Value">AcroDD!$C$38:$C$70</definedName>
    <definedName name="Conx_B_Code">AcroDD!$E$38:$E$70</definedName>
    <definedName name="Conx_B_Value">AcroDD!$F$38:$F$70</definedName>
    <definedName name="Conx_C_Code">AcroDD!$H$38:$H$70</definedName>
    <definedName name="Conx_C_Value">AcroDD!$I$38:$I$70</definedName>
    <definedName name="Conx_P_Code">AcroDD!$K$38:$K$70</definedName>
    <definedName name="Conx_P_Value">AcroDD!$L$38:$L$70</definedName>
    <definedName name="Dirx_A_Code">AcroDD!$B$77:$B$94</definedName>
    <definedName name="Dirx_A_Value">AcroDD!$C$77:$C$94</definedName>
    <definedName name="Dirx_B_Code">AcroDD!$E$77:$E$94</definedName>
    <definedName name="Dirx_B_Value">AcroDD!$F$77:$F$94</definedName>
    <definedName name="Dirx_C_Code">AcroDD!$H$77:$H$94</definedName>
    <definedName name="Dirx_C_Value">AcroDD!$I$77:$I$94</definedName>
    <definedName name="Dirx_P_Code">AcroDD!$K$77:$K$94</definedName>
    <definedName name="Dirx_P_Value">AcroDD!$L$77:$L$94</definedName>
    <definedName name="Hyb_Code">HybridDD!$AH$3:$AH$427</definedName>
    <definedName name="Hyb_Tech">HybridDD!$AI$3:$AI$428</definedName>
    <definedName name="Hyb_Tech_Value">HybridDD!$AJ$3:$AJ$428</definedName>
    <definedName name="Hybrid_ChoHY">'Coach Card'!$BS$8:$BS$9</definedName>
    <definedName name="Hybrid_Mix_Req">HybridDD!$F$3:$F$80</definedName>
    <definedName name="Hybrid_Mix_Req_Value">HybridDD!$G$3:$G$80</definedName>
    <definedName name="HybridBonus_Code">HybridDD!$D$3:$D$30</definedName>
    <definedName name="HybridBonus_Value">HybridDD!$E$3:$E$30</definedName>
    <definedName name="HybridDD_Code">HybridDD!$B$3:$B$500</definedName>
    <definedName name="HybridDD_Value">HybridDD!$C$3:$C$500</definedName>
    <definedName name="Parts_Active">Data!$E$3:$E$11</definedName>
    <definedName name="Pos1_A_Code">AcroDD!$C$101:$C$140</definedName>
    <definedName name="Pos1_A_Value">AcroDD!$D$101:$D$140</definedName>
    <definedName name="Pos1_A_Var">AcroDD!$B$101:$B$140</definedName>
    <definedName name="Pos1_B_Code">AcroDD!$G$101:$G$140</definedName>
    <definedName name="Pos1_B_Value">AcroDD!$H$101:$H$140</definedName>
    <definedName name="Pos1_B_Var">AcroDD!$F$101:$F$140</definedName>
    <definedName name="Pos1_C_Code">AcroDD!$K$101:$K$140</definedName>
    <definedName name="Pos1_C_Value">AcroDD!$L$101:$L$140</definedName>
    <definedName name="Pos1_C_Var">AcroDD!$J$101:$J$140</definedName>
    <definedName name="Pos1_P_Code">AcroDD!$O$101:$O$140</definedName>
    <definedName name="Pos1_P_Value">AcroDD!$P$101:$P$140</definedName>
    <definedName name="Pos1_P_Var">AcroDD!$N$101:$N$140</definedName>
    <definedName name="Pos2_A_Code">AcroDD!$C$147:$C$186</definedName>
    <definedName name="Pos2_A_Value">AcroDD!$D$147:$D$186</definedName>
    <definedName name="Pos2_A_Var">AcroDD!$B$147:$B$186</definedName>
    <definedName name="Pos2_B_Code">AcroDD!$G$147:$G$186</definedName>
    <definedName name="Pos2_B_Value">AcroDD!$H$147:$H$186</definedName>
    <definedName name="Pos2_B_Var">AcroDD!$F$147:$F$186</definedName>
    <definedName name="Pos2_C_Code">AcroDD!$K$147:$K$186</definedName>
    <definedName name="Pos2_C_Value">AcroDD!$L$147:$L$186</definedName>
    <definedName name="Pos2_C_Var">AcroDD!$J$147:$J$186</definedName>
    <definedName name="Pos2_P_Code">AcroDD!$O$147:$O$186</definedName>
    <definedName name="Pos2_P_Value">AcroDD!$P$147:$P$186</definedName>
    <definedName name="Pos2_P_Var">AcroDD!$N$147:$N$186</definedName>
    <definedName name="Requ_App">AcroDD!$C$334:$C$373</definedName>
    <definedName name="Requ_Code">AcroDD!$B$334:$B$373</definedName>
    <definedName name="Requ_Min">AcroDD!$D$334:$D$373</definedName>
    <definedName name="RotB_A_Code">AcroDD!$B$194:$B$216</definedName>
    <definedName name="RotB_A_Value">AcroDD!$C$194:$C$216</definedName>
    <definedName name="RotB_B_Code">AcroDD!$E$194:$E$216</definedName>
    <definedName name="RotB_B_Value">AcroDD!$F$194:$F$216</definedName>
    <definedName name="RotB_C_Code">AcroDD!$H$194:$H$216</definedName>
    <definedName name="RotB_C_Value">AcroDD!$I$194:$I$216</definedName>
    <definedName name="RotB_P_Code">AcroDD!$K$194:$K$216</definedName>
    <definedName name="RotB_P_Value">AcroDD!$L$194:$L$216</definedName>
    <definedName name="RotP_A_Code">AcroDD!$B$223:$B$292</definedName>
    <definedName name="RotP_A_Value">AcroDD!$C$223:$C$292</definedName>
    <definedName name="RotP_B_Code">AcroDD!$E$223:$E$292</definedName>
    <definedName name="RotP_B_Value">AcroDD!$F$223:$F$292</definedName>
    <definedName name="RotP_C_Code">AcroDD!$H$223:$H$292</definedName>
    <definedName name="RotP_C_Value">AcroDD!$I$223:$I$292</definedName>
    <definedName name="RotP_P_Code">AcroDD!$K$223:$K$292</definedName>
    <definedName name="RotP_P_Value">AcroDD!$L$223:$L$292</definedName>
    <definedName name="TeamAcro_A_Pos1">'Coach Card'!$DQ$19:$DQ$68</definedName>
    <definedName name="TeamAcro_A_Pos2">'Coach Card'!$DR$19:$DR$68</definedName>
    <definedName name="TeamAcro_B_Cons">'Coach Card'!$DS$19:$DS$68</definedName>
    <definedName name="TeamAcro_B_Conx">'Coach Card'!$DT$19:$DT$68</definedName>
    <definedName name="TeamAcro_C_Cons">'Coach Card'!$DU$19:$DU$68</definedName>
    <definedName name="TeamAcro_P_Cons">'Coach Card'!$DV$19:$DV$68</definedName>
    <definedName name="TeamAcro_P_Conx">'Coach Card'!$DW$19:$DW$68</definedName>
    <definedName name="TeamAcro_P_Pos1">'Coach Card'!$DX$19:$DX$68</definedName>
    <definedName name="TeamAcro_P_Pos2">'Coach Card'!$DY$19:$DY$68</definedName>
    <definedName name="TRE_check">'Coach Card'!$HF$19:$HF$68</definedName>
    <definedName name="TreDD_Code">TREDD!$B$3:$B$12</definedName>
    <definedName name="TreDD_Value">TREDD!$C$3:$C$12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sk7yP5Z13ynIVDM5GXFuwYySl53IvR6uHi1o6/aEB4M="/>
    </ext>
  </extLst>
</workbook>
</file>

<file path=xl/calcChain.xml><?xml version="1.0" encoding="utf-8"?>
<calcChain xmlns="http://schemas.openxmlformats.org/spreadsheetml/2006/main">
  <c r="J13" i="10" l="1"/>
  <c r="D13" i="10"/>
  <c r="W294" i="6" l="1"/>
  <c r="V294" i="6"/>
  <c r="W293" i="6"/>
  <c r="V293" i="6"/>
  <c r="W292" i="6"/>
  <c r="V292" i="6"/>
  <c r="W291" i="6"/>
  <c r="V291" i="6"/>
  <c r="W290" i="6"/>
  <c r="V290" i="6"/>
  <c r="W289" i="6"/>
  <c r="V289" i="6"/>
  <c r="W288" i="6"/>
  <c r="V288" i="6"/>
  <c r="W287" i="6"/>
  <c r="V287" i="6"/>
  <c r="W286" i="6"/>
  <c r="V286" i="6"/>
  <c r="W285" i="6"/>
  <c r="V285" i="6"/>
  <c r="W284" i="6"/>
  <c r="V284" i="6"/>
  <c r="W283" i="6"/>
  <c r="V283" i="6"/>
  <c r="W282" i="6"/>
  <c r="V282" i="6"/>
  <c r="T282" i="6"/>
  <c r="S282" i="6"/>
  <c r="Q282" i="6"/>
  <c r="P282" i="6"/>
  <c r="W281" i="6"/>
  <c r="V281" i="6"/>
  <c r="T281" i="6"/>
  <c r="S281" i="6"/>
  <c r="Q281" i="6"/>
  <c r="P281" i="6"/>
  <c r="W280" i="6"/>
  <c r="V280" i="6"/>
  <c r="T280" i="6"/>
  <c r="S280" i="6"/>
  <c r="Q280" i="6"/>
  <c r="P280" i="6"/>
  <c r="W279" i="6"/>
  <c r="V279" i="6"/>
  <c r="T279" i="6"/>
  <c r="S279" i="6"/>
  <c r="Q279" i="6"/>
  <c r="P279" i="6"/>
  <c r="W278" i="6"/>
  <c r="V278" i="6"/>
  <c r="T278" i="6"/>
  <c r="S278" i="6"/>
  <c r="Q278" i="6"/>
  <c r="P278" i="6"/>
  <c r="W277" i="6"/>
  <c r="V277" i="6"/>
  <c r="T277" i="6"/>
  <c r="S277" i="6"/>
  <c r="Q277" i="6"/>
  <c r="P277" i="6"/>
  <c r="W276" i="6"/>
  <c r="V276" i="6"/>
  <c r="T276" i="6"/>
  <c r="S276" i="6"/>
  <c r="Q276" i="6"/>
  <c r="P276" i="6"/>
  <c r="W275" i="6"/>
  <c r="V275" i="6"/>
  <c r="T275" i="6"/>
  <c r="S275" i="6"/>
  <c r="Q275" i="6"/>
  <c r="P275" i="6"/>
  <c r="W274" i="6"/>
  <c r="V274" i="6"/>
  <c r="T274" i="6"/>
  <c r="S274" i="6"/>
  <c r="Q274" i="6"/>
  <c r="P274" i="6"/>
  <c r="W273" i="6"/>
  <c r="V273" i="6"/>
  <c r="T273" i="6"/>
  <c r="S273" i="6"/>
  <c r="Q273" i="6"/>
  <c r="P273" i="6"/>
  <c r="W272" i="6"/>
  <c r="V272" i="6"/>
  <c r="T272" i="6"/>
  <c r="S272" i="6"/>
  <c r="Q272" i="6"/>
  <c r="P272" i="6"/>
  <c r="W271" i="6"/>
  <c r="V271" i="6"/>
  <c r="T271" i="6"/>
  <c r="S271" i="6"/>
  <c r="Q271" i="6"/>
  <c r="P271" i="6"/>
  <c r="W270" i="6"/>
  <c r="V270" i="6"/>
  <c r="T270" i="6"/>
  <c r="S270" i="6"/>
  <c r="Q270" i="6"/>
  <c r="P270" i="6"/>
  <c r="W269" i="6"/>
  <c r="V269" i="6"/>
  <c r="T269" i="6"/>
  <c r="S269" i="6"/>
  <c r="Q269" i="6"/>
  <c r="P269" i="6"/>
  <c r="W268" i="6"/>
  <c r="V268" i="6"/>
  <c r="T268" i="6"/>
  <c r="S268" i="6"/>
  <c r="Q268" i="6"/>
  <c r="P268" i="6"/>
  <c r="W267" i="6"/>
  <c r="V267" i="6"/>
  <c r="T267" i="6"/>
  <c r="S267" i="6"/>
  <c r="Q267" i="6"/>
  <c r="P267" i="6"/>
  <c r="W266" i="6"/>
  <c r="V266" i="6"/>
  <c r="T266" i="6"/>
  <c r="S266" i="6"/>
  <c r="Q266" i="6"/>
  <c r="P266" i="6"/>
  <c r="W265" i="6"/>
  <c r="V265" i="6"/>
  <c r="T265" i="6"/>
  <c r="S265" i="6"/>
  <c r="Q265" i="6"/>
  <c r="P265" i="6"/>
  <c r="W264" i="6"/>
  <c r="V264" i="6"/>
  <c r="T264" i="6"/>
  <c r="S264" i="6"/>
  <c r="Q264" i="6"/>
  <c r="P264" i="6"/>
  <c r="W263" i="6"/>
  <c r="V263" i="6"/>
  <c r="T263" i="6"/>
  <c r="S263" i="6"/>
  <c r="Q263" i="6"/>
  <c r="P263" i="6"/>
  <c r="W262" i="6"/>
  <c r="V262" i="6"/>
  <c r="T262" i="6"/>
  <c r="S262" i="6"/>
  <c r="Q262" i="6"/>
  <c r="P262" i="6"/>
  <c r="W261" i="6"/>
  <c r="V261" i="6"/>
  <c r="T261" i="6"/>
  <c r="S261" i="6"/>
  <c r="Q261" i="6"/>
  <c r="P261" i="6"/>
  <c r="W260" i="6"/>
  <c r="V260" i="6"/>
  <c r="T260" i="6"/>
  <c r="S260" i="6"/>
  <c r="Q260" i="6"/>
  <c r="P260" i="6"/>
  <c r="W259" i="6"/>
  <c r="V259" i="6"/>
  <c r="T259" i="6"/>
  <c r="S259" i="6"/>
  <c r="Q259" i="6"/>
  <c r="P259" i="6"/>
  <c r="W258" i="6"/>
  <c r="V258" i="6"/>
  <c r="T258" i="6"/>
  <c r="S258" i="6"/>
  <c r="Q258" i="6"/>
  <c r="P258" i="6"/>
  <c r="W257" i="6"/>
  <c r="V257" i="6"/>
  <c r="T257" i="6"/>
  <c r="S257" i="6"/>
  <c r="Q257" i="6"/>
  <c r="P257" i="6"/>
  <c r="W256" i="6"/>
  <c r="V256" i="6"/>
  <c r="T256" i="6"/>
  <c r="S256" i="6"/>
  <c r="Q256" i="6"/>
  <c r="P256" i="6"/>
  <c r="W255" i="6"/>
  <c r="V255" i="6"/>
  <c r="T255" i="6"/>
  <c r="S255" i="6"/>
  <c r="Q255" i="6"/>
  <c r="P255" i="6"/>
  <c r="W254" i="6"/>
  <c r="V254" i="6"/>
  <c r="T254" i="6"/>
  <c r="S254" i="6"/>
  <c r="Q254" i="6"/>
  <c r="P254" i="6"/>
  <c r="W253" i="6"/>
  <c r="V253" i="6"/>
  <c r="T253" i="6"/>
  <c r="S253" i="6"/>
  <c r="Q253" i="6"/>
  <c r="P253" i="6"/>
  <c r="W252" i="6"/>
  <c r="V252" i="6"/>
  <c r="T252" i="6"/>
  <c r="S252" i="6"/>
  <c r="Q252" i="6"/>
  <c r="P252" i="6"/>
  <c r="W251" i="6"/>
  <c r="V251" i="6"/>
  <c r="T251" i="6"/>
  <c r="S251" i="6"/>
  <c r="Q251" i="6"/>
  <c r="P251" i="6"/>
  <c r="W250" i="6"/>
  <c r="V250" i="6"/>
  <c r="T250" i="6"/>
  <c r="S250" i="6"/>
  <c r="Q250" i="6"/>
  <c r="P250" i="6"/>
  <c r="W249" i="6"/>
  <c r="V249" i="6"/>
  <c r="T249" i="6"/>
  <c r="S249" i="6"/>
  <c r="Q249" i="6"/>
  <c r="P249" i="6"/>
  <c r="W248" i="6"/>
  <c r="V248" i="6"/>
  <c r="T248" i="6"/>
  <c r="S248" i="6"/>
  <c r="Q248" i="6"/>
  <c r="P248" i="6"/>
  <c r="W247" i="6"/>
  <c r="V247" i="6"/>
  <c r="T247" i="6"/>
  <c r="S247" i="6"/>
  <c r="Q247" i="6"/>
  <c r="P247" i="6"/>
  <c r="W246" i="6"/>
  <c r="V246" i="6"/>
  <c r="T246" i="6"/>
  <c r="S246" i="6"/>
  <c r="Q246" i="6"/>
  <c r="P246" i="6"/>
  <c r="W245" i="6"/>
  <c r="V245" i="6"/>
  <c r="T245" i="6"/>
  <c r="S245" i="6"/>
  <c r="Q245" i="6"/>
  <c r="P245" i="6"/>
  <c r="W244" i="6"/>
  <c r="V244" i="6"/>
  <c r="T244" i="6"/>
  <c r="S244" i="6"/>
  <c r="Q244" i="6"/>
  <c r="P244" i="6"/>
  <c r="W243" i="6"/>
  <c r="V243" i="6"/>
  <c r="T243" i="6"/>
  <c r="S243" i="6"/>
  <c r="Q243" i="6"/>
  <c r="P243" i="6"/>
  <c r="W242" i="6"/>
  <c r="V242" i="6"/>
  <c r="T242" i="6"/>
  <c r="S242" i="6"/>
  <c r="Q242" i="6"/>
  <c r="P242" i="6"/>
  <c r="W241" i="6"/>
  <c r="V241" i="6"/>
  <c r="T241" i="6"/>
  <c r="S241" i="6"/>
  <c r="Q241" i="6"/>
  <c r="P241" i="6"/>
  <c r="W240" i="6"/>
  <c r="V240" i="6"/>
  <c r="T240" i="6"/>
  <c r="S240" i="6"/>
  <c r="Q240" i="6"/>
  <c r="P240" i="6"/>
  <c r="W239" i="6"/>
  <c r="V239" i="6"/>
  <c r="T239" i="6"/>
  <c r="S239" i="6"/>
  <c r="Q239" i="6"/>
  <c r="P239" i="6"/>
  <c r="W238" i="6"/>
  <c r="V238" i="6"/>
  <c r="T238" i="6"/>
  <c r="S238" i="6"/>
  <c r="Q238" i="6"/>
  <c r="P238" i="6"/>
  <c r="W237" i="6"/>
  <c r="V237" i="6"/>
  <c r="T237" i="6"/>
  <c r="S237" i="6"/>
  <c r="Q237" i="6"/>
  <c r="P237" i="6"/>
  <c r="W236" i="6"/>
  <c r="V236" i="6"/>
  <c r="T236" i="6"/>
  <c r="S236" i="6"/>
  <c r="Q236" i="6"/>
  <c r="P236" i="6"/>
  <c r="W235" i="6"/>
  <c r="V235" i="6"/>
  <c r="T235" i="6"/>
  <c r="S235" i="6"/>
  <c r="Q235" i="6"/>
  <c r="P235" i="6"/>
  <c r="W234" i="6"/>
  <c r="V234" i="6"/>
  <c r="T234" i="6"/>
  <c r="S234" i="6"/>
  <c r="Q234" i="6"/>
  <c r="P234" i="6"/>
  <c r="W233" i="6"/>
  <c r="V233" i="6"/>
  <c r="T233" i="6"/>
  <c r="S233" i="6"/>
  <c r="Q233" i="6"/>
  <c r="P233" i="6"/>
  <c r="W232" i="6"/>
  <c r="V232" i="6"/>
  <c r="T232" i="6"/>
  <c r="S232" i="6"/>
  <c r="Q232" i="6"/>
  <c r="P232" i="6"/>
  <c r="W231" i="6"/>
  <c r="V231" i="6"/>
  <c r="T231" i="6"/>
  <c r="S231" i="6"/>
  <c r="Q231" i="6"/>
  <c r="P231" i="6"/>
  <c r="W230" i="6"/>
  <c r="V230" i="6"/>
  <c r="T230" i="6"/>
  <c r="S230" i="6"/>
  <c r="Q230" i="6"/>
  <c r="P230" i="6"/>
  <c r="W229" i="6"/>
  <c r="V229" i="6"/>
  <c r="T229" i="6"/>
  <c r="S229" i="6"/>
  <c r="Q229" i="6"/>
  <c r="P229" i="6"/>
  <c r="W228" i="6"/>
  <c r="V228" i="6"/>
  <c r="T228" i="6"/>
  <c r="S228" i="6"/>
  <c r="Q228" i="6"/>
  <c r="P228" i="6"/>
  <c r="W227" i="6"/>
  <c r="V227" i="6"/>
  <c r="T227" i="6"/>
  <c r="S227" i="6"/>
  <c r="Q227" i="6"/>
  <c r="P227" i="6"/>
  <c r="W226" i="6"/>
  <c r="V226" i="6"/>
  <c r="T226" i="6"/>
  <c r="S226" i="6"/>
  <c r="Q226" i="6"/>
  <c r="P226" i="6"/>
  <c r="W225" i="6"/>
  <c r="V225" i="6"/>
  <c r="T225" i="6"/>
  <c r="S225" i="6"/>
  <c r="Q225" i="6"/>
  <c r="P225" i="6"/>
  <c r="W224" i="6"/>
  <c r="V224" i="6"/>
  <c r="T224" i="6"/>
  <c r="S224" i="6"/>
  <c r="Q224" i="6"/>
  <c r="P224" i="6"/>
  <c r="W223" i="6"/>
  <c r="V223" i="6"/>
  <c r="T223" i="6"/>
  <c r="S223" i="6"/>
  <c r="Q223" i="6"/>
  <c r="P223" i="6"/>
  <c r="W222" i="6"/>
  <c r="V222" i="6"/>
  <c r="T222" i="6"/>
  <c r="S222" i="6"/>
  <c r="Q222" i="6"/>
  <c r="P222" i="6"/>
  <c r="W221" i="6"/>
  <c r="V221" i="6"/>
  <c r="T221" i="6"/>
  <c r="S221" i="6"/>
  <c r="Q221" i="6"/>
  <c r="P221" i="6"/>
  <c r="W220" i="6"/>
  <c r="V220" i="6"/>
  <c r="T220" i="6"/>
  <c r="S220" i="6"/>
  <c r="Q220" i="6"/>
  <c r="P220" i="6"/>
  <c r="W219" i="6"/>
  <c r="V219" i="6"/>
  <c r="T219" i="6"/>
  <c r="S219" i="6"/>
  <c r="Q219" i="6"/>
  <c r="P219" i="6"/>
  <c r="W218" i="6"/>
  <c r="V218" i="6"/>
  <c r="T218" i="6"/>
  <c r="S218" i="6"/>
  <c r="Q218" i="6"/>
  <c r="P218" i="6"/>
  <c r="W217" i="6"/>
  <c r="V217" i="6"/>
  <c r="T217" i="6"/>
  <c r="S217" i="6"/>
  <c r="Q217" i="6"/>
  <c r="P217" i="6"/>
  <c r="W216" i="6"/>
  <c r="V216" i="6"/>
  <c r="T216" i="6"/>
  <c r="S216" i="6"/>
  <c r="Q216" i="6"/>
  <c r="P216" i="6"/>
  <c r="W215" i="6"/>
  <c r="V215" i="6"/>
  <c r="T215" i="6"/>
  <c r="S215" i="6"/>
  <c r="Q215" i="6"/>
  <c r="P215" i="6"/>
  <c r="W214" i="6"/>
  <c r="V214" i="6"/>
  <c r="T214" i="6"/>
  <c r="S214" i="6"/>
  <c r="Q214" i="6"/>
  <c r="P214" i="6"/>
  <c r="W213" i="6"/>
  <c r="V213" i="6"/>
  <c r="T213" i="6"/>
  <c r="S213" i="6"/>
  <c r="Q213" i="6"/>
  <c r="P213" i="6"/>
  <c r="W212" i="6"/>
  <c r="V212" i="6"/>
  <c r="T212" i="6"/>
  <c r="S212" i="6"/>
  <c r="Q212" i="6"/>
  <c r="P212" i="6"/>
  <c r="W211" i="6"/>
  <c r="V211" i="6"/>
  <c r="T211" i="6"/>
  <c r="S211" i="6"/>
  <c r="Q211" i="6"/>
  <c r="P211" i="6"/>
  <c r="W210" i="6"/>
  <c r="V210" i="6"/>
  <c r="T210" i="6"/>
  <c r="S210" i="6"/>
  <c r="Q210" i="6"/>
  <c r="P210" i="6"/>
  <c r="W209" i="6"/>
  <c r="V209" i="6"/>
  <c r="T209" i="6"/>
  <c r="S209" i="6"/>
  <c r="Q209" i="6"/>
  <c r="P209" i="6"/>
  <c r="W208" i="6"/>
  <c r="V208" i="6"/>
  <c r="T208" i="6"/>
  <c r="S208" i="6"/>
  <c r="Q208" i="6"/>
  <c r="P208" i="6"/>
  <c r="W207" i="6"/>
  <c r="V207" i="6"/>
  <c r="T207" i="6"/>
  <c r="S207" i="6"/>
  <c r="Q207" i="6"/>
  <c r="P207" i="6"/>
  <c r="W206" i="6"/>
  <c r="V206" i="6"/>
  <c r="T206" i="6"/>
  <c r="S206" i="6"/>
  <c r="Q206" i="6"/>
  <c r="P206" i="6"/>
  <c r="W205" i="6"/>
  <c r="V205" i="6"/>
  <c r="T205" i="6"/>
  <c r="S205" i="6"/>
  <c r="Q205" i="6"/>
  <c r="P205" i="6"/>
  <c r="W204" i="6"/>
  <c r="V204" i="6"/>
  <c r="T204" i="6"/>
  <c r="S204" i="6"/>
  <c r="Q204" i="6"/>
  <c r="P204" i="6"/>
  <c r="W203" i="6"/>
  <c r="V203" i="6"/>
  <c r="T203" i="6"/>
  <c r="S203" i="6"/>
  <c r="Q203" i="6"/>
  <c r="P203" i="6"/>
  <c r="W202" i="6"/>
  <c r="V202" i="6"/>
  <c r="T202" i="6"/>
  <c r="S202" i="6"/>
  <c r="Q202" i="6"/>
  <c r="P202" i="6"/>
  <c r="W201" i="6"/>
  <c r="V201" i="6"/>
  <c r="T201" i="6"/>
  <c r="S201" i="6"/>
  <c r="Q201" i="6"/>
  <c r="P201" i="6"/>
  <c r="W200" i="6"/>
  <c r="V200" i="6"/>
  <c r="T200" i="6"/>
  <c r="S200" i="6"/>
  <c r="Q200" i="6"/>
  <c r="P200" i="6"/>
  <c r="W199" i="6"/>
  <c r="V199" i="6"/>
  <c r="T199" i="6"/>
  <c r="S199" i="6"/>
  <c r="Q199" i="6"/>
  <c r="P199" i="6"/>
  <c r="W198" i="6"/>
  <c r="V198" i="6"/>
  <c r="T198" i="6"/>
  <c r="S198" i="6"/>
  <c r="Q198" i="6"/>
  <c r="P198" i="6"/>
  <c r="W197" i="6"/>
  <c r="V197" i="6"/>
  <c r="T197" i="6"/>
  <c r="S197" i="6"/>
  <c r="Q197" i="6"/>
  <c r="P197" i="6"/>
  <c r="W196" i="6"/>
  <c r="V196" i="6"/>
  <c r="T196" i="6"/>
  <c r="S196" i="6"/>
  <c r="Q196" i="6"/>
  <c r="P196" i="6"/>
  <c r="W195" i="6"/>
  <c r="V195" i="6"/>
  <c r="T195" i="6"/>
  <c r="S195" i="6"/>
  <c r="Q195" i="6"/>
  <c r="P195" i="6"/>
  <c r="W194" i="6"/>
  <c r="V194" i="6"/>
  <c r="T194" i="6"/>
  <c r="S194" i="6"/>
  <c r="Q194" i="6"/>
  <c r="P194" i="6"/>
  <c r="W193" i="6"/>
  <c r="V193" i="6"/>
  <c r="T193" i="6"/>
  <c r="S193" i="6"/>
  <c r="Q193" i="6"/>
  <c r="P193" i="6"/>
  <c r="W192" i="6"/>
  <c r="V192" i="6"/>
  <c r="T192" i="6"/>
  <c r="S192" i="6"/>
  <c r="Q192" i="6"/>
  <c r="P192" i="6"/>
  <c r="W191" i="6"/>
  <c r="V191" i="6"/>
  <c r="T191" i="6"/>
  <c r="S191" i="6"/>
  <c r="Q191" i="6"/>
  <c r="P191" i="6"/>
  <c r="W190" i="6"/>
  <c r="V190" i="6"/>
  <c r="T190" i="6"/>
  <c r="S190" i="6"/>
  <c r="Q190" i="6"/>
  <c r="P190" i="6"/>
  <c r="W189" i="6"/>
  <c r="V189" i="6"/>
  <c r="T189" i="6"/>
  <c r="S189" i="6"/>
  <c r="Q189" i="6"/>
  <c r="P189" i="6"/>
  <c r="W188" i="6"/>
  <c r="V188" i="6"/>
  <c r="T188" i="6"/>
  <c r="S188" i="6"/>
  <c r="Q188" i="6"/>
  <c r="P188" i="6"/>
  <c r="W187" i="6"/>
  <c r="V187" i="6"/>
  <c r="T187" i="6"/>
  <c r="S187" i="6"/>
  <c r="Q187" i="6"/>
  <c r="P187" i="6"/>
  <c r="W186" i="6"/>
  <c r="V186" i="6"/>
  <c r="T186" i="6"/>
  <c r="S186" i="6"/>
  <c r="Q186" i="6"/>
  <c r="P186" i="6"/>
  <c r="W185" i="6"/>
  <c r="V185" i="6"/>
  <c r="T185" i="6"/>
  <c r="S185" i="6"/>
  <c r="Q185" i="6"/>
  <c r="P185" i="6"/>
  <c r="W184" i="6"/>
  <c r="V184" i="6"/>
  <c r="T184" i="6"/>
  <c r="S184" i="6"/>
  <c r="Q184" i="6"/>
  <c r="P184" i="6"/>
  <c r="W183" i="6"/>
  <c r="V183" i="6"/>
  <c r="T183" i="6"/>
  <c r="S183" i="6"/>
  <c r="Q183" i="6"/>
  <c r="P183" i="6"/>
  <c r="W182" i="6"/>
  <c r="V182" i="6"/>
  <c r="T182" i="6"/>
  <c r="S182" i="6"/>
  <c r="Q182" i="6"/>
  <c r="P182" i="6"/>
  <c r="W181" i="6"/>
  <c r="V181" i="6"/>
  <c r="T181" i="6"/>
  <c r="S181" i="6"/>
  <c r="Q181" i="6"/>
  <c r="P181" i="6"/>
  <c r="W180" i="6"/>
  <c r="V180" i="6"/>
  <c r="T180" i="6"/>
  <c r="S180" i="6"/>
  <c r="Q180" i="6"/>
  <c r="P180" i="6"/>
  <c r="W179" i="6"/>
  <c r="V179" i="6"/>
  <c r="T179" i="6"/>
  <c r="S179" i="6"/>
  <c r="Q179" i="6"/>
  <c r="P179" i="6"/>
  <c r="W178" i="6"/>
  <c r="V178" i="6"/>
  <c r="T178" i="6"/>
  <c r="S178" i="6"/>
  <c r="Q178" i="6"/>
  <c r="P178" i="6"/>
  <c r="W177" i="6"/>
  <c r="V177" i="6"/>
  <c r="T177" i="6"/>
  <c r="S177" i="6"/>
  <c r="Q177" i="6"/>
  <c r="P177" i="6"/>
  <c r="W176" i="6"/>
  <c r="V176" i="6"/>
  <c r="T176" i="6"/>
  <c r="S176" i="6"/>
  <c r="Q176" i="6"/>
  <c r="P176" i="6"/>
  <c r="W175" i="6"/>
  <c r="V175" i="6"/>
  <c r="T175" i="6"/>
  <c r="S175" i="6"/>
  <c r="Q175" i="6"/>
  <c r="P175" i="6"/>
  <c r="W174" i="6"/>
  <c r="V174" i="6"/>
  <c r="T174" i="6"/>
  <c r="S174" i="6"/>
  <c r="Q174" i="6"/>
  <c r="P174" i="6"/>
  <c r="W173" i="6"/>
  <c r="V173" i="6"/>
  <c r="T173" i="6"/>
  <c r="S173" i="6"/>
  <c r="Q173" i="6"/>
  <c r="P173" i="6"/>
  <c r="W172" i="6"/>
  <c r="V172" i="6"/>
  <c r="T172" i="6"/>
  <c r="S172" i="6"/>
  <c r="Q172" i="6"/>
  <c r="P172" i="6"/>
  <c r="W171" i="6"/>
  <c r="V171" i="6"/>
  <c r="T171" i="6"/>
  <c r="S171" i="6"/>
  <c r="Q171" i="6"/>
  <c r="P171" i="6"/>
  <c r="W170" i="6"/>
  <c r="V170" i="6"/>
  <c r="T170" i="6"/>
  <c r="S170" i="6"/>
  <c r="Q170" i="6"/>
  <c r="P170" i="6"/>
  <c r="W169" i="6"/>
  <c r="V169" i="6"/>
  <c r="T169" i="6"/>
  <c r="S169" i="6"/>
  <c r="Q169" i="6"/>
  <c r="P169" i="6"/>
  <c r="W168" i="6"/>
  <c r="V168" i="6"/>
  <c r="T168" i="6"/>
  <c r="S168" i="6"/>
  <c r="Q168" i="6"/>
  <c r="P168" i="6"/>
  <c r="W167" i="6"/>
  <c r="V167" i="6"/>
  <c r="T167" i="6"/>
  <c r="S167" i="6"/>
  <c r="Q167" i="6"/>
  <c r="P167" i="6"/>
  <c r="W166" i="6"/>
  <c r="V166" i="6"/>
  <c r="T166" i="6"/>
  <c r="S166" i="6"/>
  <c r="Q166" i="6"/>
  <c r="P166" i="6"/>
  <c r="W165" i="6"/>
  <c r="V165" i="6"/>
  <c r="T165" i="6"/>
  <c r="S165" i="6"/>
  <c r="Q165" i="6"/>
  <c r="P165" i="6"/>
  <c r="W164" i="6"/>
  <c r="V164" i="6"/>
  <c r="T164" i="6"/>
  <c r="S164" i="6"/>
  <c r="Q164" i="6"/>
  <c r="P164" i="6"/>
  <c r="W163" i="6"/>
  <c r="V163" i="6"/>
  <c r="T163" i="6"/>
  <c r="S163" i="6"/>
  <c r="Q163" i="6"/>
  <c r="P163" i="6"/>
  <c r="W162" i="6"/>
  <c r="V162" i="6"/>
  <c r="T162" i="6"/>
  <c r="S162" i="6"/>
  <c r="Q162" i="6"/>
  <c r="P162" i="6"/>
  <c r="W161" i="6"/>
  <c r="V161" i="6"/>
  <c r="T161" i="6"/>
  <c r="S161" i="6"/>
  <c r="Q161" i="6"/>
  <c r="P161" i="6"/>
  <c r="T160" i="6"/>
  <c r="S160" i="6"/>
  <c r="Q160" i="6"/>
  <c r="P160" i="6"/>
  <c r="T159" i="6"/>
  <c r="S159" i="6"/>
  <c r="Q159" i="6"/>
  <c r="P159" i="6"/>
  <c r="T158" i="6"/>
  <c r="S158" i="6"/>
  <c r="Q158" i="6"/>
  <c r="P158" i="6"/>
  <c r="T157" i="6"/>
  <c r="S157" i="6"/>
  <c r="Q157" i="6"/>
  <c r="P157" i="6"/>
  <c r="T156" i="6"/>
  <c r="S156" i="6"/>
  <c r="Q156" i="6"/>
  <c r="P156" i="6"/>
  <c r="T155" i="6"/>
  <c r="S155" i="6"/>
  <c r="Q155" i="6"/>
  <c r="P155" i="6"/>
  <c r="T154" i="6"/>
  <c r="S154" i="6"/>
  <c r="Q154" i="6"/>
  <c r="P154" i="6"/>
  <c r="T153" i="6"/>
  <c r="S153" i="6"/>
  <c r="Q153" i="6"/>
  <c r="P153" i="6"/>
  <c r="T152" i="6"/>
  <c r="S152" i="6"/>
  <c r="Q152" i="6"/>
  <c r="P152" i="6"/>
  <c r="T151" i="6"/>
  <c r="S151" i="6"/>
  <c r="Q151" i="6"/>
  <c r="P151" i="6"/>
  <c r="T150" i="6"/>
  <c r="S150" i="6"/>
  <c r="Q150" i="6"/>
  <c r="P150" i="6"/>
  <c r="T149" i="6"/>
  <c r="S149" i="6"/>
  <c r="Q149" i="6"/>
  <c r="P149" i="6"/>
  <c r="P186" i="5"/>
  <c r="O186" i="5"/>
  <c r="N186" i="5"/>
  <c r="P185" i="5"/>
  <c r="O185" i="5"/>
  <c r="N185" i="5"/>
  <c r="P184" i="5"/>
  <c r="O184" i="5"/>
  <c r="N184" i="5"/>
  <c r="P183" i="5"/>
  <c r="O183" i="5"/>
  <c r="N183" i="5"/>
  <c r="P182" i="5"/>
  <c r="O182" i="5"/>
  <c r="N182" i="5"/>
  <c r="P181" i="5"/>
  <c r="O181" i="5"/>
  <c r="N181" i="5"/>
  <c r="P180" i="5"/>
  <c r="O180" i="5"/>
  <c r="N180" i="5"/>
  <c r="P179" i="5"/>
  <c r="O179" i="5"/>
  <c r="N179" i="5"/>
  <c r="P178" i="5"/>
  <c r="O178" i="5"/>
  <c r="N178" i="5"/>
  <c r="P177" i="5"/>
  <c r="O177" i="5"/>
  <c r="N177" i="5"/>
  <c r="P176" i="5"/>
  <c r="O176" i="5"/>
  <c r="N176" i="5"/>
  <c r="P175" i="5"/>
  <c r="O175" i="5"/>
  <c r="N175" i="5"/>
  <c r="P174" i="5"/>
  <c r="O174" i="5"/>
  <c r="N174" i="5"/>
  <c r="P173" i="5"/>
  <c r="O173" i="5"/>
  <c r="N173" i="5"/>
  <c r="P140" i="5"/>
  <c r="O140" i="5"/>
  <c r="N140" i="5"/>
  <c r="P139" i="5"/>
  <c r="O139" i="5"/>
  <c r="N139" i="5"/>
  <c r="P138" i="5"/>
  <c r="O138" i="5"/>
  <c r="N138" i="5"/>
  <c r="P137" i="5"/>
  <c r="O137" i="5"/>
  <c r="N137" i="5"/>
  <c r="P136" i="5"/>
  <c r="O136" i="5"/>
  <c r="N136" i="5"/>
  <c r="P135" i="5"/>
  <c r="O135" i="5"/>
  <c r="N135" i="5"/>
  <c r="P134" i="5"/>
  <c r="O134" i="5"/>
  <c r="N134" i="5"/>
  <c r="P133" i="5"/>
  <c r="O133" i="5"/>
  <c r="N133" i="5"/>
  <c r="P132" i="5"/>
  <c r="O132" i="5"/>
  <c r="N132" i="5"/>
  <c r="P131" i="5"/>
  <c r="O131" i="5"/>
  <c r="N131" i="5"/>
  <c r="P130" i="5"/>
  <c r="O130" i="5"/>
  <c r="N130" i="5"/>
  <c r="P129" i="5"/>
  <c r="O129" i="5"/>
  <c r="N129" i="5"/>
  <c r="P128" i="5"/>
  <c r="O128" i="5"/>
  <c r="N128" i="5"/>
  <c r="BX123" i="4"/>
  <c r="BY123" i="4" s="1"/>
  <c r="BY122" i="4"/>
  <c r="BX122" i="4"/>
  <c r="BX121" i="4"/>
  <c r="BY121" i="4" s="1"/>
  <c r="BX120" i="4"/>
  <c r="BY120" i="4" s="1"/>
  <c r="BX119" i="4"/>
  <c r="BY119" i="4" s="1"/>
  <c r="BY118" i="4"/>
  <c r="BX118" i="4"/>
  <c r="BX117" i="4"/>
  <c r="BY117" i="4" s="1"/>
  <c r="BX116" i="4"/>
  <c r="BY116" i="4" s="1"/>
  <c r="BX115" i="4"/>
  <c r="BY115" i="4" s="1"/>
  <c r="BY114" i="4"/>
  <c r="BX114" i="4"/>
  <c r="BX113" i="4"/>
  <c r="BY113" i="4" s="1"/>
  <c r="BX112" i="4"/>
  <c r="BY112" i="4" s="1"/>
  <c r="BX111" i="4"/>
  <c r="BY111" i="4" s="1"/>
  <c r="BY110" i="4"/>
  <c r="BX110" i="4"/>
  <c r="BX109" i="4"/>
  <c r="BY109" i="4" s="1"/>
  <c r="BX108" i="4"/>
  <c r="BY108" i="4" s="1"/>
  <c r="BX107" i="4"/>
  <c r="BY107" i="4" s="1"/>
  <c r="BY106" i="4"/>
  <c r="BX106" i="4"/>
  <c r="BX105" i="4"/>
  <c r="BY105" i="4" s="1"/>
  <c r="BX104" i="4"/>
  <c r="BY104" i="4" s="1"/>
  <c r="BX103" i="4"/>
  <c r="BY103" i="4" s="1"/>
  <c r="BY102" i="4"/>
  <c r="BX102" i="4"/>
  <c r="BX101" i="4"/>
  <c r="BY101" i="4" s="1"/>
  <c r="BX100" i="4"/>
  <c r="BY100" i="4" s="1"/>
  <c r="BX99" i="4"/>
  <c r="BY99" i="4" s="1"/>
  <c r="BY98" i="4"/>
  <c r="BX98" i="4"/>
  <c r="BX97" i="4"/>
  <c r="BY97" i="4" s="1"/>
  <c r="BX96" i="4"/>
  <c r="BY96" i="4" s="1"/>
  <c r="BX95" i="4"/>
  <c r="BY95" i="4" s="1"/>
  <c r="BY94" i="4"/>
  <c r="BX94" i="4"/>
  <c r="BX93" i="4"/>
  <c r="BY93" i="4" s="1"/>
  <c r="BX92" i="4"/>
  <c r="BY92" i="4" s="1"/>
  <c r="BX91" i="4"/>
  <c r="BY91" i="4" s="1"/>
  <c r="BY90" i="4"/>
  <c r="BX90" i="4"/>
  <c r="BX89" i="4"/>
  <c r="BY89" i="4" s="1"/>
  <c r="BX88" i="4"/>
  <c r="BY88" i="4" s="1"/>
  <c r="BX87" i="4"/>
  <c r="BY87" i="4" s="1"/>
  <c r="BY86" i="4"/>
  <c r="BX86" i="4"/>
  <c r="BX85" i="4"/>
  <c r="BY85" i="4" s="1"/>
  <c r="BX84" i="4"/>
  <c r="BY84" i="4" s="1"/>
  <c r="BX83" i="4"/>
  <c r="BY83" i="4" s="1"/>
  <c r="BY82" i="4"/>
  <c r="BX82" i="4"/>
  <c r="BX81" i="4"/>
  <c r="BY81" i="4" s="1"/>
  <c r="BX80" i="4"/>
  <c r="BY80" i="4" s="1"/>
  <c r="BX79" i="4"/>
  <c r="BY79" i="4" s="1"/>
  <c r="BY78" i="4"/>
  <c r="BX78" i="4"/>
  <c r="BX77" i="4"/>
  <c r="BY77" i="4" s="1"/>
  <c r="T38" i="4"/>
  <c r="T37" i="4"/>
  <c r="T36" i="4"/>
  <c r="T35" i="4"/>
  <c r="T34" i="4"/>
  <c r="T33" i="4"/>
  <c r="T32" i="4"/>
  <c r="T31" i="4"/>
  <c r="T30" i="4"/>
  <c r="T29" i="4"/>
  <c r="T28" i="4"/>
  <c r="T27" i="4"/>
  <c r="T26" i="4"/>
  <c r="T25" i="4"/>
  <c r="T24" i="4"/>
  <c r="T23" i="4"/>
  <c r="T22" i="4"/>
  <c r="T21" i="4"/>
  <c r="T20" i="4"/>
  <c r="T19" i="4"/>
  <c r="T18" i="4"/>
  <c r="T17" i="4"/>
  <c r="T16" i="4"/>
  <c r="T15" i="4"/>
  <c r="T14" i="4"/>
  <c r="T13" i="4"/>
  <c r="T12" i="4"/>
  <c r="T11" i="4"/>
  <c r="T10" i="4"/>
  <c r="T9" i="4"/>
  <c r="T8" i="4"/>
  <c r="T7" i="4"/>
  <c r="T6" i="4"/>
  <c r="T5" i="4"/>
  <c r="T4" i="4"/>
  <c r="T3" i="4"/>
  <c r="GL163" i="2"/>
  <c r="FR138" i="2"/>
  <c r="FP133" i="2"/>
  <c r="GO124" i="2" a="1"/>
  <c r="GO124" i="2" s="1"/>
  <c r="FV108" i="2"/>
  <c r="FQ108" i="2"/>
  <c r="GD99" i="2" a="1"/>
  <c r="GD99" i="2" s="1"/>
  <c r="EM69" i="2"/>
  <c r="EL69" i="2"/>
  <c r="EK69" i="2"/>
  <c r="EJ69" i="2"/>
  <c r="EI69" i="2"/>
  <c r="DX69" i="2"/>
  <c r="DD69" i="2"/>
  <c r="DC69" i="2"/>
  <c r="DB69" i="2"/>
  <c r="DA69" i="2"/>
  <c r="CZ69" i="2"/>
  <c r="CY69" i="2"/>
  <c r="CX69" i="2"/>
  <c r="CW69" i="2"/>
  <c r="CV69" i="2"/>
  <c r="CU69" i="2"/>
  <c r="CT69" i="2"/>
  <c r="CS69" i="2"/>
  <c r="CR69" i="2"/>
  <c r="CQ69" i="2"/>
  <c r="CP69" i="2"/>
  <c r="H69" i="2"/>
  <c r="G69" i="2"/>
  <c r="HA68" i="2"/>
  <c r="GE68" i="2"/>
  <c r="GC68" i="2"/>
  <c r="DG68" i="2"/>
  <c r="DF68" i="2"/>
  <c r="DE68" i="2"/>
  <c r="DD68" i="2"/>
  <c r="BY68" i="2"/>
  <c r="BW68" i="2"/>
  <c r="BV68" i="2"/>
  <c r="BR68" i="2"/>
  <c r="BU68" i="2" s="1"/>
  <c r="BQ68" i="2"/>
  <c r="BO68" i="2"/>
  <c r="BN68" i="2"/>
  <c r="BJ68" i="2"/>
  <c r="BI68" i="2"/>
  <c r="AO68" i="2"/>
  <c r="AN68" i="2" a="1"/>
  <c r="AN68" i="2" s="1"/>
  <c r="I68" i="2" a="1"/>
  <c r="I68" i="2" s="1"/>
  <c r="E68" i="2"/>
  <c r="BM68" i="2" s="1"/>
  <c r="HF67" i="2"/>
  <c r="HA67" i="2"/>
  <c r="GH67" i="2"/>
  <c r="GG67" i="2"/>
  <c r="GF67" i="2"/>
  <c r="GE67" i="2"/>
  <c r="GD67" i="2"/>
  <c r="GC67" i="2"/>
  <c r="GB67" i="2"/>
  <c r="GA67" i="2"/>
  <c r="FZ67" i="2"/>
  <c r="FY67" i="2"/>
  <c r="FX67" i="2"/>
  <c r="FW67" i="2"/>
  <c r="FV67" i="2"/>
  <c r="FU67" i="2"/>
  <c r="FT67" i="2"/>
  <c r="FS67" i="2"/>
  <c r="FR67" i="2"/>
  <c r="FQ67" i="2"/>
  <c r="FP67" i="2"/>
  <c r="FO67" i="2"/>
  <c r="FX68" i="2" s="1"/>
  <c r="FA67" i="2"/>
  <c r="EX67" i="2"/>
  <c r="EW67" i="2"/>
  <c r="EV67" i="2"/>
  <c r="EU67" i="2"/>
  <c r="ET67" i="2"/>
  <c r="ES67" i="2"/>
  <c r="EP67" i="2"/>
  <c r="EO67" i="2"/>
  <c r="EN67" i="2"/>
  <c r="EM67" i="2"/>
  <c r="EL67" i="2"/>
  <c r="EK67" i="2"/>
  <c r="EI67" i="2"/>
  <c r="EH67" i="2"/>
  <c r="ED67" i="2"/>
  <c r="EC67" i="2"/>
  <c r="EA67" i="2"/>
  <c r="DZ67" i="2"/>
  <c r="DN67" i="2"/>
  <c r="DL67" i="2"/>
  <c r="DK67" i="2"/>
  <c r="DM67" i="2" s="1"/>
  <c r="DG67" i="2"/>
  <c r="DF67" i="2"/>
  <c r="DE67" i="2"/>
  <c r="CZ67" i="2" a="1"/>
  <c r="CZ67" i="2" s="1"/>
  <c r="CW67" i="2" a="1"/>
  <c r="CW67" i="2" s="1"/>
  <c r="CV67" i="2" a="1"/>
  <c r="CV67" i="2" s="1"/>
  <c r="CT67" i="2"/>
  <c r="CR67" i="2"/>
  <c r="F68" i="2" s="1"/>
  <c r="CP67" i="2"/>
  <c r="BY67" i="2"/>
  <c r="BX67" i="2"/>
  <c r="BW67" i="2"/>
  <c r="BV67" i="2"/>
  <c r="BU67" i="2"/>
  <c r="BR67" i="2"/>
  <c r="CB67" i="2" s="1"/>
  <c r="BQ67" i="2"/>
  <c r="BP67" i="2"/>
  <c r="BO67" i="2"/>
  <c r="DA67" i="2" s="1" a="1"/>
  <c r="DA67" i="2" s="1"/>
  <c r="BN67" i="2"/>
  <c r="BM67" i="2"/>
  <c r="CY67" i="2" s="1" a="1"/>
  <c r="CY67" i="2" s="1"/>
  <c r="BK67" i="2"/>
  <c r="BJ67" i="2"/>
  <c r="BI67" i="2"/>
  <c r="CU67" i="2" s="1" a="1"/>
  <c r="CU67" i="2" s="1"/>
  <c r="BG67" i="2" a="1"/>
  <c r="BG67" i="2" s="1"/>
  <c r="H67" i="2"/>
  <c r="G67" i="2"/>
  <c r="HA66" i="2"/>
  <c r="GD66" i="2"/>
  <c r="FW66" i="2"/>
  <c r="FV66" i="2"/>
  <c r="FO66" i="2"/>
  <c r="DG66" i="2"/>
  <c r="DF66" i="2"/>
  <c r="DE66" i="2"/>
  <c r="DD66" i="2"/>
  <c r="CB66" i="2"/>
  <c r="BY66" i="2"/>
  <c r="BR66" i="2"/>
  <c r="BQ66" i="2"/>
  <c r="BL66" i="2"/>
  <c r="BJ66" i="2"/>
  <c r="BI66" i="2"/>
  <c r="AO66" i="2"/>
  <c r="E66" i="2"/>
  <c r="BP66" i="2" s="1"/>
  <c r="HF65" i="2"/>
  <c r="HA65" i="2"/>
  <c r="GH65" i="2"/>
  <c r="GG65" i="2"/>
  <c r="GG66" i="2" s="1"/>
  <c r="GF65" i="2"/>
  <c r="GE65" i="2"/>
  <c r="GD65" i="2"/>
  <c r="GC65" i="2"/>
  <c r="GC66" i="2" s="1"/>
  <c r="GB65" i="2"/>
  <c r="GA65" i="2"/>
  <c r="GA66" i="2" s="1"/>
  <c r="FZ65" i="2"/>
  <c r="FY65" i="2"/>
  <c r="FY66" i="2" s="1"/>
  <c r="FX65" i="2"/>
  <c r="FW65" i="2"/>
  <c r="FV65" i="2"/>
  <c r="FU65" i="2"/>
  <c r="FU66" i="2" s="1"/>
  <c r="FT65" i="2"/>
  <c r="FS65" i="2"/>
  <c r="FS66" i="2" s="1"/>
  <c r="FR65" i="2"/>
  <c r="FQ65" i="2"/>
  <c r="FP65" i="2"/>
  <c r="FO65" i="2"/>
  <c r="EY65" i="2"/>
  <c r="EX65" i="2"/>
  <c r="EW65" i="2"/>
  <c r="EV65" i="2"/>
  <c r="EQ65" i="2"/>
  <c r="EP65" i="2"/>
  <c r="EO65" i="2"/>
  <c r="EN65" i="2"/>
  <c r="EI65" i="2"/>
  <c r="EH65" i="2"/>
  <c r="ED65" i="2"/>
  <c r="EC65" i="2"/>
  <c r="DN65" i="2"/>
  <c r="DL65" i="2"/>
  <c r="DK65" i="2"/>
  <c r="CU65" i="2" a="1"/>
  <c r="CU65" i="2" s="1"/>
  <c r="CT65" i="2"/>
  <c r="CR65" i="2"/>
  <c r="F66" i="2" s="1"/>
  <c r="CP65" i="2"/>
  <c r="CA65" i="2"/>
  <c r="BY65" i="2"/>
  <c r="BX65" i="2"/>
  <c r="BS65" i="2"/>
  <c r="BR65" i="2"/>
  <c r="BW65" i="2" s="1"/>
  <c r="BQ65" i="2"/>
  <c r="BP65" i="2"/>
  <c r="DC65" i="2" s="1" a="1"/>
  <c r="DC65" i="2" s="1"/>
  <c r="BK65" i="2"/>
  <c r="CW65" i="2" s="1" a="1"/>
  <c r="CW65" i="2" s="1"/>
  <c r="BJ65" i="2"/>
  <c r="CV65" i="2" s="1" a="1"/>
  <c r="CV65" i="2" s="1"/>
  <c r="BI65" i="2"/>
  <c r="BG65" i="2" a="1"/>
  <c r="BG65" i="2" s="1"/>
  <c r="G65" i="2"/>
  <c r="HA64" i="2"/>
  <c r="HA63" i="2" s="1"/>
  <c r="FT64" i="2"/>
  <c r="FR64" i="2"/>
  <c r="DG64" i="2"/>
  <c r="DF64" i="2"/>
  <c r="DE64" i="2"/>
  <c r="DD64" i="2"/>
  <c r="CB64" i="2"/>
  <c r="BY64" i="2"/>
  <c r="BX64" i="2"/>
  <c r="BW64" i="2"/>
  <c r="BV64" i="2"/>
  <c r="BU64" i="2"/>
  <c r="BT64" i="2"/>
  <c r="BR64" i="2"/>
  <c r="CA64" i="2" s="1"/>
  <c r="BQ64" i="2"/>
  <c r="BP64" i="2"/>
  <c r="BO64" i="2"/>
  <c r="BN64" i="2"/>
  <c r="BM64" i="2"/>
  <c r="BL64" i="2"/>
  <c r="BJ64" i="2"/>
  <c r="BI64" i="2"/>
  <c r="AO64" i="2"/>
  <c r="AN64" i="2" a="1"/>
  <c r="AN64" i="2" s="1"/>
  <c r="I64" i="2" a="1"/>
  <c r="I64" i="2" s="1"/>
  <c r="H63" i="2" s="1"/>
  <c r="H64" i="2"/>
  <c r="F64" i="2"/>
  <c r="E64" i="2"/>
  <c r="BK64" i="2" s="1"/>
  <c r="HF63" i="2"/>
  <c r="GH63" i="2"/>
  <c r="GG63" i="2"/>
  <c r="GF63" i="2"/>
  <c r="GE63" i="2"/>
  <c r="GD63" i="2"/>
  <c r="GC63" i="2"/>
  <c r="GB63" i="2"/>
  <c r="GB64" i="2" s="1"/>
  <c r="GA63" i="2"/>
  <c r="FZ63" i="2"/>
  <c r="FY63" i="2"/>
  <c r="FX63" i="2"/>
  <c r="FW63" i="2"/>
  <c r="FV63" i="2"/>
  <c r="FU63" i="2"/>
  <c r="FT63" i="2"/>
  <c r="FS63" i="2"/>
  <c r="FR63" i="2"/>
  <c r="FQ63" i="2"/>
  <c r="FP63" i="2"/>
  <c r="FO63" i="2"/>
  <c r="FA63" i="2"/>
  <c r="EZ63" i="2"/>
  <c r="EY63" i="2"/>
  <c r="EY64" i="2" s="1"/>
  <c r="EX63" i="2"/>
  <c r="EW63" i="2"/>
  <c r="EV63" i="2"/>
  <c r="EU63" i="2"/>
  <c r="ET63" i="2"/>
  <c r="ES63" i="2"/>
  <c r="ER63" i="2"/>
  <c r="EQ63" i="2"/>
  <c r="EQ64" i="2" s="1"/>
  <c r="EP63" i="2"/>
  <c r="EO63" i="2"/>
  <c r="EN63" i="2"/>
  <c r="EM63" i="2"/>
  <c r="EL63" i="2"/>
  <c r="EK63" i="2"/>
  <c r="EJ63" i="2"/>
  <c r="FA64" i="2" s="1"/>
  <c r="EI63" i="2"/>
  <c r="EX64" i="2" s="1"/>
  <c r="EH63" i="2"/>
  <c r="EC63" i="2"/>
  <c r="ED63" i="2" s="1"/>
  <c r="EA63" i="2"/>
  <c r="DZ63" i="2"/>
  <c r="DN63" i="2"/>
  <c r="DL63" i="2"/>
  <c r="DK63" i="2"/>
  <c r="DM63" i="2" s="1"/>
  <c r="DG63" i="2"/>
  <c r="DF63" i="2"/>
  <c r="DE63" i="2"/>
  <c r="DD63" i="2"/>
  <c r="DC63" i="2" a="1"/>
  <c r="DC63" i="2" s="1"/>
  <c r="CY63" i="2" a="1"/>
  <c r="CY63" i="2" s="1"/>
  <c r="CV63" i="2" a="1"/>
  <c r="CV63" i="2" s="1"/>
  <c r="CU63" i="2" a="1"/>
  <c r="CU63" i="2" s="1"/>
  <c r="CT63" i="2"/>
  <c r="CR63" i="2"/>
  <c r="CP63" i="2"/>
  <c r="CB63" i="2"/>
  <c r="CA63" i="2"/>
  <c r="BY63" i="2"/>
  <c r="BX63" i="2"/>
  <c r="BW63" i="2"/>
  <c r="BV63" i="2"/>
  <c r="BU63" i="2"/>
  <c r="BT63" i="2"/>
  <c r="BS63" i="2"/>
  <c r="BR63" i="2"/>
  <c r="BZ63" i="2" s="1"/>
  <c r="BQ63" i="2"/>
  <c r="BP63" i="2"/>
  <c r="DB63" i="2" s="1" a="1"/>
  <c r="DB63" i="2" s="1"/>
  <c r="BO63" i="2"/>
  <c r="DA63" i="2" s="1" a="1"/>
  <c r="DA63" i="2" s="1"/>
  <c r="BN63" i="2"/>
  <c r="CZ63" i="2" s="1" a="1"/>
  <c r="CZ63" i="2" s="1"/>
  <c r="BM63" i="2"/>
  <c r="BL63" i="2"/>
  <c r="CX63" i="2" s="1" a="1"/>
  <c r="CX63" i="2" s="1"/>
  <c r="BK63" i="2"/>
  <c r="CW63" i="2" s="1" a="1"/>
  <c r="CW63" i="2" s="1"/>
  <c r="BJ63" i="2"/>
  <c r="BI63" i="2"/>
  <c r="BG63" i="2" a="1"/>
  <c r="BG63" i="2" s="1"/>
  <c r="G63" i="2"/>
  <c r="HA62" i="2"/>
  <c r="DG62" i="2"/>
  <c r="DF62" i="2"/>
  <c r="DE62" i="2"/>
  <c r="DD62" i="2"/>
  <c r="BZ62" i="2"/>
  <c r="BW62" i="2"/>
  <c r="BR62" i="2"/>
  <c r="BQ62" i="2"/>
  <c r="BP62" i="2"/>
  <c r="BO62" i="2"/>
  <c r="BL62" i="2"/>
  <c r="BJ62" i="2"/>
  <c r="BI62" i="2"/>
  <c r="AO62" i="2"/>
  <c r="AN62" i="2" a="1"/>
  <c r="AN62" i="2" s="1"/>
  <c r="AJ62" i="2"/>
  <c r="AH62" i="2"/>
  <c r="I62" i="2" a="1"/>
  <c r="I62" i="2" s="1"/>
  <c r="E62" i="2"/>
  <c r="BN62" i="2" s="1"/>
  <c r="HF61" i="2"/>
  <c r="HA61" i="2"/>
  <c r="GH61" i="2"/>
  <c r="GG61" i="2"/>
  <c r="GF61" i="2"/>
  <c r="GE61" i="2"/>
  <c r="GD61" i="2"/>
  <c r="GC61" i="2"/>
  <c r="GB61" i="2"/>
  <c r="GA61" i="2"/>
  <c r="FZ61" i="2"/>
  <c r="FZ62" i="2" s="1"/>
  <c r="FY61" i="2"/>
  <c r="FX61" i="2"/>
  <c r="FW61" i="2"/>
  <c r="FV61" i="2"/>
  <c r="FU61" i="2"/>
  <c r="FT61" i="2"/>
  <c r="FS61" i="2"/>
  <c r="FR61" i="2"/>
  <c r="FQ61" i="2"/>
  <c r="FP61" i="2"/>
  <c r="FO61" i="2"/>
  <c r="EY61" i="2"/>
  <c r="EX61" i="2"/>
  <c r="EW61" i="2"/>
  <c r="EV61" i="2"/>
  <c r="EU61" i="2"/>
  <c r="ET61" i="2"/>
  <c r="EQ61" i="2"/>
  <c r="EP61" i="2"/>
  <c r="EO61" i="2"/>
  <c r="EN61" i="2"/>
  <c r="EM61" i="2"/>
  <c r="EL61" i="2"/>
  <c r="EI61" i="2"/>
  <c r="EH61" i="2"/>
  <c r="EC61" i="2"/>
  <c r="ED61" i="2" s="1"/>
  <c r="EA61" i="2"/>
  <c r="DN61" i="2"/>
  <c r="DL61" i="2"/>
  <c r="DK61" i="2"/>
  <c r="DM61" i="2" s="1"/>
  <c r="DG61" i="2"/>
  <c r="DF61" i="2"/>
  <c r="DB61" i="2" a="1"/>
  <c r="DB61" i="2" s="1"/>
  <c r="CW61" i="2" a="1"/>
  <c r="CW61" i="2" s="1"/>
  <c r="CT61" i="2"/>
  <c r="CR61" i="2"/>
  <c r="F62" i="2" s="1"/>
  <c r="CP61" i="2"/>
  <c r="CA61" i="2"/>
  <c r="BY61" i="2"/>
  <c r="BX61" i="2"/>
  <c r="BW61" i="2"/>
  <c r="BV61" i="2"/>
  <c r="BS61" i="2"/>
  <c r="BR61" i="2"/>
  <c r="BU61" i="2" s="1"/>
  <c r="BQ61" i="2"/>
  <c r="BP61" i="2"/>
  <c r="DC61" i="2" s="1" a="1"/>
  <c r="DC61" i="2" s="1"/>
  <c r="BO61" i="2"/>
  <c r="DA61" i="2" s="1" a="1"/>
  <c r="DA61" i="2" s="1"/>
  <c r="BN61" i="2"/>
  <c r="CZ61" i="2" s="1" a="1"/>
  <c r="CZ61" i="2" s="1"/>
  <c r="BK61" i="2"/>
  <c r="BJ61" i="2"/>
  <c r="CV61" i="2" s="1" a="1"/>
  <c r="CV61" i="2" s="1"/>
  <c r="BI61" i="2"/>
  <c r="CU61" i="2" s="1" a="1"/>
  <c r="CU61" i="2" s="1"/>
  <c r="BG61" i="2" a="1"/>
  <c r="BG61" i="2"/>
  <c r="H61" i="2"/>
  <c r="G61" i="2"/>
  <c r="HA60" i="2"/>
  <c r="HA59" i="2" s="1"/>
  <c r="FR60" i="2"/>
  <c r="DG60" i="2"/>
  <c r="DF60" i="2"/>
  <c r="DE60" i="2"/>
  <c r="DD60" i="2"/>
  <c r="BK60" i="2"/>
  <c r="BJ60" i="2"/>
  <c r="AO60" i="2"/>
  <c r="E60" i="2"/>
  <c r="DD59" i="2" s="1"/>
  <c r="HF59" i="2"/>
  <c r="GH59" i="2"/>
  <c r="GG59" i="2"/>
  <c r="GF59" i="2"/>
  <c r="GE59" i="2"/>
  <c r="GD59" i="2"/>
  <c r="GC59" i="2"/>
  <c r="GB59" i="2"/>
  <c r="GA59" i="2"/>
  <c r="FZ59" i="2"/>
  <c r="FY59" i="2"/>
  <c r="FX59" i="2"/>
  <c r="FW59" i="2"/>
  <c r="FV59" i="2"/>
  <c r="FU59" i="2"/>
  <c r="FW60" i="2" s="1"/>
  <c r="FT59" i="2"/>
  <c r="FS59" i="2"/>
  <c r="FR59" i="2"/>
  <c r="FQ59" i="2"/>
  <c r="FP59" i="2"/>
  <c r="FO59" i="2"/>
  <c r="EX59" i="2"/>
  <c r="EC59" i="2"/>
  <c r="ED59" i="2" s="1"/>
  <c r="CT59" i="2"/>
  <c r="CR59" i="2"/>
  <c r="CP59" i="2"/>
  <c r="BQ59" i="2"/>
  <c r="BL59" i="2"/>
  <c r="CX59" i="2" s="1" a="1"/>
  <c r="CX59" i="2" s="1"/>
  <c r="BG59" i="2" a="1"/>
  <c r="BG59" i="2" s="1"/>
  <c r="G59" i="2"/>
  <c r="HA58" i="2"/>
  <c r="HA57" i="2" s="1"/>
  <c r="DG58" i="2"/>
  <c r="DF58" i="2"/>
  <c r="DE58" i="2"/>
  <c r="DD58" i="2"/>
  <c r="CL58" i="2"/>
  <c r="CI58" i="2"/>
  <c r="CG58" i="2"/>
  <c r="CF58" i="2"/>
  <c r="CE58" i="2"/>
  <c r="CD58" i="2"/>
  <c r="CA58" i="2"/>
  <c r="BY58" i="2"/>
  <c r="BX58" i="2"/>
  <c r="BW58" i="2"/>
  <c r="BV58" i="2"/>
  <c r="BS58" i="2"/>
  <c r="BQ58" i="2"/>
  <c r="BP58" i="2"/>
  <c r="BO58" i="2"/>
  <c r="BN58" i="2"/>
  <c r="BK58" i="2"/>
  <c r="BI58" i="2"/>
  <c r="AN58" i="2" a="1"/>
  <c r="AN58" i="2" s="1"/>
  <c r="I58" i="2" a="1"/>
  <c r="I58" i="2" s="1"/>
  <c r="AO58" i="2" s="1"/>
  <c r="E58" i="2"/>
  <c r="HF57" i="2"/>
  <c r="FK57" i="2"/>
  <c r="FJ57" i="2"/>
  <c r="FI57" i="2"/>
  <c r="FH57" i="2"/>
  <c r="FE57" i="2"/>
  <c r="FD57" i="2"/>
  <c r="FC57" i="2"/>
  <c r="FB57" i="2"/>
  <c r="FA57" i="2"/>
  <c r="EZ57" i="2"/>
  <c r="EW57" i="2"/>
  <c r="EV57" i="2"/>
  <c r="EU57" i="2"/>
  <c r="ET57" i="2"/>
  <c r="ES57" i="2"/>
  <c r="ER57" i="2"/>
  <c r="EO57" i="2"/>
  <c r="EN57" i="2"/>
  <c r="EM57" i="2"/>
  <c r="EL57" i="2"/>
  <c r="EK57" i="2"/>
  <c r="EJ57" i="2"/>
  <c r="EC57" i="2"/>
  <c r="ED57" i="2" s="1"/>
  <c r="EA57" i="2"/>
  <c r="DZ57" i="2"/>
  <c r="DL57" i="2"/>
  <c r="DK57" i="2"/>
  <c r="DM57" i="2" s="1"/>
  <c r="DG57" i="2"/>
  <c r="DF57" i="2"/>
  <c r="DE57" i="2"/>
  <c r="DD57" i="2"/>
  <c r="CW57" i="2" a="1"/>
  <c r="CW57" i="2" s="1"/>
  <c r="CV57" i="2" a="1"/>
  <c r="CV57" i="2" s="1"/>
  <c r="CT57" i="2"/>
  <c r="CS57" i="2"/>
  <c r="CR57" i="2"/>
  <c r="F58" i="2" s="1"/>
  <c r="CP57" i="2"/>
  <c r="BR57" i="2"/>
  <c r="BQ57" i="2"/>
  <c r="BP57" i="2"/>
  <c r="BO57" i="2"/>
  <c r="DA57" i="2" s="1" a="1"/>
  <c r="DA57" i="2" s="1"/>
  <c r="BL57" i="2"/>
  <c r="CX57" i="2" s="1" a="1"/>
  <c r="CX57" i="2" s="1"/>
  <c r="BK57" i="2"/>
  <c r="BJ57" i="2"/>
  <c r="BI57" i="2"/>
  <c r="CU57" i="2" s="1" a="1"/>
  <c r="CU57" i="2" s="1"/>
  <c r="BG57" i="2" a="1"/>
  <c r="BG57" i="2"/>
  <c r="G57" i="2"/>
  <c r="HA56" i="2"/>
  <c r="DG56" i="2"/>
  <c r="DF56" i="2"/>
  <c r="DE56" i="2"/>
  <c r="DD56" i="2"/>
  <c r="CL56" i="2"/>
  <c r="CK56" i="2"/>
  <c r="CF56" i="2"/>
  <c r="CE56" i="2"/>
  <c r="CD56" i="2"/>
  <c r="CC56" i="2"/>
  <c r="BX56" i="2"/>
  <c r="BW56" i="2"/>
  <c r="BV56" i="2"/>
  <c r="BU56" i="2"/>
  <c r="BP56" i="2"/>
  <c r="BO56" i="2"/>
  <c r="BN56" i="2"/>
  <c r="BM56" i="2"/>
  <c r="AN56" i="2" a="1"/>
  <c r="AN56" i="2" s="1"/>
  <c r="I56" i="2" a="1"/>
  <c r="I56" i="2"/>
  <c r="AO56" i="2" s="1"/>
  <c r="E56" i="2"/>
  <c r="CG56" i="2" s="1"/>
  <c r="HA55" i="2"/>
  <c r="FJ55" i="2"/>
  <c r="FI55" i="2"/>
  <c r="FH55" i="2"/>
  <c r="FG55" i="2"/>
  <c r="FD55" i="2"/>
  <c r="FB55" i="2"/>
  <c r="FA55" i="2"/>
  <c r="EZ55" i="2"/>
  <c r="EY55" i="2"/>
  <c r="EV55" i="2"/>
  <c r="ET55" i="2"/>
  <c r="ES55" i="2"/>
  <c r="ER55" i="2"/>
  <c r="EQ55" i="2"/>
  <c r="EN55" i="2"/>
  <c r="EL55" i="2"/>
  <c r="EK55" i="2"/>
  <c r="EJ55" i="2"/>
  <c r="EI55" i="2"/>
  <c r="ED55" i="2"/>
  <c r="EC55" i="2"/>
  <c r="EA55" i="2"/>
  <c r="DZ55" i="2"/>
  <c r="DN55" i="2"/>
  <c r="DK55" i="2"/>
  <c r="DF55" i="2"/>
  <c r="DE55" i="2"/>
  <c r="DD55" i="2"/>
  <c r="DC55" i="2" a="1"/>
  <c r="DC55" i="2" s="1"/>
  <c r="CZ55" i="2" a="1"/>
  <c r="CZ55" i="2" s="1"/>
  <c r="CU55" i="2" a="1"/>
  <c r="CU55" i="2" s="1"/>
  <c r="CT55" i="2"/>
  <c r="CS55" i="2"/>
  <c r="CR55" i="2"/>
  <c r="F56" i="2" s="1"/>
  <c r="CS56" i="2" s="1"/>
  <c r="CP55" i="2"/>
  <c r="BQ55" i="2"/>
  <c r="BP55" i="2"/>
  <c r="DB55" i="2" s="1" a="1"/>
  <c r="DB55" i="2" s="1"/>
  <c r="BO55" i="2"/>
  <c r="DA55" i="2" s="1" a="1"/>
  <c r="DA55" i="2" s="1"/>
  <c r="BN55" i="2"/>
  <c r="BK55" i="2"/>
  <c r="CW55" i="2" s="1" a="1"/>
  <c r="CW55" i="2" s="1"/>
  <c r="BI55" i="2"/>
  <c r="BG55" i="2" a="1"/>
  <c r="BG55" i="2" s="1"/>
  <c r="G55" i="2"/>
  <c r="HA54" i="2"/>
  <c r="DG54" i="2"/>
  <c r="DF54" i="2"/>
  <c r="DE54" i="2"/>
  <c r="DD54" i="2"/>
  <c r="CL54" i="2"/>
  <c r="CK54" i="2"/>
  <c r="CJ54" i="2"/>
  <c r="CG54" i="2"/>
  <c r="CF54" i="2"/>
  <c r="CE54" i="2"/>
  <c r="CD54" i="2"/>
  <c r="CC54" i="2"/>
  <c r="CB54" i="2"/>
  <c r="BY54" i="2"/>
  <c r="BX54" i="2"/>
  <c r="BW54" i="2"/>
  <c r="BV54" i="2"/>
  <c r="BU54" i="2"/>
  <c r="BT54" i="2"/>
  <c r="BQ54" i="2"/>
  <c r="BP54" i="2"/>
  <c r="BO54" i="2"/>
  <c r="BN54" i="2"/>
  <c r="BM54" i="2"/>
  <c r="BL54" i="2"/>
  <c r="BI54" i="2"/>
  <c r="AN54" i="2" a="1"/>
  <c r="AN54" i="2" s="1"/>
  <c r="I54" i="2" a="1"/>
  <c r="I54" i="2" s="1"/>
  <c r="H54" i="2"/>
  <c r="E54" i="2"/>
  <c r="GG158" i="2" s="1"/>
  <c r="HF53" i="2"/>
  <c r="HA53" i="2"/>
  <c r="FK53" i="2"/>
  <c r="FJ53" i="2"/>
  <c r="FI53" i="2"/>
  <c r="FH53" i="2"/>
  <c r="FG53" i="2"/>
  <c r="FF53" i="2"/>
  <c r="FD53" i="2"/>
  <c r="FC53" i="2"/>
  <c r="FB53" i="2"/>
  <c r="FA53" i="2"/>
  <c r="EZ53" i="2"/>
  <c r="EY53" i="2"/>
  <c r="EX53" i="2"/>
  <c r="EV53" i="2"/>
  <c r="EU53" i="2"/>
  <c r="ET53" i="2"/>
  <c r="ES53" i="2"/>
  <c r="ER53" i="2"/>
  <c r="EQ53" i="2"/>
  <c r="EP53" i="2"/>
  <c r="EN53" i="2"/>
  <c r="EM53" i="2"/>
  <c r="EL53" i="2"/>
  <c r="EK53" i="2"/>
  <c r="EJ53" i="2"/>
  <c r="EI53" i="2"/>
  <c r="EH53" i="2"/>
  <c r="EC53" i="2"/>
  <c r="ED53" i="2" s="1"/>
  <c r="EA53" i="2"/>
  <c r="DZ53" i="2"/>
  <c r="DN53" i="2"/>
  <c r="DK53" i="2"/>
  <c r="DG53" i="2"/>
  <c r="DF53" i="2"/>
  <c r="DE53" i="2"/>
  <c r="DD53" i="2"/>
  <c r="DC53" i="2" a="1"/>
  <c r="DC53" i="2" s="1"/>
  <c r="CZ53" i="2" a="1"/>
  <c r="CZ53" i="2" s="1"/>
  <c r="CY53" i="2" a="1"/>
  <c r="CY53" i="2" s="1"/>
  <c r="CW53" i="2" a="1"/>
  <c r="CW53" i="2" s="1"/>
  <c r="CV53" i="2" a="1"/>
  <c r="CV53" i="2" s="1"/>
  <c r="CU53" i="2" a="1"/>
  <c r="CU53" i="2"/>
  <c r="CT53" i="2"/>
  <c r="CS53" i="2"/>
  <c r="CR53" i="2"/>
  <c r="F54" i="2" s="1"/>
  <c r="CS54" i="2" s="1"/>
  <c r="CP53" i="2"/>
  <c r="CH53" i="2"/>
  <c r="CE53" i="2"/>
  <c r="CD53" i="2"/>
  <c r="BR53" i="2"/>
  <c r="BQ53" i="2"/>
  <c r="BP53" i="2"/>
  <c r="DB53" i="2" s="1" a="1"/>
  <c r="DB53" i="2" s="1"/>
  <c r="BO53" i="2"/>
  <c r="DA53" i="2" s="1" a="1"/>
  <c r="DA53" i="2" s="1"/>
  <c r="BN53" i="2"/>
  <c r="BM53" i="2"/>
  <c r="BK53" i="2"/>
  <c r="BJ53" i="2"/>
  <c r="BI53" i="2"/>
  <c r="BG53" i="2" a="1"/>
  <c r="BG53" i="2" s="1"/>
  <c r="G53" i="2"/>
  <c r="HA52" i="2"/>
  <c r="HA51" i="2" s="1"/>
  <c r="DG52" i="2"/>
  <c r="DF52" i="2"/>
  <c r="DE52" i="2"/>
  <c r="DD52" i="2"/>
  <c r="CK52" i="2"/>
  <c r="CI52" i="2"/>
  <c r="CC52" i="2"/>
  <c r="CA52" i="2"/>
  <c r="BZ52" i="2"/>
  <c r="BU52" i="2"/>
  <c r="BR52" i="2"/>
  <c r="BM52" i="2"/>
  <c r="BL52" i="2"/>
  <c r="BJ52" i="2"/>
  <c r="H52" i="2"/>
  <c r="F52" i="2"/>
  <c r="E52" i="2"/>
  <c r="CE52" i="2" s="1"/>
  <c r="FI51" i="2"/>
  <c r="FG51" i="2"/>
  <c r="FF51" i="2"/>
  <c r="FD51" i="2"/>
  <c r="EY51" i="2"/>
  <c r="EX51" i="2"/>
  <c r="EW51" i="2"/>
  <c r="EV51" i="2"/>
  <c r="ES51" i="2"/>
  <c r="EP51" i="2"/>
  <c r="EN51" i="2"/>
  <c r="EK51" i="2"/>
  <c r="EI51" i="2"/>
  <c r="EH51" i="2"/>
  <c r="ED51" i="2"/>
  <c r="EC51" i="2"/>
  <c r="DK51" i="2"/>
  <c r="DE51" i="2"/>
  <c r="CX51" i="2" a="1"/>
  <c r="CX51" i="2" s="1"/>
  <c r="CT51" i="2"/>
  <c r="CS51" i="2"/>
  <c r="CR51" i="2"/>
  <c r="CP51" i="2"/>
  <c r="BP51" i="2"/>
  <c r="BN51" i="2"/>
  <c r="CZ51" i="2" s="1" a="1"/>
  <c r="CZ51" i="2" s="1"/>
  <c r="BM51" i="2"/>
  <c r="CY51" i="2" s="1" a="1"/>
  <c r="CY51" i="2" s="1"/>
  <c r="BL51" i="2"/>
  <c r="BK51" i="2"/>
  <c r="CW51" i="2" s="1" a="1"/>
  <c r="CW51" i="2" s="1"/>
  <c r="BG51" i="2" a="1"/>
  <c r="BG51" i="2" s="1"/>
  <c r="G51" i="2"/>
  <c r="HA50" i="2"/>
  <c r="DG50" i="2"/>
  <c r="DF50" i="2"/>
  <c r="DE50" i="2"/>
  <c r="DD50" i="2"/>
  <c r="CH50" i="2"/>
  <c r="CF50" i="2"/>
  <c r="BU50" i="2"/>
  <c r="BR50" i="2"/>
  <c r="BQ50" i="2"/>
  <c r="E50" i="2"/>
  <c r="CC50" i="2" s="1"/>
  <c r="HA49" i="2"/>
  <c r="FE49" i="2"/>
  <c r="FD49" i="2"/>
  <c r="EW49" i="2"/>
  <c r="ET49" i="2"/>
  <c r="EM49" i="2"/>
  <c r="EI49" i="2"/>
  <c r="ED49" i="2"/>
  <c r="EC49" i="2"/>
  <c r="DL49" i="2"/>
  <c r="DG49" i="2"/>
  <c r="CT49" i="2"/>
  <c r="CS49" i="2"/>
  <c r="CR49" i="2"/>
  <c r="F50" i="2" s="1"/>
  <c r="CP49" i="2"/>
  <c r="BQ49" i="2"/>
  <c r="BL49" i="2"/>
  <c r="CX49" i="2" s="1" a="1"/>
  <c r="CX49" i="2" s="1"/>
  <c r="BG49" i="2" a="1"/>
  <c r="BG49" i="2"/>
  <c r="G49" i="2"/>
  <c r="HA48" i="2"/>
  <c r="DG48" i="2"/>
  <c r="DF48" i="2"/>
  <c r="DE48" i="2"/>
  <c r="DD48" i="2"/>
  <c r="CF48" i="2"/>
  <c r="CD48" i="2"/>
  <c r="CA48" i="2"/>
  <c r="BV48" i="2"/>
  <c r="BS48" i="2"/>
  <c r="BR48" i="2"/>
  <c r="BM48" i="2"/>
  <c r="BJ48" i="2"/>
  <c r="F48" i="2"/>
  <c r="E48" i="2"/>
  <c r="HA47" i="2"/>
  <c r="FG47" i="2"/>
  <c r="FE47" i="2"/>
  <c r="FD47" i="2"/>
  <c r="EY47" i="2"/>
  <c r="EW47" i="2"/>
  <c r="EV47" i="2"/>
  <c r="EQ47" i="2"/>
  <c r="EO47" i="2"/>
  <c r="EN47" i="2"/>
  <c r="EI47" i="2"/>
  <c r="ED47" i="2"/>
  <c r="EC47" i="2"/>
  <c r="DN47" i="2"/>
  <c r="DL47" i="2"/>
  <c r="DK47" i="2"/>
  <c r="CT47" i="2"/>
  <c r="CS47" i="2"/>
  <c r="CR47" i="2"/>
  <c r="CP47" i="2"/>
  <c r="BN47" i="2"/>
  <c r="CZ47" i="2" s="1" a="1"/>
  <c r="CZ47" i="2" s="1"/>
  <c r="BL47" i="2"/>
  <c r="CX47" i="2" s="1" a="1"/>
  <c r="CX47" i="2" s="1"/>
  <c r="BK47" i="2"/>
  <c r="CW47" i="2" s="1" a="1"/>
  <c r="CW47" i="2" s="1"/>
  <c r="BG47" i="2" a="1"/>
  <c r="BG47" i="2" s="1"/>
  <c r="G47" i="2"/>
  <c r="HA46" i="2"/>
  <c r="DG46" i="2"/>
  <c r="DF46" i="2"/>
  <c r="DE46" i="2"/>
  <c r="DD46" i="2"/>
  <c r="CL46" i="2"/>
  <c r="CK46" i="2"/>
  <c r="CI46" i="2"/>
  <c r="CG46" i="2"/>
  <c r="CF46" i="2"/>
  <c r="CE46" i="2"/>
  <c r="CD46" i="2"/>
  <c r="CC46" i="2"/>
  <c r="CA46" i="2"/>
  <c r="BY46" i="2"/>
  <c r="BX46" i="2"/>
  <c r="BW46" i="2"/>
  <c r="BV46" i="2"/>
  <c r="BU46" i="2"/>
  <c r="BS46" i="2"/>
  <c r="BQ46" i="2"/>
  <c r="BP46" i="2"/>
  <c r="BO46" i="2"/>
  <c r="BN46" i="2"/>
  <c r="BM46" i="2"/>
  <c r="BK46" i="2"/>
  <c r="BI46" i="2"/>
  <c r="AO46" i="2"/>
  <c r="AN46" i="2" a="1"/>
  <c r="AN46" i="2" s="1"/>
  <c r="AK46" i="2"/>
  <c r="AI46" i="2"/>
  <c r="Z46" i="2"/>
  <c r="S46" i="2"/>
  <c r="R46" i="2"/>
  <c r="M46" i="2"/>
  <c r="I46" i="2" a="1"/>
  <c r="I46" i="2" s="1"/>
  <c r="H45" i="2" s="1"/>
  <c r="U46" i="2" s="1"/>
  <c r="F46" i="2"/>
  <c r="E46" i="2"/>
  <c r="HF45" i="2"/>
  <c r="HA45" i="2"/>
  <c r="FK45" i="2"/>
  <c r="FJ45" i="2"/>
  <c r="FI45" i="2"/>
  <c r="FH45" i="2"/>
  <c r="FG45" i="2"/>
  <c r="FE45" i="2"/>
  <c r="FD45" i="2"/>
  <c r="FC45" i="2"/>
  <c r="FB45" i="2"/>
  <c r="FA45" i="2"/>
  <c r="EZ45" i="2"/>
  <c r="EY45" i="2"/>
  <c r="EW45" i="2"/>
  <c r="EV45" i="2"/>
  <c r="EU45" i="2"/>
  <c r="ET45" i="2"/>
  <c r="ES45" i="2"/>
  <c r="ER45" i="2"/>
  <c r="EQ45" i="2"/>
  <c r="EO45" i="2"/>
  <c r="EN45" i="2"/>
  <c r="EM45" i="2"/>
  <c r="EL45" i="2"/>
  <c r="EK45" i="2"/>
  <c r="EJ45" i="2"/>
  <c r="EI45" i="2"/>
  <c r="EC45" i="2"/>
  <c r="ED45" i="2" s="1"/>
  <c r="EA45" i="2"/>
  <c r="DZ45" i="2"/>
  <c r="DN45" i="2"/>
  <c r="DL45" i="2"/>
  <c r="DK45" i="2"/>
  <c r="DM45" i="2" s="1"/>
  <c r="DG45" i="2"/>
  <c r="DF45" i="2"/>
  <c r="DE45" i="2"/>
  <c r="DD45" i="2"/>
  <c r="DA45" i="2" a="1"/>
  <c r="DA45" i="2" s="1"/>
  <c r="CW45" i="2"/>
  <c r="CV45" i="2" a="1"/>
  <c r="CV45" i="2" s="1"/>
  <c r="CT45" i="2"/>
  <c r="CR45" i="2"/>
  <c r="CP45" i="2"/>
  <c r="CL45" i="2"/>
  <c r="CK45" i="2"/>
  <c r="CI45" i="2"/>
  <c r="CG45" i="2"/>
  <c r="CF45" i="2"/>
  <c r="CE45" i="2"/>
  <c r="CD45" i="2"/>
  <c r="CC45" i="2"/>
  <c r="CA45" i="2"/>
  <c r="BY45" i="2"/>
  <c r="BX45" i="2"/>
  <c r="BW45" i="2"/>
  <c r="BV45" i="2"/>
  <c r="BU45" i="2"/>
  <c r="BS45" i="2"/>
  <c r="BR45" i="2"/>
  <c r="CJ45" i="2" s="1"/>
  <c r="BQ45" i="2"/>
  <c r="BP45" i="2"/>
  <c r="BO45" i="2"/>
  <c r="BN45" i="2"/>
  <c r="CZ45" i="2" s="1" a="1"/>
  <c r="CZ45" i="2" s="1"/>
  <c r="BM45" i="2"/>
  <c r="CY45" i="2" s="1" a="1"/>
  <c r="CY45" i="2" s="1"/>
  <c r="BK45" i="2"/>
  <c r="CW45" i="2" s="1" a="1"/>
  <c r="BJ45" i="2"/>
  <c r="BI45" i="2"/>
  <c r="CU45" i="2" s="1" a="1"/>
  <c r="CU45" i="2" s="1"/>
  <c r="BG45" i="2" a="1"/>
  <c r="BG45" i="2" s="1"/>
  <c r="G45" i="2"/>
  <c r="HA44" i="2"/>
  <c r="DG44" i="2"/>
  <c r="DF44" i="2"/>
  <c r="DE44" i="2"/>
  <c r="DD44" i="2"/>
  <c r="CL44" i="2"/>
  <c r="CK44" i="2"/>
  <c r="CJ44" i="2"/>
  <c r="CI44" i="2"/>
  <c r="CF44" i="2"/>
  <c r="CD44" i="2"/>
  <c r="CC44" i="2"/>
  <c r="CB44" i="2"/>
  <c r="CA44" i="2"/>
  <c r="BX44" i="2"/>
  <c r="BV44" i="2"/>
  <c r="BU44" i="2"/>
  <c r="BT44" i="2"/>
  <c r="BS44" i="2"/>
  <c r="BP44" i="2"/>
  <c r="BN44" i="2"/>
  <c r="BM44" i="2"/>
  <c r="BL44" i="2"/>
  <c r="BK44" i="2"/>
  <c r="AO44" i="2"/>
  <c r="I44" i="2" a="1"/>
  <c r="I44" i="2"/>
  <c r="H43" i="2" s="1"/>
  <c r="H44" i="2"/>
  <c r="E44" i="2"/>
  <c r="CG44" i="2" s="1"/>
  <c r="HA43" i="2"/>
  <c r="FJ43" i="2"/>
  <c r="FH43" i="2"/>
  <c r="FG43" i="2"/>
  <c r="FF43" i="2"/>
  <c r="FE43" i="2"/>
  <c r="FD43" i="2"/>
  <c r="FB43" i="2"/>
  <c r="EZ43" i="2"/>
  <c r="EY43" i="2"/>
  <c r="EX43" i="2"/>
  <c r="EW43" i="2"/>
  <c r="EV43" i="2"/>
  <c r="ET43" i="2"/>
  <c r="ER43" i="2"/>
  <c r="EQ43" i="2"/>
  <c r="EP43" i="2"/>
  <c r="EO43" i="2"/>
  <c r="EN43" i="2"/>
  <c r="EL43" i="2"/>
  <c r="EJ43" i="2"/>
  <c r="EI43" i="2"/>
  <c r="EH43" i="2"/>
  <c r="ED43" i="2"/>
  <c r="EC43" i="2"/>
  <c r="EA43" i="2"/>
  <c r="DN43" i="2"/>
  <c r="DL43" i="2"/>
  <c r="DM43" i="2" s="1"/>
  <c r="DK43" i="2"/>
  <c r="DF43" i="2"/>
  <c r="DD43" i="2"/>
  <c r="CY43" i="2" a="1"/>
  <c r="CY43" i="2" s="1"/>
  <c r="CX43" i="2" a="1"/>
  <c r="CX43" i="2" s="1"/>
  <c r="CT43" i="2"/>
  <c r="CR43" i="2"/>
  <c r="F44" i="2" s="1"/>
  <c r="CP43" i="2"/>
  <c r="CL43" i="2"/>
  <c r="CK43" i="2"/>
  <c r="CJ43" i="2"/>
  <c r="CI43" i="2"/>
  <c r="CF43" i="2"/>
  <c r="CD43" i="2"/>
  <c r="CC43" i="2"/>
  <c r="CB43" i="2"/>
  <c r="CA43" i="2"/>
  <c r="BX43" i="2"/>
  <c r="BV43" i="2"/>
  <c r="BU43" i="2"/>
  <c r="BT43" i="2"/>
  <c r="BS43" i="2"/>
  <c r="BR43" i="2"/>
  <c r="CH43" i="2" s="1"/>
  <c r="BP43" i="2"/>
  <c r="BN43" i="2"/>
  <c r="CZ43" i="2" s="1" a="1"/>
  <c r="CZ43" i="2" s="1"/>
  <c r="BM43" i="2"/>
  <c r="BL43" i="2"/>
  <c r="BK43" i="2"/>
  <c r="CW43" i="2" s="1" a="1"/>
  <c r="CW43" i="2" s="1"/>
  <c r="BJ43" i="2"/>
  <c r="CV43" i="2" s="1" a="1"/>
  <c r="CV43" i="2" s="1"/>
  <c r="BG43" i="2" a="1"/>
  <c r="BG43" i="2" s="1"/>
  <c r="G43" i="2"/>
  <c r="HA42" i="2"/>
  <c r="DG42" i="2"/>
  <c r="DF42" i="2"/>
  <c r="DE42" i="2"/>
  <c r="DD42" i="2"/>
  <c r="CI42" i="2"/>
  <c r="CH42" i="2"/>
  <c r="CC42" i="2"/>
  <c r="BZ42" i="2"/>
  <c r="BU42" i="2"/>
  <c r="BS42" i="2"/>
  <c r="BM42" i="2"/>
  <c r="BK42" i="2"/>
  <c r="BJ42" i="2"/>
  <c r="E42" i="2"/>
  <c r="HA41" i="2"/>
  <c r="FJ41" i="2"/>
  <c r="FG41" i="2"/>
  <c r="FE41" i="2"/>
  <c r="FD41" i="2"/>
  <c r="FB41" i="2"/>
  <c r="EY41" i="2"/>
  <c r="EW41" i="2"/>
  <c r="ET41" i="2"/>
  <c r="EQ41" i="2"/>
  <c r="EO41" i="2"/>
  <c r="EN41" i="2"/>
  <c r="EL41" i="2"/>
  <c r="EI41" i="2"/>
  <c r="ED41" i="2"/>
  <c r="EC41" i="2"/>
  <c r="EA41" i="2"/>
  <c r="DN41" i="2"/>
  <c r="DK41" i="2"/>
  <c r="DF41" i="2"/>
  <c r="DC41" i="2" a="1"/>
  <c r="DC41" i="2" s="1"/>
  <c r="CY41" i="2" a="1"/>
  <c r="CY41" i="2" s="1"/>
  <c r="CT41" i="2"/>
  <c r="CR41" i="2"/>
  <c r="F42" i="2" s="1"/>
  <c r="CP41" i="2"/>
  <c r="CK41" i="2"/>
  <c r="CF41" i="2"/>
  <c r="CC41" i="2"/>
  <c r="BZ41" i="2"/>
  <c r="BX41" i="2"/>
  <c r="BU41" i="2"/>
  <c r="BR41" i="2"/>
  <c r="CA41" i="2" s="1"/>
  <c r="BP41" i="2"/>
  <c r="DB41" i="2" s="1" a="1"/>
  <c r="DB41" i="2" s="1"/>
  <c r="BM41" i="2"/>
  <c r="BK41" i="2"/>
  <c r="CW41" i="2" s="1" a="1"/>
  <c r="CW41" i="2" s="1"/>
  <c r="BJ41" i="2"/>
  <c r="CV41" i="2" s="1" a="1"/>
  <c r="CV41" i="2" s="1"/>
  <c r="BG41" i="2" a="1"/>
  <c r="BG41" i="2" s="1"/>
  <c r="G41" i="2"/>
  <c r="HA40" i="2"/>
  <c r="DG40" i="2"/>
  <c r="DF40" i="2"/>
  <c r="DE40" i="2"/>
  <c r="DD40" i="2"/>
  <c r="CF40" i="2"/>
  <c r="CE40" i="2"/>
  <c r="BZ40" i="2"/>
  <c r="BX40" i="2"/>
  <c r="BW40" i="2"/>
  <c r="BP40" i="2"/>
  <c r="BO40" i="2"/>
  <c r="BJ40" i="2"/>
  <c r="AN40" i="2" a="1"/>
  <c r="AN40" i="2" s="1"/>
  <c r="E40" i="2"/>
  <c r="CC40" i="2" s="1"/>
  <c r="HA39" i="2"/>
  <c r="FJ39" i="2"/>
  <c r="FI39" i="2"/>
  <c r="FG39" i="2"/>
  <c r="FD39" i="2"/>
  <c r="FB39" i="2"/>
  <c r="EZ39" i="2"/>
  <c r="EY39" i="2"/>
  <c r="EV39" i="2"/>
  <c r="ES39" i="2"/>
  <c r="ER39" i="2"/>
  <c r="EQ39" i="2"/>
  <c r="EL39" i="2"/>
  <c r="EK39" i="2"/>
  <c r="EJ39" i="2"/>
  <c r="ED39" i="2"/>
  <c r="EC39" i="2"/>
  <c r="EA39" i="2"/>
  <c r="DN39" i="2"/>
  <c r="DF39" i="2"/>
  <c r="DE39" i="2"/>
  <c r="DD39" i="2"/>
  <c r="CT39" i="2"/>
  <c r="CR39" i="2"/>
  <c r="CP39" i="2"/>
  <c r="CL39" i="2"/>
  <c r="CC39" i="2"/>
  <c r="BZ39" i="2"/>
  <c r="BX39" i="2"/>
  <c r="BR39" i="2"/>
  <c r="CD39" i="2" s="1"/>
  <c r="BO39" i="2"/>
  <c r="DA39" i="2" s="1" a="1"/>
  <c r="DA39" i="2" s="1"/>
  <c r="BN39" i="2"/>
  <c r="CZ39" i="2" s="1" a="1"/>
  <c r="CZ39" i="2" s="1"/>
  <c r="BM39" i="2"/>
  <c r="CY39" i="2" s="1" a="1"/>
  <c r="CY39" i="2" s="1"/>
  <c r="BG39" i="2" a="1"/>
  <c r="BG39" i="2" s="1"/>
  <c r="G39" i="2"/>
  <c r="HA38" i="2"/>
  <c r="HA37" i="2" s="1"/>
  <c r="DG38" i="2"/>
  <c r="DF38" i="2"/>
  <c r="DE38" i="2"/>
  <c r="DD38" i="2"/>
  <c r="CK38" i="2"/>
  <c r="CJ38" i="2"/>
  <c r="CI38" i="2"/>
  <c r="CG38" i="2"/>
  <c r="CE38" i="2"/>
  <c r="CC38" i="2"/>
  <c r="CA38" i="2"/>
  <c r="BZ38" i="2"/>
  <c r="BY38" i="2"/>
  <c r="BU38" i="2"/>
  <c r="BT38" i="2"/>
  <c r="BS38" i="2"/>
  <c r="BQ38" i="2"/>
  <c r="BO38" i="2"/>
  <c r="BM38" i="2"/>
  <c r="BK38" i="2"/>
  <c r="BJ38" i="2"/>
  <c r="BI38" i="2"/>
  <c r="H38" i="2"/>
  <c r="F38" i="2"/>
  <c r="E38" i="2"/>
  <c r="HF37" i="2"/>
  <c r="FK37" i="2"/>
  <c r="FI37" i="2"/>
  <c r="FG37" i="2"/>
  <c r="FF37" i="2"/>
  <c r="FE37" i="2"/>
  <c r="FC37" i="2"/>
  <c r="FA37" i="2"/>
  <c r="EY37" i="2"/>
  <c r="EX37" i="2"/>
  <c r="EW37" i="2"/>
  <c r="EV37" i="2"/>
  <c r="EU37" i="2"/>
  <c r="EQ37" i="2"/>
  <c r="EP37" i="2"/>
  <c r="EO37" i="2"/>
  <c r="EN37" i="2"/>
  <c r="EM37" i="2"/>
  <c r="EK37" i="2"/>
  <c r="EI37" i="2"/>
  <c r="EC37" i="2"/>
  <c r="ED37" i="2" s="1"/>
  <c r="DZ37" i="2"/>
  <c r="DN37" i="2"/>
  <c r="DL37" i="2"/>
  <c r="DK37" i="2"/>
  <c r="DM37" i="2" s="1"/>
  <c r="DG37" i="2"/>
  <c r="DA37" i="2" a="1"/>
  <c r="DA37" i="2" s="1"/>
  <c r="CU37" i="2" a="1"/>
  <c r="CU37" i="2" s="1"/>
  <c r="CT37" i="2"/>
  <c r="CR37" i="2"/>
  <c r="CP37" i="2"/>
  <c r="CB37" i="2"/>
  <c r="BZ37" i="2"/>
  <c r="BR37" i="2"/>
  <c r="CJ37" i="2" s="1"/>
  <c r="BQ37" i="2"/>
  <c r="BO37" i="2"/>
  <c r="BM37" i="2"/>
  <c r="CY37" i="2" s="1" a="1"/>
  <c r="CY37" i="2" s="1"/>
  <c r="BL37" i="2"/>
  <c r="CX37" i="2" s="1" a="1"/>
  <c r="CX37" i="2" s="1"/>
  <c r="BJ37" i="2"/>
  <c r="CV37" i="2" s="1" a="1"/>
  <c r="CV37" i="2" s="1"/>
  <c r="BI37" i="2"/>
  <c r="BG37" i="2" a="1"/>
  <c r="BG37" i="2" s="1"/>
  <c r="G37" i="2"/>
  <c r="HA36" i="2"/>
  <c r="DG36" i="2"/>
  <c r="DF36" i="2"/>
  <c r="DE36" i="2"/>
  <c r="DD36" i="2"/>
  <c r="CG36" i="2"/>
  <c r="CE36" i="2"/>
  <c r="CD36" i="2"/>
  <c r="CB36" i="2"/>
  <c r="BW36" i="2"/>
  <c r="BT36" i="2"/>
  <c r="BR36" i="2"/>
  <c r="BQ36" i="2"/>
  <c r="BL36" i="2"/>
  <c r="BI36" i="2"/>
  <c r="AN36" i="2" a="1"/>
  <c r="AN36" i="2" s="1"/>
  <c r="E36" i="2"/>
  <c r="CF36" i="2" s="1"/>
  <c r="HF35" i="2"/>
  <c r="HA35" i="2"/>
  <c r="FJ35" i="2"/>
  <c r="FI35" i="2"/>
  <c r="FF35" i="2"/>
  <c r="FD35" i="2"/>
  <c r="FC35" i="2"/>
  <c r="EZ35" i="2"/>
  <c r="EX35" i="2"/>
  <c r="EU35" i="2"/>
  <c r="ET35" i="2"/>
  <c r="ES35" i="2"/>
  <c r="EN35" i="2"/>
  <c r="EM35" i="2"/>
  <c r="EK35" i="2"/>
  <c r="EJ35" i="2"/>
  <c r="EH35" i="2"/>
  <c r="EC35" i="2"/>
  <c r="ED35" i="2" s="1"/>
  <c r="EA35" i="2"/>
  <c r="DZ35" i="2"/>
  <c r="DG35" i="2"/>
  <c r="DF35" i="2"/>
  <c r="DE35" i="2"/>
  <c r="CV35" i="2" a="1"/>
  <c r="CV35" i="2" s="1"/>
  <c r="CT35" i="2"/>
  <c r="CR35" i="2"/>
  <c r="F36" i="2" s="1"/>
  <c r="CP35" i="2"/>
  <c r="BQ35" i="2"/>
  <c r="BP35" i="2"/>
  <c r="BN35" i="2"/>
  <c r="CZ35" i="2" s="1" a="1"/>
  <c r="CZ35" i="2" s="1"/>
  <c r="BL35" i="2"/>
  <c r="CX35" i="2" s="1" a="1"/>
  <c r="CX35" i="2" s="1"/>
  <c r="BJ35" i="2"/>
  <c r="BG35" i="2" a="1"/>
  <c r="BG35" i="2"/>
  <c r="G35" i="2"/>
  <c r="HA34" i="2"/>
  <c r="HA33" i="2" s="1"/>
  <c r="FD34" i="2"/>
  <c r="EI34" i="2"/>
  <c r="DG34" i="2"/>
  <c r="DF34" i="2"/>
  <c r="DE34" i="2"/>
  <c r="DD34" i="2"/>
  <c r="CL34" i="2"/>
  <c r="CK34" i="2"/>
  <c r="CJ34" i="2"/>
  <c r="CI34" i="2"/>
  <c r="CG34" i="2"/>
  <c r="CF34" i="2"/>
  <c r="CE34" i="2"/>
  <c r="CD34" i="2"/>
  <c r="CC34" i="2"/>
  <c r="CB34" i="2"/>
  <c r="CA34" i="2"/>
  <c r="BY34" i="2"/>
  <c r="BX34" i="2"/>
  <c r="BW34" i="2"/>
  <c r="BV34" i="2"/>
  <c r="BU34" i="2"/>
  <c r="BT34" i="2"/>
  <c r="BS34" i="2"/>
  <c r="BQ34" i="2"/>
  <c r="BP34" i="2"/>
  <c r="BO34" i="2"/>
  <c r="BN34" i="2"/>
  <c r="BM34" i="2"/>
  <c r="BL34" i="2"/>
  <c r="BK34" i="2"/>
  <c r="BI34" i="2"/>
  <c r="AN34" i="2" a="1"/>
  <c r="AN34" i="2" s="1"/>
  <c r="I34" i="2" a="1"/>
  <c r="I34" i="2" s="1"/>
  <c r="H34" i="2"/>
  <c r="F34" i="2"/>
  <c r="E34" i="2"/>
  <c r="GR108" i="2" s="1"/>
  <c r="HF33" i="2"/>
  <c r="GV33" i="2"/>
  <c r="FK33" i="2"/>
  <c r="FJ33" i="2"/>
  <c r="FI33" i="2"/>
  <c r="FI34" i="2" s="1"/>
  <c r="FH33" i="2"/>
  <c r="FG33" i="2"/>
  <c r="FF33" i="2"/>
  <c r="FF34" i="2" s="1"/>
  <c r="FE33" i="2"/>
  <c r="FE34" i="2" s="1"/>
  <c r="FD33" i="2"/>
  <c r="FC33" i="2"/>
  <c r="FB33" i="2"/>
  <c r="FA33" i="2"/>
  <c r="EZ33" i="2"/>
  <c r="EY33" i="2"/>
  <c r="EX33" i="2"/>
  <c r="EX34" i="2" s="1"/>
  <c r="EW33" i="2"/>
  <c r="EV33" i="2"/>
  <c r="EU33" i="2"/>
  <c r="ET33" i="2"/>
  <c r="ES33" i="2"/>
  <c r="ES34" i="2" s="1"/>
  <c r="ER33" i="2"/>
  <c r="EQ33" i="2"/>
  <c r="EP33" i="2"/>
  <c r="EO33" i="2"/>
  <c r="EO34" i="2" s="1"/>
  <c r="EN33" i="2"/>
  <c r="EM33" i="2"/>
  <c r="EL33" i="2"/>
  <c r="EK33" i="2"/>
  <c r="EU34" i="2" s="1"/>
  <c r="EJ33" i="2"/>
  <c r="EI33" i="2"/>
  <c r="EH33" i="2"/>
  <c r="EC33" i="2"/>
  <c r="ED33" i="2" s="1"/>
  <c r="EA33" i="2"/>
  <c r="DZ33" i="2"/>
  <c r="DN33" i="2"/>
  <c r="DL33" i="2"/>
  <c r="DM33" i="2" s="1"/>
  <c r="DK33" i="2"/>
  <c r="DG33" i="2"/>
  <c r="DF33" i="2"/>
  <c r="DE33" i="2"/>
  <c r="DD33" i="2"/>
  <c r="DC33" i="2" a="1"/>
  <c r="DC33" i="2" s="1"/>
  <c r="DA33" i="2" a="1"/>
  <c r="DA33" i="2" s="1"/>
  <c r="CY33" i="2" a="1"/>
  <c r="CY33" i="2" s="1"/>
  <c r="CV33" i="2" a="1"/>
  <c r="CV33" i="2" s="1"/>
  <c r="CU33" i="2" a="1"/>
  <c r="CU33" i="2"/>
  <c r="CT33" i="2"/>
  <c r="CR33" i="2"/>
  <c r="CP33" i="2"/>
  <c r="CL33" i="2"/>
  <c r="CK33" i="2"/>
  <c r="CJ33" i="2"/>
  <c r="CI33" i="2"/>
  <c r="CG33" i="2"/>
  <c r="CF33" i="2"/>
  <c r="CE33" i="2"/>
  <c r="CD33" i="2"/>
  <c r="CC33" i="2"/>
  <c r="CB33" i="2"/>
  <c r="CA33" i="2"/>
  <c r="BY33" i="2"/>
  <c r="BX33" i="2"/>
  <c r="BW33" i="2"/>
  <c r="BV33" i="2"/>
  <c r="BU33" i="2"/>
  <c r="BT33" i="2"/>
  <c r="BS33" i="2"/>
  <c r="BR33" i="2"/>
  <c r="CH33" i="2" s="1"/>
  <c r="BQ33" i="2"/>
  <c r="BP33" i="2"/>
  <c r="DB33" i="2" s="1" a="1"/>
  <c r="DB33" i="2" s="1"/>
  <c r="BO33" i="2"/>
  <c r="BN33" i="2"/>
  <c r="CZ33" i="2" s="1" a="1"/>
  <c r="CZ33" i="2" s="1"/>
  <c r="BM33" i="2"/>
  <c r="BL33" i="2"/>
  <c r="CX33" i="2" s="1" a="1"/>
  <c r="CX33" i="2" s="1"/>
  <c r="BK33" i="2"/>
  <c r="CW33" i="2" s="1" a="1"/>
  <c r="CW33" i="2" s="1"/>
  <c r="BJ33" i="2"/>
  <c r="BI33" i="2"/>
  <c r="BG33" i="2" a="1"/>
  <c r="BG33" i="2" s="1"/>
  <c r="G33" i="2"/>
  <c r="HA32" i="2"/>
  <c r="DG32" i="2"/>
  <c r="DF32" i="2"/>
  <c r="DE32" i="2"/>
  <c r="DD32" i="2"/>
  <c r="CB32" i="2"/>
  <c r="BZ32" i="2"/>
  <c r="BP32" i="2"/>
  <c r="BM32" i="2"/>
  <c r="E32" i="2"/>
  <c r="CG32" i="2" s="1"/>
  <c r="HA31" i="2"/>
  <c r="FJ31" i="2"/>
  <c r="FD31" i="2"/>
  <c r="FC31" i="2"/>
  <c r="EY31" i="2"/>
  <c r="ET31" i="2"/>
  <c r="ER31" i="2"/>
  <c r="EN31" i="2"/>
  <c r="EI31" i="2"/>
  <c r="EH31" i="2"/>
  <c r="ED31" i="2"/>
  <c r="EC31" i="2"/>
  <c r="EA31" i="2"/>
  <c r="DN31" i="2"/>
  <c r="DF31" i="2"/>
  <c r="DD31" i="2"/>
  <c r="CT31" i="2"/>
  <c r="CR31" i="2"/>
  <c r="F32" i="2" s="1"/>
  <c r="CP31" i="2"/>
  <c r="BQ31" i="2"/>
  <c r="BL31" i="2"/>
  <c r="CX31" i="2" s="1" a="1"/>
  <c r="CX31" i="2" s="1"/>
  <c r="BJ31" i="2"/>
  <c r="CV31" i="2" s="1" a="1"/>
  <c r="CV31" i="2" s="1"/>
  <c r="BG31" i="2" a="1"/>
  <c r="BG31" i="2" s="1"/>
  <c r="G31" i="2"/>
  <c r="HA30" i="2"/>
  <c r="HA29" i="2" s="1"/>
  <c r="DG30" i="2"/>
  <c r="DF30" i="2"/>
  <c r="DE30" i="2"/>
  <c r="DD30" i="2"/>
  <c r="CK30" i="2"/>
  <c r="CI30" i="2"/>
  <c r="CE30" i="2"/>
  <c r="BZ30" i="2"/>
  <c r="BY30" i="2"/>
  <c r="BU30" i="2"/>
  <c r="BO30" i="2"/>
  <c r="BN30" i="2"/>
  <c r="BJ30" i="2"/>
  <c r="F30" i="2"/>
  <c r="E30" i="2"/>
  <c r="CG30" i="2" s="1"/>
  <c r="FK29" i="2"/>
  <c r="FI29" i="2"/>
  <c r="FG29" i="2"/>
  <c r="FC29" i="2"/>
  <c r="FA29" i="2"/>
  <c r="EZ29" i="2"/>
  <c r="EY29" i="2"/>
  <c r="EV29" i="2"/>
  <c r="ER29" i="2"/>
  <c r="EQ29" i="2"/>
  <c r="EO29" i="2"/>
  <c r="EN29" i="2"/>
  <c r="EK29" i="2"/>
  <c r="EC29" i="2"/>
  <c r="ED29" i="2" s="1"/>
  <c r="DZ29" i="2"/>
  <c r="DL29" i="2"/>
  <c r="DF29" i="2"/>
  <c r="DE29" i="2"/>
  <c r="DD29" i="2"/>
  <c r="CY29" i="2" a="1"/>
  <c r="CY29" i="2" s="1"/>
  <c r="CU29" i="2" a="1"/>
  <c r="CU29" i="2" s="1"/>
  <c r="CT29" i="2"/>
  <c r="CR29" i="2"/>
  <c r="CP29" i="2"/>
  <c r="CI29" i="2"/>
  <c r="CH29" i="2"/>
  <c r="CG29" i="2"/>
  <c r="CE29" i="2"/>
  <c r="BZ29" i="2"/>
  <c r="BY29" i="2"/>
  <c r="BX29" i="2"/>
  <c r="BV29" i="2"/>
  <c r="BR29" i="2"/>
  <c r="BQ29" i="2"/>
  <c r="BP29" i="2"/>
  <c r="DC29" i="2" s="1" a="1"/>
  <c r="DC29" i="2" s="1"/>
  <c r="BO29" i="2"/>
  <c r="DA29" i="2" s="1" a="1"/>
  <c r="DA29" i="2" s="1"/>
  <c r="BM29" i="2"/>
  <c r="BI29" i="2"/>
  <c r="BG29" i="2" a="1"/>
  <c r="BG29" i="2" s="1"/>
  <c r="G29" i="2"/>
  <c r="HA28" i="2"/>
  <c r="DG28" i="2"/>
  <c r="DF28" i="2"/>
  <c r="DE28" i="2"/>
  <c r="DD28" i="2"/>
  <c r="CL28" i="2"/>
  <c r="CK28" i="2"/>
  <c r="CJ28" i="2"/>
  <c r="CI28" i="2"/>
  <c r="CF28" i="2"/>
  <c r="CE28" i="2"/>
  <c r="CD28" i="2"/>
  <c r="CC28" i="2"/>
  <c r="CB28" i="2"/>
  <c r="CA28" i="2"/>
  <c r="BZ28" i="2"/>
  <c r="BW28" i="2"/>
  <c r="BV28" i="2"/>
  <c r="BU28" i="2"/>
  <c r="BT28" i="2"/>
  <c r="BS28" i="2"/>
  <c r="BR28" i="2"/>
  <c r="BP28" i="2"/>
  <c r="BN28" i="2"/>
  <c r="BM28" i="2"/>
  <c r="BL28" i="2"/>
  <c r="BK28" i="2"/>
  <c r="BJ28" i="2"/>
  <c r="AN28" i="2" a="1"/>
  <c r="AN28" i="2" s="1"/>
  <c r="I28" i="2" a="1"/>
  <c r="I28" i="2" s="1"/>
  <c r="H28" i="2"/>
  <c r="E28" i="2"/>
  <c r="HA27" i="2"/>
  <c r="FJ27" i="2"/>
  <c r="FI27" i="2"/>
  <c r="FH27" i="2"/>
  <c r="FG27" i="2"/>
  <c r="FF27" i="2"/>
  <c r="FE27" i="2"/>
  <c r="FD27" i="2"/>
  <c r="FB27" i="2"/>
  <c r="FA27" i="2"/>
  <c r="EZ27" i="2"/>
  <c r="EY27" i="2"/>
  <c r="EX27" i="2"/>
  <c r="EW27" i="2"/>
  <c r="EV27" i="2"/>
  <c r="ET27" i="2"/>
  <c r="ES27" i="2"/>
  <c r="ER27" i="2"/>
  <c r="EQ27" i="2"/>
  <c r="EP27" i="2"/>
  <c r="EO27" i="2"/>
  <c r="EN27" i="2"/>
  <c r="EL27" i="2"/>
  <c r="EK27" i="2"/>
  <c r="EJ27" i="2"/>
  <c r="EI27" i="2"/>
  <c r="EH27" i="2"/>
  <c r="ED27" i="2"/>
  <c r="EC27" i="2"/>
  <c r="EA27" i="2"/>
  <c r="DZ27" i="2"/>
  <c r="DN27" i="2"/>
  <c r="DL27" i="2"/>
  <c r="DK27" i="2"/>
  <c r="DM27" i="2" s="1"/>
  <c r="DF27" i="2"/>
  <c r="DE27" i="2"/>
  <c r="DD27" i="2"/>
  <c r="DC27" i="2" a="1"/>
  <c r="DC27" i="2" s="1"/>
  <c r="CZ27" i="2" a="1"/>
  <c r="CZ27" i="2" s="1"/>
  <c r="CY27" i="2" a="1"/>
  <c r="CY27" i="2" s="1"/>
  <c r="CT27" i="2"/>
  <c r="CR27" i="2"/>
  <c r="F28" i="2" s="1"/>
  <c r="CP27" i="2"/>
  <c r="CL27" i="2"/>
  <c r="CK27" i="2"/>
  <c r="CH27" i="2"/>
  <c r="CC27" i="2"/>
  <c r="CB27" i="2"/>
  <c r="BX27" i="2"/>
  <c r="BT27" i="2"/>
  <c r="BS27" i="2"/>
  <c r="BR27" i="2"/>
  <c r="CI27" i="2" s="1"/>
  <c r="BP27" i="2"/>
  <c r="DB27" i="2" s="1" a="1"/>
  <c r="DB27" i="2" s="1"/>
  <c r="BO27" i="2"/>
  <c r="DA27" i="2" s="1" a="1"/>
  <c r="DA27" i="2" s="1"/>
  <c r="BN27" i="2"/>
  <c r="BM27" i="2"/>
  <c r="BL27" i="2"/>
  <c r="CX27" i="2" s="1" a="1"/>
  <c r="CX27" i="2" s="1"/>
  <c r="BK27" i="2"/>
  <c r="CW27" i="2" s="1" a="1"/>
  <c r="CW27" i="2" s="1"/>
  <c r="BJ27" i="2"/>
  <c r="CV27" i="2" s="1" a="1"/>
  <c r="CV27" i="2" s="1"/>
  <c r="BG27" i="2" a="1"/>
  <c r="BG27" i="2" s="1"/>
  <c r="G27" i="2"/>
  <c r="HA26" i="2"/>
  <c r="DG26" i="2"/>
  <c r="DF26" i="2"/>
  <c r="DE26" i="2"/>
  <c r="DD26" i="2"/>
  <c r="CK26" i="2"/>
  <c r="CJ26" i="2"/>
  <c r="CH26" i="2"/>
  <c r="CG26" i="2"/>
  <c r="CF26" i="2"/>
  <c r="CE26" i="2"/>
  <c r="CC26" i="2"/>
  <c r="CB26" i="2"/>
  <c r="CA26" i="2"/>
  <c r="BY26" i="2"/>
  <c r="BX26" i="2"/>
  <c r="BW26" i="2"/>
  <c r="BU26" i="2"/>
  <c r="BT26" i="2"/>
  <c r="BS26" i="2"/>
  <c r="BR26" i="2"/>
  <c r="BP26" i="2"/>
  <c r="BO26" i="2"/>
  <c r="BM26" i="2"/>
  <c r="BL26" i="2"/>
  <c r="BK26" i="2"/>
  <c r="BJ26" i="2"/>
  <c r="BI26" i="2"/>
  <c r="AN26" i="2" a="1"/>
  <c r="AN26" i="2" s="1"/>
  <c r="H26" i="2"/>
  <c r="E26" i="2"/>
  <c r="HF25" i="2"/>
  <c r="HA25" i="2"/>
  <c r="FK25" i="2"/>
  <c r="FJ25" i="2"/>
  <c r="FI25" i="2"/>
  <c r="FH25" i="2"/>
  <c r="FF25" i="2"/>
  <c r="FE25" i="2"/>
  <c r="FD25" i="2"/>
  <c r="FC25" i="2"/>
  <c r="FB25" i="2"/>
  <c r="FA25" i="2"/>
  <c r="EZ25" i="2"/>
  <c r="EX25" i="2"/>
  <c r="EW25" i="2"/>
  <c r="EV25" i="2"/>
  <c r="EU25" i="2"/>
  <c r="ET25" i="2"/>
  <c r="ES25" i="2"/>
  <c r="ER25" i="2"/>
  <c r="EP25" i="2"/>
  <c r="EO25" i="2"/>
  <c r="EN25" i="2"/>
  <c r="EM25" i="2"/>
  <c r="EL25" i="2"/>
  <c r="EK25" i="2"/>
  <c r="EJ25" i="2"/>
  <c r="EH25" i="2"/>
  <c r="ED25" i="2"/>
  <c r="EC25" i="2"/>
  <c r="EA25" i="2"/>
  <c r="DZ25" i="2"/>
  <c r="DL25" i="2"/>
  <c r="DK25" i="2"/>
  <c r="DM25" i="2" s="1"/>
  <c r="DG25" i="2"/>
  <c r="DF25" i="2"/>
  <c r="DE25" i="2"/>
  <c r="DD25" i="2"/>
  <c r="CZ25" i="2" a="1"/>
  <c r="CZ25" i="2" s="1"/>
  <c r="CW25" i="2" a="1"/>
  <c r="CW25" i="2" s="1"/>
  <c r="CV25" i="2" a="1"/>
  <c r="CV25" i="2" s="1"/>
  <c r="CT25" i="2"/>
  <c r="CR25" i="2"/>
  <c r="CP25" i="2"/>
  <c r="CL25" i="2"/>
  <c r="CK25" i="2"/>
  <c r="CJ25" i="2"/>
  <c r="CI25" i="2"/>
  <c r="CG25" i="2"/>
  <c r="CF25" i="2"/>
  <c r="CE25" i="2"/>
  <c r="CD25" i="2"/>
  <c r="CC25" i="2"/>
  <c r="CB25" i="2"/>
  <c r="CA25" i="2"/>
  <c r="BY25" i="2"/>
  <c r="BX25" i="2"/>
  <c r="BW25" i="2"/>
  <c r="BV25" i="2"/>
  <c r="BU25" i="2"/>
  <c r="BT25" i="2"/>
  <c r="BS25" i="2"/>
  <c r="BR25" i="2"/>
  <c r="CH25" i="2" s="1"/>
  <c r="BQ25" i="2"/>
  <c r="BP25" i="2"/>
  <c r="DC25" i="2" s="1" a="1"/>
  <c r="DC25" i="2" s="1"/>
  <c r="BO25" i="2"/>
  <c r="DA25" i="2" s="1" a="1"/>
  <c r="DA25" i="2" s="1"/>
  <c r="BN25" i="2"/>
  <c r="BM25" i="2"/>
  <c r="CY25" i="2" s="1" a="1"/>
  <c r="CY25" i="2" s="1"/>
  <c r="BL25" i="2"/>
  <c r="CX25" i="2" s="1" a="1"/>
  <c r="CX25" i="2" s="1"/>
  <c r="BK25" i="2"/>
  <c r="BJ25" i="2"/>
  <c r="BI25" i="2"/>
  <c r="CU25" i="2" s="1" a="1"/>
  <c r="CU25" i="2" s="1"/>
  <c r="BG25" i="2" a="1"/>
  <c r="BG25" i="2" s="1"/>
  <c r="HA24" i="2"/>
  <c r="HA23" i="2" s="1"/>
  <c r="FL24" i="2"/>
  <c r="FL26" i="2" s="1"/>
  <c r="DG24" i="2"/>
  <c r="DF24" i="2"/>
  <c r="DE24" i="2"/>
  <c r="DD24" i="2"/>
  <c r="E24" i="2"/>
  <c r="CE24" i="2" s="1"/>
  <c r="ED23" i="2"/>
  <c r="EC23" i="2"/>
  <c r="DK23" i="2"/>
  <c r="CT23" i="2"/>
  <c r="CR23" i="2"/>
  <c r="CP23" i="2"/>
  <c r="BR23" i="2"/>
  <c r="CG23" i="2" s="1"/>
  <c r="BJ23" i="2"/>
  <c r="CV23" i="2" s="1" a="1"/>
  <c r="CV23" i="2" s="1"/>
  <c r="BG23" i="2" a="1"/>
  <c r="BG23" i="2" s="1"/>
  <c r="G23" i="2"/>
  <c r="HA22" i="2"/>
  <c r="HA21" i="2" s="1"/>
  <c r="FL22" i="2"/>
  <c r="DG22" i="2"/>
  <c r="DF22" i="2"/>
  <c r="DE22" i="2"/>
  <c r="DD22" i="2"/>
  <c r="CL22" i="2"/>
  <c r="CJ22" i="2"/>
  <c r="CG22" i="2"/>
  <c r="CF22" i="2"/>
  <c r="CE22" i="2"/>
  <c r="CD22" i="2"/>
  <c r="CB22" i="2"/>
  <c r="BY22" i="2"/>
  <c r="BX22" i="2"/>
  <c r="BW22" i="2"/>
  <c r="BV22" i="2"/>
  <c r="BT22" i="2"/>
  <c r="BQ22" i="2"/>
  <c r="BP22" i="2"/>
  <c r="BO22" i="2"/>
  <c r="BN22" i="2"/>
  <c r="BL22" i="2"/>
  <c r="BI22" i="2"/>
  <c r="AN22" i="2" a="1"/>
  <c r="AN22" i="2" s="1"/>
  <c r="I22" i="2" a="1"/>
  <c r="I22" i="2" s="1"/>
  <c r="H22" i="2"/>
  <c r="BU5" i="4" s="1"/>
  <c r="E22" i="2"/>
  <c r="CH22" i="2" s="1"/>
  <c r="FJ21" i="2"/>
  <c r="FI21" i="2"/>
  <c r="FH21" i="2"/>
  <c r="FG21" i="2"/>
  <c r="FE21" i="2"/>
  <c r="FD21" i="2"/>
  <c r="FB21" i="2"/>
  <c r="FA21" i="2"/>
  <c r="EZ21" i="2"/>
  <c r="EY21" i="2"/>
  <c r="EW21" i="2"/>
  <c r="EV21" i="2"/>
  <c r="ET21" i="2"/>
  <c r="ES21" i="2"/>
  <c r="ER21" i="2"/>
  <c r="EQ21" i="2"/>
  <c r="EO21" i="2"/>
  <c r="EN21" i="2"/>
  <c r="EL21" i="2"/>
  <c r="EK21" i="2"/>
  <c r="EJ21" i="2"/>
  <c r="EI21" i="2"/>
  <c r="ED21" i="2"/>
  <c r="EC21" i="2"/>
  <c r="EA21" i="2"/>
  <c r="DZ21" i="2"/>
  <c r="DN21" i="2"/>
  <c r="DL21" i="2"/>
  <c r="DK21" i="2"/>
  <c r="DM21" i="2" s="1"/>
  <c r="DF21" i="2"/>
  <c r="DE21" i="2"/>
  <c r="DD21" i="2"/>
  <c r="DB21" i="2" a="1"/>
  <c r="DB21" i="2" s="1"/>
  <c r="CV21" i="2" a="1"/>
  <c r="CV21" i="2" s="1"/>
  <c r="CT21" i="2"/>
  <c r="CR21" i="2"/>
  <c r="CP21" i="2"/>
  <c r="CL21" i="2"/>
  <c r="CK21" i="2"/>
  <c r="CI21" i="2"/>
  <c r="CF21" i="2"/>
  <c r="CE21" i="2"/>
  <c r="CD21" i="2"/>
  <c r="CC21" i="2"/>
  <c r="CA21" i="2"/>
  <c r="BX21" i="2"/>
  <c r="BW21" i="2"/>
  <c r="BV21" i="2"/>
  <c r="BU21" i="2"/>
  <c r="BS21" i="2"/>
  <c r="BR21" i="2"/>
  <c r="CJ21" i="2" s="1"/>
  <c r="BP21" i="2"/>
  <c r="DC21" i="2" s="1" a="1"/>
  <c r="DC21" i="2" s="1"/>
  <c r="BO21" i="2"/>
  <c r="DA21" i="2" s="1" a="1"/>
  <c r="DA21" i="2" s="1"/>
  <c r="BN21" i="2"/>
  <c r="CZ21" i="2" s="1" a="1"/>
  <c r="CZ21" i="2" s="1"/>
  <c r="BM21" i="2"/>
  <c r="CY21" i="2" s="1" a="1"/>
  <c r="CY21" i="2" s="1"/>
  <c r="BK21" i="2"/>
  <c r="CW21" i="2" s="1" a="1"/>
  <c r="CW21" i="2" s="1"/>
  <c r="BJ21" i="2"/>
  <c r="BG21" i="2" a="1"/>
  <c r="BG21" i="2" s="1"/>
  <c r="HA20" i="2"/>
  <c r="DG20" i="2"/>
  <c r="DF20" i="2"/>
  <c r="DE20" i="2"/>
  <c r="DD20" i="2"/>
  <c r="CL20" i="2"/>
  <c r="CH20" i="2"/>
  <c r="CG20" i="2"/>
  <c r="CD20" i="2"/>
  <c r="BZ20" i="2"/>
  <c r="BY20" i="2"/>
  <c r="BV20" i="2"/>
  <c r="BR20" i="2"/>
  <c r="BQ20" i="2"/>
  <c r="BN20" i="2"/>
  <c r="BJ20" i="2"/>
  <c r="BI20" i="2"/>
  <c r="I20" i="2" a="1"/>
  <c r="I20" i="2" s="1"/>
  <c r="AO20" i="2" s="1"/>
  <c r="E20" i="2"/>
  <c r="HF19" i="2"/>
  <c r="HA19" i="2"/>
  <c r="FK19" i="2"/>
  <c r="FJ19" i="2"/>
  <c r="FI19" i="2"/>
  <c r="FG19" i="2"/>
  <c r="FD19" i="2"/>
  <c r="FC19" i="2"/>
  <c r="FB19" i="2"/>
  <c r="FA19" i="2"/>
  <c r="EY19" i="2"/>
  <c r="EV19" i="2"/>
  <c r="EU19" i="2"/>
  <c r="ET19" i="2"/>
  <c r="ES19" i="2"/>
  <c r="EQ19" i="2"/>
  <c r="EN19" i="2"/>
  <c r="EM19" i="2"/>
  <c r="EL19" i="2"/>
  <c r="EK19" i="2"/>
  <c r="EI19" i="2"/>
  <c r="EC19" i="2"/>
  <c r="DT13" i="2" s="1"/>
  <c r="EA19" i="2"/>
  <c r="DZ19" i="2"/>
  <c r="DN19" i="2"/>
  <c r="DK19" i="2"/>
  <c r="DG19" i="2"/>
  <c r="DF19" i="2"/>
  <c r="DE19" i="2"/>
  <c r="DA19" i="2" a="1"/>
  <c r="DA19" i="2" s="1"/>
  <c r="CT19" i="2"/>
  <c r="CR19" i="2"/>
  <c r="CP19" i="2"/>
  <c r="B21" i="2" s="1"/>
  <c r="B23" i="2" s="1"/>
  <c r="B25" i="2" s="1"/>
  <c r="B27" i="2" s="1"/>
  <c r="B29" i="2" s="1"/>
  <c r="B31" i="2" s="1"/>
  <c r="B33" i="2" s="1"/>
  <c r="B35" i="2" s="1"/>
  <c r="B37" i="2" s="1"/>
  <c r="B39" i="2" s="1"/>
  <c r="B41" i="2" s="1"/>
  <c r="B43" i="2" s="1"/>
  <c r="B45" i="2" s="1"/>
  <c r="B47" i="2" s="1"/>
  <c r="B49" i="2" s="1"/>
  <c r="B51" i="2" s="1"/>
  <c r="B53" i="2" s="1"/>
  <c r="B55" i="2" s="1"/>
  <c r="B57" i="2" s="1"/>
  <c r="B59" i="2" s="1"/>
  <c r="B61" i="2" s="1"/>
  <c r="B63" i="2" s="1"/>
  <c r="B65" i="2" s="1"/>
  <c r="B67" i="2" s="1"/>
  <c r="B69" i="2" s="1"/>
  <c r="CO19" i="2"/>
  <c r="CK19" i="2"/>
  <c r="CG19" i="2"/>
  <c r="CF19" i="2"/>
  <c r="CC19" i="2"/>
  <c r="BY19" i="2"/>
  <c r="BX19" i="2"/>
  <c r="BU19" i="2"/>
  <c r="BR19" i="2"/>
  <c r="CE19" i="2" s="1"/>
  <c r="BQ19" i="2"/>
  <c r="BP19" i="2"/>
  <c r="DC19" i="2" s="1" a="1"/>
  <c r="DC19" i="2" s="1"/>
  <c r="BO19" i="2"/>
  <c r="BM19" i="2"/>
  <c r="CY19" i="2" s="1" a="1"/>
  <c r="CY19" i="2" s="1"/>
  <c r="BJ19" i="2"/>
  <c r="CV19" i="2" s="1" a="1"/>
  <c r="CV19" i="2" s="1"/>
  <c r="BI19" i="2"/>
  <c r="CU19" i="2" s="1" a="1"/>
  <c r="CU19" i="2" s="1"/>
  <c r="BG19" i="2" a="1"/>
  <c r="BG19" i="2" s="1"/>
  <c r="G19" i="2"/>
  <c r="C14" i="2" a="1"/>
  <c r="C14" i="2" s="1"/>
  <c r="DQ13" i="2"/>
  <c r="AB13" i="2"/>
  <c r="T12" i="2"/>
  <c r="S12" i="2"/>
  <c r="P12" i="2" a="1"/>
  <c r="P12" i="2" s="1"/>
  <c r="N12" i="2" a="1"/>
  <c r="N12" i="2" s="1"/>
  <c r="L12" i="2" a="1"/>
  <c r="L12" i="2" s="1"/>
  <c r="J12" i="2" a="1"/>
  <c r="J12" i="2" s="1"/>
  <c r="H12" i="2" a="1"/>
  <c r="H12" i="2" s="1"/>
  <c r="C12" i="2" a="1"/>
  <c r="C12" i="2"/>
  <c r="I11" i="2"/>
  <c r="I10" i="2"/>
  <c r="BU9" i="2"/>
  <c r="BV8" i="2"/>
  <c r="M8" i="2"/>
  <c r="K8" i="2"/>
  <c r="G8" i="2"/>
  <c r="CN7" i="2"/>
  <c r="BV7" i="2"/>
  <c r="N7" i="2"/>
  <c r="M7" i="2"/>
  <c r="K7" i="2"/>
  <c r="G7" i="2"/>
  <c r="CN6" i="2"/>
  <c r="BV6" i="2"/>
  <c r="CN5" i="2"/>
  <c r="BV5" i="2"/>
  <c r="AN16" i="2" s="1"/>
  <c r="P5" i="2"/>
  <c r="L5" i="2" a="1"/>
  <c r="L5" i="2"/>
  <c r="K5" i="2"/>
  <c r="CN4" i="2"/>
  <c r="BV4" i="2"/>
  <c r="BV3" i="2"/>
  <c r="AA13" i="2" s="1"/>
  <c r="P14" i="2" a="1"/>
  <c r="N43" i="4"/>
  <c r="P14" i="2" l="1"/>
  <c r="EN28" i="2"/>
  <c r="EW28" i="2"/>
  <c r="AO28" i="2"/>
  <c r="H27" i="2"/>
  <c r="DM51" i="2"/>
  <c r="H21" i="2"/>
  <c r="AO22" i="2"/>
  <c r="O13" i="2"/>
  <c r="FL28" i="2"/>
  <c r="FJ28" i="2"/>
  <c r="EY28" i="2"/>
  <c r="AO34" i="2"/>
  <c r="H33" i="2"/>
  <c r="EV23" i="2"/>
  <c r="BS24" i="2"/>
  <c r="FR62" i="2"/>
  <c r="FO62" i="2"/>
  <c r="GE62" i="2"/>
  <c r="GC62" i="2"/>
  <c r="GH62" i="2"/>
  <c r="FT83" i="2"/>
  <c r="AK81" i="2" a="1"/>
  <c r="AK81" i="2" s="1"/>
  <c r="R81" i="2" a="1"/>
  <c r="R81" i="2" s="1"/>
  <c r="M81" i="2" a="1"/>
  <c r="M81" i="2" s="1"/>
  <c r="N81" i="2" s="1"/>
  <c r="AN76" i="2" a="1"/>
  <c r="AN76" i="2" s="1"/>
  <c r="AE76" i="2" a="1"/>
  <c r="AE76" i="2" s="1"/>
  <c r="V76" i="2" a="1"/>
  <c r="V76" i="2" s="1"/>
  <c r="M76" i="2"/>
  <c r="H76" i="2" a="1"/>
  <c r="H76" i="2" s="1"/>
  <c r="AA81" i="2" a="1"/>
  <c r="AA81" i="2" s="1"/>
  <c r="V81" i="2" a="1"/>
  <c r="V81" i="2" s="1"/>
  <c r="W81" i="2" s="1"/>
  <c r="H81" i="2"/>
  <c r="AI76" i="2" a="1"/>
  <c r="AI76" i="2" s="1"/>
  <c r="Z76" i="2" a="1"/>
  <c r="Z76" i="2" s="1"/>
  <c r="Q76" i="2"/>
  <c r="L76" i="2" a="1"/>
  <c r="L76" i="2" s="1"/>
  <c r="AJ81" i="2" a="1"/>
  <c r="AJ81" i="2" s="1"/>
  <c r="AE81" i="2" a="1"/>
  <c r="AE81" i="2" s="1"/>
  <c r="AF81" i="2" s="1"/>
  <c r="Q81" i="2"/>
  <c r="G81" i="2" a="1"/>
  <c r="G81" i="2" s="1"/>
  <c r="E81" i="2" s="1"/>
  <c r="AM76" i="2" a="1"/>
  <c r="AM76" i="2" s="1"/>
  <c r="AD76" i="2" a="1"/>
  <c r="AD76" i="2" s="1"/>
  <c r="U76" i="2"/>
  <c r="P76" i="2" a="1"/>
  <c r="P76" i="2" s="1"/>
  <c r="G76" i="2" a="1"/>
  <c r="G76" i="2" s="1"/>
  <c r="E76" i="2" s="1"/>
  <c r="U81" i="2" a="1"/>
  <c r="U81" i="2" s="1"/>
  <c r="P81" i="2" a="1"/>
  <c r="P81" i="2" s="1"/>
  <c r="AM81" i="2" a="1"/>
  <c r="AM81" i="2" s="1"/>
  <c r="AH81" i="2" a="1"/>
  <c r="AH81" i="2" s="1"/>
  <c r="AI81" i="2" s="1"/>
  <c r="O81" i="2" a="1"/>
  <c r="O81" i="2" s="1"/>
  <c r="J81" i="2" a="1"/>
  <c r="J81" i="2" s="1"/>
  <c r="K81" i="2" s="1"/>
  <c r="AP76" i="2" a="1"/>
  <c r="AP76" i="2" s="1"/>
  <c r="AG76" i="2"/>
  <c r="AB76" i="2" a="1"/>
  <c r="AB76" i="2" s="1"/>
  <c r="S76" i="2" a="1"/>
  <c r="S76" i="2" s="1"/>
  <c r="J76" i="2" a="1"/>
  <c r="J76" i="2" s="1"/>
  <c r="AB81" i="2" a="1"/>
  <c r="AB81" i="2" s="1"/>
  <c r="AF76" i="2" a="1"/>
  <c r="AF76" i="2" s="1"/>
  <c r="W76" i="2" a="1"/>
  <c r="W76" i="2" s="1"/>
  <c r="N76" i="2" a="1"/>
  <c r="N76" i="2" s="1"/>
  <c r="Y81" i="2" a="1"/>
  <c r="Y81" i="2" s="1"/>
  <c r="Z81" i="2" s="1"/>
  <c r="AO76" i="2"/>
  <c r="AL81" i="2"/>
  <c r="X81" i="2" a="1"/>
  <c r="X81" i="2" s="1"/>
  <c r="T76" i="2" a="1"/>
  <c r="T76" i="2" s="1"/>
  <c r="K76" i="2" a="1"/>
  <c r="K76" i="2" s="1"/>
  <c r="AL76" i="2" a="1"/>
  <c r="AL76" i="2" s="1"/>
  <c r="AC76" i="2"/>
  <c r="AG81" i="2" a="1"/>
  <c r="AG81" i="2" s="1"/>
  <c r="S81" i="2" a="1"/>
  <c r="S81" i="2" s="1"/>
  <c r="T81" i="2" s="1"/>
  <c r="AJ76" i="2" a="1"/>
  <c r="AJ76" i="2" s="1"/>
  <c r="AA76" i="2" a="1"/>
  <c r="AA76" i="2" s="1"/>
  <c r="R76" i="2" a="1"/>
  <c r="R76" i="2" s="1"/>
  <c r="I76" i="2"/>
  <c r="AD81" i="2" a="1"/>
  <c r="AD81" i="2" s="1"/>
  <c r="AK76" i="2"/>
  <c r="O76" i="2" a="1"/>
  <c r="O76" i="2" s="1"/>
  <c r="AC81" i="2"/>
  <c r="AH76" i="2" a="1"/>
  <c r="AH76" i="2" s="1"/>
  <c r="Y76" i="2"/>
  <c r="X76" i="2" a="1"/>
  <c r="X76" i="2" s="1"/>
  <c r="U12" i="2"/>
  <c r="DR13" i="2"/>
  <c r="BK23" i="2"/>
  <c r="CW23" i="2" s="1" a="1"/>
  <c r="CW23" i="2" s="1"/>
  <c r="BS23" i="2"/>
  <c r="CA23" i="2"/>
  <c r="CI23" i="2"/>
  <c r="DL23" i="2"/>
  <c r="DM23" i="2" s="1"/>
  <c r="EO23" i="2"/>
  <c r="EW23" i="2"/>
  <c r="FE23" i="2"/>
  <c r="H24" i="2"/>
  <c r="BU7" i="4" s="1"/>
  <c r="BL24" i="2"/>
  <c r="CB24" i="2"/>
  <c r="EW34" i="2"/>
  <c r="GW33" i="2"/>
  <c r="EK34" i="2"/>
  <c r="AL44" i="2"/>
  <c r="AD44" i="2"/>
  <c r="V44" i="2"/>
  <c r="N44" i="2"/>
  <c r="AK44" i="2"/>
  <c r="AC44" i="2"/>
  <c r="U44" i="2"/>
  <c r="M44" i="2"/>
  <c r="AJ44" i="2"/>
  <c r="AB44" i="2"/>
  <c r="T44" i="2"/>
  <c r="L44" i="2"/>
  <c r="AI44" i="2"/>
  <c r="AA44" i="2"/>
  <c r="S44" i="2"/>
  <c r="K44" i="2"/>
  <c r="AG44" i="2"/>
  <c r="Y44" i="2"/>
  <c r="Q44" i="2"/>
  <c r="AH44" i="2"/>
  <c r="O44" i="2"/>
  <c r="AF44" i="2"/>
  <c r="J44" i="2" a="1"/>
  <c r="J44" i="2" s="1"/>
  <c r="AE44" i="2"/>
  <c r="Z44" i="2"/>
  <c r="X44" i="2"/>
  <c r="FS62" i="2"/>
  <c r="GA62" i="2"/>
  <c r="EN23" i="2"/>
  <c r="FD23" i="2"/>
  <c r="BK24" i="2"/>
  <c r="CI24" i="2"/>
  <c r="BT24" i="2"/>
  <c r="CJ24" i="2"/>
  <c r="ED19" i="2"/>
  <c r="GQ73" i="2"/>
  <c r="GI73" i="2"/>
  <c r="GA73" i="2"/>
  <c r="FS73" i="2"/>
  <c r="GO73" i="2"/>
  <c r="GG73" i="2"/>
  <c r="FY73" i="2"/>
  <c r="FQ73" i="2"/>
  <c r="GC74" i="2" a="1"/>
  <c r="GC74" i="2" s="1"/>
  <c r="GP73" i="2"/>
  <c r="GE73" i="2"/>
  <c r="FU73" i="2"/>
  <c r="GR74" i="2" a="1"/>
  <c r="GR74" i="2" s="1"/>
  <c r="GM74" i="2" a="1"/>
  <c r="GM74" i="2" s="1"/>
  <c r="GH74" i="2" a="1"/>
  <c r="GH74" i="2" s="1"/>
  <c r="GB74" i="2" a="1"/>
  <c r="GB74" i="2" s="1"/>
  <c r="FW74" i="2" a="1"/>
  <c r="FW74" i="2" s="1"/>
  <c r="FR74" i="2" a="1"/>
  <c r="FR74" i="2" s="1"/>
  <c r="GN73" i="2"/>
  <c r="GD73" i="2"/>
  <c r="FT73" i="2"/>
  <c r="GG74" i="2" a="1"/>
  <c r="GG74" i="2" s="1"/>
  <c r="FQ74" i="2" a="1"/>
  <c r="FQ74" i="2" s="1"/>
  <c r="GM73" i="2"/>
  <c r="GC73" i="2"/>
  <c r="FR73" i="2"/>
  <c r="GQ74" i="2" a="1"/>
  <c r="GQ74" i="2" s="1"/>
  <c r="GL74" i="2" a="1"/>
  <c r="GL74" i="2" s="1"/>
  <c r="GF74" i="2" a="1"/>
  <c r="GF74" i="2" s="1"/>
  <c r="GA74" i="2" a="1"/>
  <c r="GA74" i="2" s="1"/>
  <c r="FV74" i="2" a="1"/>
  <c r="FV74" i="2" s="1"/>
  <c r="FP74" i="2" a="1"/>
  <c r="FP74" i="2" s="1"/>
  <c r="GL73" i="2"/>
  <c r="GB73" i="2"/>
  <c r="FP73" i="2"/>
  <c r="GP74" i="2" a="1"/>
  <c r="GP74" i="2" s="1"/>
  <c r="GJ74" i="2" a="1"/>
  <c r="GJ74" i="2" s="1"/>
  <c r="GE74" i="2" a="1"/>
  <c r="GE74" i="2" s="1"/>
  <c r="FZ74" i="2" a="1"/>
  <c r="FZ74" i="2" s="1"/>
  <c r="FT74" i="2" a="1"/>
  <c r="FT74" i="2" s="1"/>
  <c r="FO74" i="2" a="1"/>
  <c r="FO74" i="2" s="1"/>
  <c r="GJ73" i="2"/>
  <c r="FX73" i="2"/>
  <c r="GI74" i="2" a="1"/>
  <c r="GI74" i="2" s="1"/>
  <c r="FZ73" i="2"/>
  <c r="FS74" i="2" a="1"/>
  <c r="FS74" i="2" s="1"/>
  <c r="FW73" i="2"/>
  <c r="FV73" i="2"/>
  <c r="GD74" i="2" a="1"/>
  <c r="GD74" i="2" s="1"/>
  <c r="FO73" i="2"/>
  <c r="GO74" i="2" a="1"/>
  <c r="GO74" i="2" s="1"/>
  <c r="GR73" i="2"/>
  <c r="GN74" i="2" a="1"/>
  <c r="GN74" i="2" s="1"/>
  <c r="FY74" i="2" a="1"/>
  <c r="FY74" i="2" s="1"/>
  <c r="GK73" i="2"/>
  <c r="FX74" i="2" a="1"/>
  <c r="FX74" i="2" s="1"/>
  <c r="FU74" i="2" a="1"/>
  <c r="FU74" i="2" s="1"/>
  <c r="GH73" i="2"/>
  <c r="GF73" i="2"/>
  <c r="BK20" i="2"/>
  <c r="BS20" i="2"/>
  <c r="CA20" i="2"/>
  <c r="CI20" i="2"/>
  <c r="BL23" i="2"/>
  <c r="CX23" i="2" s="1" a="1"/>
  <c r="CX23" i="2" s="1"/>
  <c r="BT23" i="2"/>
  <c r="CB23" i="2"/>
  <c r="CJ23" i="2"/>
  <c r="EH23" i="2"/>
  <c r="EP23" i="2"/>
  <c r="EX23" i="2"/>
  <c r="FF23" i="2"/>
  <c r="BM24" i="2"/>
  <c r="BU24" i="2"/>
  <c r="CC24" i="2"/>
  <c r="CK24" i="2"/>
  <c r="BU27" i="2"/>
  <c r="CD27" i="2"/>
  <c r="EL28" i="2"/>
  <c r="CJ29" i="2"/>
  <c r="CB29" i="2"/>
  <c r="BT29" i="2"/>
  <c r="CA29" i="2"/>
  <c r="CK29" i="2"/>
  <c r="I30" i="2" a="1"/>
  <c r="I30" i="2" s="1"/>
  <c r="BQ30" i="2"/>
  <c r="CA30" i="2"/>
  <c r="CL30" i="2"/>
  <c r="BM31" i="2"/>
  <c r="CY31" i="2" s="1" a="1"/>
  <c r="CY31" i="2" s="1"/>
  <c r="DG31" i="2"/>
  <c r="EJ31" i="2"/>
  <c r="EU31" i="2"/>
  <c r="FF31" i="2"/>
  <c r="FF32" i="2" s="1"/>
  <c r="BQ32" i="2"/>
  <c r="CC32" i="2"/>
  <c r="GT33" i="2"/>
  <c r="GY33" i="2"/>
  <c r="GX33" i="2"/>
  <c r="EY34" i="2"/>
  <c r="GU33" i="2"/>
  <c r="EP34" i="2"/>
  <c r="EN34" i="2"/>
  <c r="CH37" i="2"/>
  <c r="CO64" i="2"/>
  <c r="GK74" i="2" a="1"/>
  <c r="GK74" i="2" s="1"/>
  <c r="BZ23" i="2"/>
  <c r="B1" i="7" a="1"/>
  <c r="B1" i="7" s="1"/>
  <c r="D1" i="6" a="1"/>
  <c r="D1" i="6" s="1"/>
  <c r="B1" i="6" a="1"/>
  <c r="B1" i="6" s="1"/>
  <c r="K12" i="2" a="1"/>
  <c r="K12" i="2" s="1"/>
  <c r="O12" i="2" a="1"/>
  <c r="O12" i="2" s="1"/>
  <c r="V12" i="2"/>
  <c r="DS13" i="2"/>
  <c r="CO15" i="2" a="1"/>
  <c r="CO15" i="2" s="1"/>
  <c r="BZ19" i="2"/>
  <c r="CH19" i="2"/>
  <c r="W12" i="2"/>
  <c r="BK19" i="2"/>
  <c r="CW19" i="2" s="1" a="1"/>
  <c r="CW19" i="2" s="1"/>
  <c r="BS19" i="2"/>
  <c r="CA19" i="2"/>
  <c r="CI19" i="2"/>
  <c r="DB19" i="2" a="1"/>
  <c r="DB19" i="2" s="1"/>
  <c r="DL19" i="2"/>
  <c r="DM19" i="2" s="1"/>
  <c r="EO19" i="2"/>
  <c r="EW19" i="2"/>
  <c r="FE19" i="2"/>
  <c r="H20" i="2"/>
  <c r="BU3" i="4" s="1"/>
  <c r="BL20" i="2"/>
  <c r="BT20" i="2"/>
  <c r="CB20" i="2"/>
  <c r="CJ20" i="2"/>
  <c r="BI21" i="2"/>
  <c r="CU21" i="2" s="1" a="1"/>
  <c r="CU21" i="2" s="1"/>
  <c r="BQ21" i="2"/>
  <c r="BY21" i="2"/>
  <c r="CG21" i="2"/>
  <c r="DG21" i="2"/>
  <c r="EM21" i="2"/>
  <c r="EU21" i="2"/>
  <c r="EU22" i="2" s="1"/>
  <c r="FC21" i="2"/>
  <c r="FK21" i="2"/>
  <c r="HF21" i="2"/>
  <c r="BJ22" i="2"/>
  <c r="BR22" i="2"/>
  <c r="BZ22" i="2"/>
  <c r="BM23" i="2"/>
  <c r="CY23" i="2" s="1" a="1"/>
  <c r="CY23" i="2" s="1"/>
  <c r="BU23" i="2"/>
  <c r="CC23" i="2"/>
  <c r="CK23" i="2"/>
  <c r="DN23" i="2"/>
  <c r="EI23" i="2"/>
  <c r="EQ23" i="2"/>
  <c r="EY23" i="2"/>
  <c r="FG23" i="2"/>
  <c r="FG24" i="2" s="1"/>
  <c r="I24" i="2" a="1"/>
  <c r="I24" i="2" s="1"/>
  <c r="AO24" i="2" s="1"/>
  <c r="BN24" i="2"/>
  <c r="BV24" i="2"/>
  <c r="CD24" i="2"/>
  <c r="CL24" i="2"/>
  <c r="BZ25" i="2"/>
  <c r="GQ88" i="2"/>
  <c r="GI88" i="2"/>
  <c r="GA88" i="2"/>
  <c r="FS88" i="2"/>
  <c r="GC89" i="2" a="1"/>
  <c r="GC89" i="2" s="1"/>
  <c r="FY89" i="2" a="1"/>
  <c r="FY89" i="2" s="1"/>
  <c r="GP88" i="2"/>
  <c r="GH88" i="2"/>
  <c r="FZ88" i="2"/>
  <c r="FR88" i="2"/>
  <c r="GO88" i="2"/>
  <c r="GG88" i="2"/>
  <c r="FY88" i="2"/>
  <c r="FQ88" i="2"/>
  <c r="GB89" i="2" a="1"/>
  <c r="GB89" i="2" s="1"/>
  <c r="FX89" i="2" a="1"/>
  <c r="FX89" i="2" s="1"/>
  <c r="GN88" i="2"/>
  <c r="GF88" i="2"/>
  <c r="FX88" i="2"/>
  <c r="FP88" i="2"/>
  <c r="GQ89" i="2" a="1"/>
  <c r="GQ89" i="2" s="1"/>
  <c r="GM89" i="2" a="1"/>
  <c r="GM89" i="2" s="1"/>
  <c r="GL88" i="2"/>
  <c r="GD88" i="2"/>
  <c r="FV88" i="2"/>
  <c r="GJ88" i="2"/>
  <c r="GE88" i="2"/>
  <c r="GC88" i="2"/>
  <c r="GL89" i="2" a="1"/>
  <c r="GL89" i="2" s="1"/>
  <c r="GB88" i="2"/>
  <c r="GR88" i="2"/>
  <c r="FU88" i="2"/>
  <c r="FT88" i="2"/>
  <c r="FO88" i="2"/>
  <c r="FV89" i="2" a="1"/>
  <c r="FV89" i="2" s="1"/>
  <c r="GM88" i="2"/>
  <c r="CL26" i="2"/>
  <c r="CD26" i="2"/>
  <c r="BV26" i="2"/>
  <c r="BN26" i="2"/>
  <c r="I26" i="2" a="1"/>
  <c r="I26" i="2" s="1"/>
  <c r="FG25" i="2"/>
  <c r="EY25" i="2"/>
  <c r="EY26" i="2" s="1"/>
  <c r="EQ25" i="2"/>
  <c r="EI25" i="2"/>
  <c r="DN25" i="2"/>
  <c r="GK88" i="2"/>
  <c r="FW88" i="2"/>
  <c r="BQ26" i="2"/>
  <c r="BZ26" i="2"/>
  <c r="CI26" i="2"/>
  <c r="BV27" i="2"/>
  <c r="CE27" i="2"/>
  <c r="FA28" i="2"/>
  <c r="BU10" i="4"/>
  <c r="GQ93" i="2"/>
  <c r="GI93" i="2"/>
  <c r="GA93" i="2"/>
  <c r="FS93" i="2"/>
  <c r="GO94" i="2" a="1"/>
  <c r="GO94" i="2" s="1"/>
  <c r="GK94" i="2" a="1"/>
  <c r="GK94" i="2" s="1"/>
  <c r="GG94" i="2" a="1"/>
  <c r="GG94" i="2" s="1"/>
  <c r="GC94" i="2" a="1"/>
  <c r="GC94" i="2" s="1"/>
  <c r="FY94" i="2" a="1"/>
  <c r="FY94" i="2" s="1"/>
  <c r="FU94" i="2" a="1"/>
  <c r="FU94" i="2" s="1"/>
  <c r="FQ94" i="2" a="1"/>
  <c r="FQ94" i="2" s="1"/>
  <c r="GP93" i="2"/>
  <c r="GH93" i="2"/>
  <c r="FZ93" i="2"/>
  <c r="FR93" i="2"/>
  <c r="GO93" i="2"/>
  <c r="GG93" i="2"/>
  <c r="FY93" i="2"/>
  <c r="FQ93" i="2"/>
  <c r="GR94" i="2" a="1"/>
  <c r="GR94" i="2" s="1"/>
  <c r="GN94" i="2" a="1"/>
  <c r="GN94" i="2" s="1"/>
  <c r="GJ94" i="2" a="1"/>
  <c r="GJ94" i="2" s="1"/>
  <c r="GF94" i="2" a="1"/>
  <c r="GF94" i="2" s="1"/>
  <c r="GB94" i="2" a="1"/>
  <c r="GB94" i="2" s="1"/>
  <c r="FX94" i="2" a="1"/>
  <c r="FX94" i="2" s="1"/>
  <c r="FT94" i="2" a="1"/>
  <c r="FT94" i="2" s="1"/>
  <c r="FP94" i="2" a="1"/>
  <c r="FP94" i="2" s="1"/>
  <c r="GN93" i="2"/>
  <c r="GF93" i="2"/>
  <c r="FX93" i="2"/>
  <c r="FP93" i="2"/>
  <c r="GQ94" i="2" a="1"/>
  <c r="GQ94" i="2" s="1"/>
  <c r="GM94" i="2" a="1"/>
  <c r="GM94" i="2" s="1"/>
  <c r="GI94" i="2" a="1"/>
  <c r="GI94" i="2" s="1"/>
  <c r="GE94" i="2" a="1"/>
  <c r="GE94" i="2" s="1"/>
  <c r="GA94" i="2" a="1"/>
  <c r="GA94" i="2" s="1"/>
  <c r="FW94" i="2" a="1"/>
  <c r="FW94" i="2" s="1"/>
  <c r="FS94" i="2" a="1"/>
  <c r="FS94" i="2" s="1"/>
  <c r="FO94" i="2" a="1"/>
  <c r="FO94" i="2" s="1"/>
  <c r="GL93" i="2"/>
  <c r="GD93" i="2"/>
  <c r="FV93" i="2"/>
  <c r="GD94" i="2" a="1"/>
  <c r="GD94" i="2" s="1"/>
  <c r="GE93" i="2"/>
  <c r="FR94" i="2" a="1"/>
  <c r="FR94" i="2" s="1"/>
  <c r="GC93" i="2"/>
  <c r="GL94" i="2" a="1"/>
  <c r="GL94" i="2" s="1"/>
  <c r="GB93" i="2"/>
  <c r="FZ94" i="2" a="1"/>
  <c r="FZ94" i="2" s="1"/>
  <c r="FW93" i="2"/>
  <c r="GH94" i="2" a="1"/>
  <c r="GH94" i="2" s="1"/>
  <c r="GM93" i="2"/>
  <c r="FT93" i="2"/>
  <c r="GP94" i="2" a="1"/>
  <c r="GP94" i="2" s="1"/>
  <c r="GK93" i="2"/>
  <c r="GJ93" i="2"/>
  <c r="FU93" i="2"/>
  <c r="FO93" i="2"/>
  <c r="FV94" i="2" a="1"/>
  <c r="FV94" i="2" s="1"/>
  <c r="CG28" i="2"/>
  <c r="BY28" i="2"/>
  <c r="BQ28" i="2"/>
  <c r="BI28" i="2"/>
  <c r="HF27" i="2"/>
  <c r="FK27" i="2"/>
  <c r="FK28" i="2" s="1"/>
  <c r="FC27" i="2"/>
  <c r="FC28" i="2" s="1"/>
  <c r="EU27" i="2"/>
  <c r="EU28" i="2" s="1"/>
  <c r="EM27" i="2"/>
  <c r="EO28" i="2" s="1"/>
  <c r="DG27" i="2"/>
  <c r="BQ27" i="2"/>
  <c r="BI27" i="2"/>
  <c r="CU27" i="2" s="1" a="1"/>
  <c r="CU27" i="2" s="1"/>
  <c r="GR93" i="2"/>
  <c r="BO28" i="2"/>
  <c r="BX28" i="2"/>
  <c r="CH28" i="2"/>
  <c r="BJ29" i="2"/>
  <c r="CV29" i="2" s="1" a="1"/>
  <c r="CV29" i="2" s="1"/>
  <c r="BS29" i="2"/>
  <c r="CC29" i="2"/>
  <c r="CL29" i="2"/>
  <c r="DG29" i="2"/>
  <c r="EI29" i="2"/>
  <c r="ES29" i="2"/>
  <c r="FD29" i="2"/>
  <c r="AN30" i="2" a="1"/>
  <c r="AN30" i="2" s="1"/>
  <c r="BR30" i="2"/>
  <c r="CC30" i="2"/>
  <c r="BN31" i="2"/>
  <c r="CZ31" i="2" s="1" a="1"/>
  <c r="CZ31" i="2" s="1"/>
  <c r="DK31" i="2"/>
  <c r="EL31" i="2"/>
  <c r="EV31" i="2"/>
  <c r="FG31" i="2"/>
  <c r="BR32" i="2"/>
  <c r="CF32" i="2"/>
  <c r="EQ34" i="2"/>
  <c r="FG34" i="2"/>
  <c r="CI37" i="2"/>
  <c r="P44" i="2"/>
  <c r="AO54" i="2"/>
  <c r="H53" i="2"/>
  <c r="CP15" i="2" a="1"/>
  <c r="CP15" i="2" s="1"/>
  <c r="CP17" i="2"/>
  <c r="BL19" i="2"/>
  <c r="CX19" i="2" s="1" a="1"/>
  <c r="CX19" i="2" s="1"/>
  <c r="BT19" i="2"/>
  <c r="CB19" i="2"/>
  <c r="CJ19" i="2"/>
  <c r="EH19" i="2"/>
  <c r="EQ20" i="2" s="1"/>
  <c r="EP19" i="2"/>
  <c r="EX19" i="2"/>
  <c r="FF19" i="2"/>
  <c r="BM20" i="2"/>
  <c r="BU20" i="2"/>
  <c r="CC20" i="2"/>
  <c r="CK20" i="2"/>
  <c r="BZ21" i="2"/>
  <c r="CH21" i="2"/>
  <c r="BU4" i="4"/>
  <c r="GQ78" i="2"/>
  <c r="GI78" i="2"/>
  <c r="GA78" i="2"/>
  <c r="FS78" i="2"/>
  <c r="GO79" i="2" a="1"/>
  <c r="GO79" i="2" s="1"/>
  <c r="GK79" i="2" a="1"/>
  <c r="GK79" i="2" s="1"/>
  <c r="GG79" i="2" a="1"/>
  <c r="GG79" i="2" s="1"/>
  <c r="GC79" i="2" a="1"/>
  <c r="GC79" i="2" s="1"/>
  <c r="FY79" i="2" a="1"/>
  <c r="FY79" i="2" s="1"/>
  <c r="FU79" i="2" a="1"/>
  <c r="FU79" i="2" s="1"/>
  <c r="FQ79" i="2" a="1"/>
  <c r="FQ79" i="2" s="1"/>
  <c r="GP78" i="2"/>
  <c r="GH78" i="2"/>
  <c r="FZ78" i="2"/>
  <c r="FR78" i="2"/>
  <c r="GO78" i="2"/>
  <c r="GG78" i="2"/>
  <c r="FY78" i="2"/>
  <c r="FQ78" i="2"/>
  <c r="GR79" i="2" a="1"/>
  <c r="GR79" i="2" s="1"/>
  <c r="GN79" i="2" a="1"/>
  <c r="GN79" i="2" s="1"/>
  <c r="GJ79" i="2" a="1"/>
  <c r="GJ79" i="2" s="1"/>
  <c r="GQ79" i="2" a="1"/>
  <c r="GQ79" i="2" s="1"/>
  <c r="GM79" i="2" a="1"/>
  <c r="GM79" i="2" s="1"/>
  <c r="GI79" i="2" a="1"/>
  <c r="GI79" i="2" s="1"/>
  <c r="GE79" i="2" a="1"/>
  <c r="GE79" i="2" s="1"/>
  <c r="GA79" i="2" a="1"/>
  <c r="GA79" i="2" s="1"/>
  <c r="FW79" i="2" a="1"/>
  <c r="FW79" i="2" s="1"/>
  <c r="FS79" i="2" a="1"/>
  <c r="FS79" i="2" s="1"/>
  <c r="FO79" i="2" a="1"/>
  <c r="FO79" i="2" s="1"/>
  <c r="GL78" i="2"/>
  <c r="GD78" i="2"/>
  <c r="FV78" i="2"/>
  <c r="GC78" i="2"/>
  <c r="GD79" i="2" a="1"/>
  <c r="GD79" i="2" s="1"/>
  <c r="FV79" i="2" a="1"/>
  <c r="FV79" i="2" s="1"/>
  <c r="GR78" i="2"/>
  <c r="GB78" i="2"/>
  <c r="GL79" i="2" a="1"/>
  <c r="GL79" i="2" s="1"/>
  <c r="GB79" i="2" a="1"/>
  <c r="GB79" i="2" s="1"/>
  <c r="FT79" i="2" a="1"/>
  <c r="FT79" i="2" s="1"/>
  <c r="GN78" i="2"/>
  <c r="FX78" i="2"/>
  <c r="GM78" i="2"/>
  <c r="FW78" i="2"/>
  <c r="GH79" i="2" a="1"/>
  <c r="GH79" i="2" s="1"/>
  <c r="FZ79" i="2" a="1"/>
  <c r="FZ79" i="2" s="1"/>
  <c r="FR79" i="2" a="1"/>
  <c r="FR79" i="2" s="1"/>
  <c r="GJ78" i="2"/>
  <c r="FT78" i="2"/>
  <c r="GP79" i="2" a="1"/>
  <c r="GP79" i="2" s="1"/>
  <c r="FP79" i="2" a="1"/>
  <c r="FP79" i="2" s="1"/>
  <c r="GF79" i="2" a="1"/>
  <c r="GF79" i="2" s="1"/>
  <c r="GK78" i="2"/>
  <c r="GF78" i="2"/>
  <c r="GE78" i="2"/>
  <c r="FX79" i="2" a="1"/>
  <c r="FX79" i="2" s="1"/>
  <c r="FU78" i="2"/>
  <c r="FO78" i="2"/>
  <c r="BK22" i="2"/>
  <c r="BS22" i="2"/>
  <c r="CA22" i="2"/>
  <c r="CI22" i="2"/>
  <c r="BN23" i="2"/>
  <c r="CZ23" i="2" s="1" a="1"/>
  <c r="CZ23" i="2" s="1"/>
  <c r="BV23" i="2"/>
  <c r="CD23" i="2"/>
  <c r="CL23" i="2"/>
  <c r="DD23" i="2"/>
  <c r="EJ23" i="2"/>
  <c r="ER23" i="2"/>
  <c r="EZ23" i="2"/>
  <c r="FH23" i="2"/>
  <c r="AN24" i="2" a="1"/>
  <c r="AN24" i="2" s="1"/>
  <c r="BO24" i="2"/>
  <c r="BW24" i="2"/>
  <c r="DB25" i="2" a="1"/>
  <c r="DB25" i="2" s="1"/>
  <c r="BU9" i="4"/>
  <c r="BW27" i="2"/>
  <c r="CF27" i="2"/>
  <c r="DY27" i="2"/>
  <c r="ES28" i="2"/>
  <c r="BK29" i="2"/>
  <c r="CW29" i="2" s="1" a="1"/>
  <c r="CW29" i="2" s="1"/>
  <c r="BU29" i="2"/>
  <c r="CD29" i="2"/>
  <c r="DK29" i="2"/>
  <c r="DM29" i="2" s="1"/>
  <c r="EJ29" i="2"/>
  <c r="EU29" i="2"/>
  <c r="FE29" i="2"/>
  <c r="BI30" i="2"/>
  <c r="BS30" i="2"/>
  <c r="CD30" i="2"/>
  <c r="BP31" i="2"/>
  <c r="EM31" i="2"/>
  <c r="EX31" i="2"/>
  <c r="FH31" i="2"/>
  <c r="HF31" i="2"/>
  <c r="BT32" i="2"/>
  <c r="R44" i="2"/>
  <c r="DM47" i="2"/>
  <c r="AM68" i="2"/>
  <c r="AE68" i="2"/>
  <c r="W68" i="2"/>
  <c r="O68" i="2"/>
  <c r="AL68" i="2"/>
  <c r="AD68" i="2"/>
  <c r="V68" i="2"/>
  <c r="N68" i="2"/>
  <c r="AK68" i="2"/>
  <c r="AC68" i="2"/>
  <c r="U68" i="2"/>
  <c r="M68" i="2"/>
  <c r="AJ68" i="2"/>
  <c r="AB68" i="2"/>
  <c r="T68" i="2"/>
  <c r="L68" i="2"/>
  <c r="AH68" i="2"/>
  <c r="Z68" i="2"/>
  <c r="R68" i="2"/>
  <c r="J68" i="2"/>
  <c r="Y68" i="2"/>
  <c r="X68" i="2"/>
  <c r="S68" i="2"/>
  <c r="Q68" i="2"/>
  <c r="AI68" i="2"/>
  <c r="P68" i="2"/>
  <c r="AG68" i="2"/>
  <c r="K68" i="2"/>
  <c r="AF68" i="2"/>
  <c r="AA68" i="2"/>
  <c r="DC67" i="2" a="1"/>
  <c r="DC67" i="2" s="1"/>
  <c r="DB67" i="2" a="1"/>
  <c r="DB67" i="2" s="1"/>
  <c r="CH23" i="2"/>
  <c r="GQ83" i="2"/>
  <c r="GI83" i="2"/>
  <c r="GA83" i="2"/>
  <c r="FS83" i="2"/>
  <c r="GO84" i="2" a="1"/>
  <c r="GO84" i="2" s="1"/>
  <c r="GK84" i="2" a="1"/>
  <c r="GK84" i="2" s="1"/>
  <c r="GG84" i="2" a="1"/>
  <c r="GG84" i="2" s="1"/>
  <c r="GC84" i="2" a="1"/>
  <c r="GC84" i="2" s="1"/>
  <c r="FY84" i="2" a="1"/>
  <c r="FY84" i="2" s="1"/>
  <c r="FU84" i="2" a="1"/>
  <c r="FU84" i="2" s="1"/>
  <c r="FQ84" i="2" a="1"/>
  <c r="FQ84" i="2" s="1"/>
  <c r="GP83" i="2"/>
  <c r="GH83" i="2"/>
  <c r="FZ83" i="2"/>
  <c r="FR83" i="2"/>
  <c r="GO83" i="2"/>
  <c r="GG83" i="2"/>
  <c r="FY83" i="2"/>
  <c r="FQ83" i="2"/>
  <c r="GR84" i="2" a="1"/>
  <c r="GR84" i="2" s="1"/>
  <c r="GN84" i="2" a="1"/>
  <c r="GN84" i="2" s="1"/>
  <c r="GJ84" i="2" a="1"/>
  <c r="GJ84" i="2" s="1"/>
  <c r="GF84" i="2" a="1"/>
  <c r="GF84" i="2" s="1"/>
  <c r="GB84" i="2" a="1"/>
  <c r="GB84" i="2" s="1"/>
  <c r="FX84" i="2" a="1"/>
  <c r="FX84" i="2" s="1"/>
  <c r="FT84" i="2" a="1"/>
  <c r="FT84" i="2" s="1"/>
  <c r="FP84" i="2" a="1"/>
  <c r="FP84" i="2" s="1"/>
  <c r="GN83" i="2"/>
  <c r="GF83" i="2"/>
  <c r="FX83" i="2"/>
  <c r="FP83" i="2"/>
  <c r="GQ84" i="2" a="1"/>
  <c r="GQ84" i="2" s="1"/>
  <c r="GM84" i="2" a="1"/>
  <c r="GM84" i="2" s="1"/>
  <c r="GI84" i="2" a="1"/>
  <c r="GI84" i="2" s="1"/>
  <c r="GE84" i="2" a="1"/>
  <c r="GE84" i="2" s="1"/>
  <c r="GA84" i="2" a="1"/>
  <c r="GA84" i="2" s="1"/>
  <c r="FW84" i="2" a="1"/>
  <c r="FW84" i="2" s="1"/>
  <c r="FS84" i="2" a="1"/>
  <c r="FS84" i="2" s="1"/>
  <c r="FO84" i="2" a="1"/>
  <c r="FO84" i="2" s="1"/>
  <c r="GL83" i="2"/>
  <c r="GD83" i="2"/>
  <c r="FV83" i="2"/>
  <c r="FV84" i="2" a="1"/>
  <c r="FV84" i="2" s="1"/>
  <c r="GK83" i="2"/>
  <c r="FO83" i="2"/>
  <c r="GP84" i="2" a="1"/>
  <c r="GP84" i="2" s="1"/>
  <c r="GJ83" i="2"/>
  <c r="GD84" i="2" a="1"/>
  <c r="GD84" i="2" s="1"/>
  <c r="GE83" i="2"/>
  <c r="FR84" i="2" a="1"/>
  <c r="FR84" i="2" s="1"/>
  <c r="GC83" i="2"/>
  <c r="FZ84" i="2" a="1"/>
  <c r="FZ84" i="2" s="1"/>
  <c r="FW83" i="2"/>
  <c r="GR83" i="2"/>
  <c r="GL84" i="2" a="1"/>
  <c r="GL84" i="2" s="1"/>
  <c r="GM83" i="2"/>
  <c r="GB83" i="2"/>
  <c r="GH84" i="2" a="1"/>
  <c r="GH84" i="2" s="1"/>
  <c r="FU83" i="2"/>
  <c r="DB43" i="2" a="1"/>
  <c r="DB43" i="2" s="1"/>
  <c r="DC43" i="2" a="1"/>
  <c r="DC43" i="2" s="1"/>
  <c r="X12" i="2"/>
  <c r="S11" i="2"/>
  <c r="Y13" i="2"/>
  <c r="BO23" i="2"/>
  <c r="DA23" i="2" s="1" a="1"/>
  <c r="DA23" i="2" s="1"/>
  <c r="BW23" i="2"/>
  <c r="CE23" i="2"/>
  <c r="DE23" i="2"/>
  <c r="DZ23" i="2"/>
  <c r="DQ35" i="2" s="1"/>
  <c r="EK23" i="2"/>
  <c r="ES23" i="2"/>
  <c r="FA23" i="2"/>
  <c r="FI23" i="2"/>
  <c r="BP24" i="2"/>
  <c r="BX24" i="2"/>
  <c r="CF24" i="2"/>
  <c r="DQ27" i="2"/>
  <c r="EK28" i="2"/>
  <c r="GQ103" i="2"/>
  <c r="GI103" i="2"/>
  <c r="GA103" i="2"/>
  <c r="FS103" i="2"/>
  <c r="GL104" i="2" a="1"/>
  <c r="GL104" i="2" s="1"/>
  <c r="GG104" i="2" a="1"/>
  <c r="GG104" i="2" s="1"/>
  <c r="FX104" i="2" a="1"/>
  <c r="FX104" i="2" s="1"/>
  <c r="FO104" i="2" a="1"/>
  <c r="FO104" i="2" s="1"/>
  <c r="GK103" i="2"/>
  <c r="GB103" i="2"/>
  <c r="FR103" i="2"/>
  <c r="GP104" i="2" a="1"/>
  <c r="GP104" i="2" s="1"/>
  <c r="GK104" i="2" a="1"/>
  <c r="GK104" i="2" s="1"/>
  <c r="GB104" i="2" a="1"/>
  <c r="GB104" i="2" s="1"/>
  <c r="FS104" i="2" a="1"/>
  <c r="FS104" i="2" s="1"/>
  <c r="GJ103" i="2"/>
  <c r="FZ103" i="2"/>
  <c r="FQ103" i="2"/>
  <c r="GO104" i="2" a="1"/>
  <c r="GO104" i="2" s="1"/>
  <c r="GF104" i="2" a="1"/>
  <c r="GF104" i="2" s="1"/>
  <c r="FW104" i="2" a="1"/>
  <c r="FW104" i="2" s="1"/>
  <c r="GR103" i="2"/>
  <c r="GH103" i="2"/>
  <c r="FY103" i="2"/>
  <c r="FP103" i="2"/>
  <c r="GJ104" i="2" a="1"/>
  <c r="GJ104" i="2" s="1"/>
  <c r="GA104" i="2" a="1"/>
  <c r="GA104" i="2" s="1"/>
  <c r="FR104" i="2" a="1"/>
  <c r="FR104" i="2" s="1"/>
  <c r="GP103" i="2"/>
  <c r="GG103" i="2"/>
  <c r="FX103" i="2"/>
  <c r="FO103" i="2"/>
  <c r="GR104" i="2" a="1"/>
  <c r="GR104" i="2" s="1"/>
  <c r="GI104" i="2" a="1"/>
  <c r="GI104" i="2" s="1"/>
  <c r="FZ104" i="2" a="1"/>
  <c r="FZ104" i="2" s="1"/>
  <c r="FU104" i="2" a="1"/>
  <c r="FU104" i="2" s="1"/>
  <c r="GN103" i="2"/>
  <c r="GE103" i="2"/>
  <c r="FV103" i="2"/>
  <c r="FV104" i="2" a="1"/>
  <c r="FV104" i="2" s="1"/>
  <c r="GL103" i="2"/>
  <c r="GH104" i="2" a="1"/>
  <c r="GH104" i="2" s="1"/>
  <c r="GF103" i="2"/>
  <c r="GE104" i="2" a="1"/>
  <c r="GE104" i="2" s="1"/>
  <c r="FT104" i="2" a="1"/>
  <c r="FT104" i="2" s="1"/>
  <c r="GD103" i="2"/>
  <c r="GQ104" i="2" a="1"/>
  <c r="GQ104" i="2" s="1"/>
  <c r="GD104" i="2" a="1"/>
  <c r="GD104" i="2" s="1"/>
  <c r="FQ104" i="2" a="1"/>
  <c r="FQ104" i="2" s="1"/>
  <c r="GC103" i="2"/>
  <c r="GM104" i="2" a="1"/>
  <c r="GM104" i="2" s="1"/>
  <c r="FU103" i="2"/>
  <c r="FW103" i="2"/>
  <c r="FT103" i="2"/>
  <c r="GC104" i="2" a="1"/>
  <c r="GC104" i="2" s="1"/>
  <c r="FY104" i="2" a="1"/>
  <c r="FY104" i="2" s="1"/>
  <c r="FP104" i="2" a="1"/>
  <c r="FP104" i="2" s="1"/>
  <c r="GN104" i="2" a="1"/>
  <c r="GN104" i="2" s="1"/>
  <c r="CE32" i="2"/>
  <c r="BW32" i="2"/>
  <c r="BO32" i="2"/>
  <c r="AN32" i="2" a="1"/>
  <c r="AN32" i="2" s="1"/>
  <c r="FI31" i="2"/>
  <c r="FA31" i="2"/>
  <c r="ES31" i="2"/>
  <c r="EK31" i="2"/>
  <c r="DZ31" i="2"/>
  <c r="DR55" i="2" s="1"/>
  <c r="DE31" i="2"/>
  <c r="BO31" i="2"/>
  <c r="DA31" i="2" s="1" a="1"/>
  <c r="DA31" i="2" s="1"/>
  <c r="GO103" i="2"/>
  <c r="CL32" i="2"/>
  <c r="CD32" i="2"/>
  <c r="BV32" i="2"/>
  <c r="BN32" i="2"/>
  <c r="I32" i="2" a="1"/>
  <c r="I32" i="2" s="1"/>
  <c r="GM103" i="2"/>
  <c r="CI32" i="2"/>
  <c r="CA32" i="2"/>
  <c r="BS32" i="2"/>
  <c r="BK32" i="2"/>
  <c r="FE31" i="2"/>
  <c r="EW31" i="2"/>
  <c r="EO31" i="2"/>
  <c r="DL31" i="2"/>
  <c r="BK31" i="2"/>
  <c r="CW31" i="2" s="1" a="1"/>
  <c r="CW31" i="2" s="1"/>
  <c r="BI32" i="2"/>
  <c r="BU32" i="2"/>
  <c r="CH32" i="2"/>
  <c r="FA34" i="2"/>
  <c r="CF37" i="2"/>
  <c r="BX37" i="2"/>
  <c r="CL37" i="2"/>
  <c r="CD37" i="2"/>
  <c r="BV37" i="2"/>
  <c r="CG37" i="2"/>
  <c r="BU37" i="2"/>
  <c r="CE37" i="2"/>
  <c r="BT37" i="2"/>
  <c r="CC37" i="2"/>
  <c r="BS37" i="2"/>
  <c r="CK37" i="2"/>
  <c r="CA37" i="2"/>
  <c r="W44" i="2"/>
  <c r="FP78" i="2"/>
  <c r="CA24" i="2"/>
  <c r="CO68" i="2"/>
  <c r="CO62" i="2"/>
  <c r="CO66" i="2"/>
  <c r="CO54" i="2"/>
  <c r="CO46" i="2"/>
  <c r="CO58" i="2"/>
  <c r="CO56" i="2"/>
  <c r="CO44" i="2"/>
  <c r="CO60" i="2"/>
  <c r="BV11" i="2"/>
  <c r="I12" i="2" a="1"/>
  <c r="I12" i="2" s="1"/>
  <c r="M12" i="2" a="1"/>
  <c r="M12" i="2" s="1"/>
  <c r="Q12" i="2" a="1"/>
  <c r="Q12" i="2" s="1"/>
  <c r="Z13" i="2"/>
  <c r="H19" i="2"/>
  <c r="BU2" i="4" s="1"/>
  <c r="BN19" i="2"/>
  <c r="CZ19" i="2" s="1" a="1"/>
  <c r="CZ19" i="2" s="1"/>
  <c r="BV19" i="2"/>
  <c r="CD19" i="2"/>
  <c r="CL19" i="2"/>
  <c r="DD19" i="2"/>
  <c r="EJ19" i="2"/>
  <c r="ER19" i="2"/>
  <c r="EZ19" i="2"/>
  <c r="FH19" i="2"/>
  <c r="AN20" i="2" a="1"/>
  <c r="AN20" i="2" s="1"/>
  <c r="BO20" i="2"/>
  <c r="BW20" i="2"/>
  <c r="CE20" i="2"/>
  <c r="CO20" i="2"/>
  <c r="A21" i="2"/>
  <c r="BL21" i="2"/>
  <c r="CX21" i="2" s="1" a="1"/>
  <c r="CX21" i="2" s="1"/>
  <c r="BT21" i="2"/>
  <c r="CB21" i="2"/>
  <c r="EH21" i="2"/>
  <c r="EP21" i="2"/>
  <c r="EX21" i="2"/>
  <c r="FF21" i="2"/>
  <c r="BM22" i="2"/>
  <c r="BU22" i="2"/>
  <c r="CC22" i="2"/>
  <c r="CK22" i="2"/>
  <c r="BP23" i="2"/>
  <c r="BX23" i="2"/>
  <c r="CF23" i="2"/>
  <c r="DF23" i="2"/>
  <c r="EA23" i="2"/>
  <c r="EL23" i="2"/>
  <c r="EL24" i="2" s="1"/>
  <c r="ET23" i="2"/>
  <c r="FB23" i="2"/>
  <c r="FJ23" i="2"/>
  <c r="BI24" i="2"/>
  <c r="BQ24" i="2"/>
  <c r="BY24" i="2"/>
  <c r="CG24" i="2"/>
  <c r="BZ27" i="2"/>
  <c r="GV27" i="2"/>
  <c r="BN29" i="2"/>
  <c r="CZ29" i="2" s="1" a="1"/>
  <c r="CZ29" i="2" s="1"/>
  <c r="BW29" i="2"/>
  <c r="CF29" i="2"/>
  <c r="DB29" i="2" a="1"/>
  <c r="DB29" i="2" s="1"/>
  <c r="DN29" i="2"/>
  <c r="EM29" i="2"/>
  <c r="EW29" i="2"/>
  <c r="FH29" i="2"/>
  <c r="HF29" i="2"/>
  <c r="BK30" i="2"/>
  <c r="BV30" i="2"/>
  <c r="BR31" i="2"/>
  <c r="EP31" i="2"/>
  <c r="EZ31" i="2"/>
  <c r="EZ32" i="2" s="1"/>
  <c r="FK31" i="2"/>
  <c r="H32" i="2"/>
  <c r="BJ32" i="2"/>
  <c r="BX32" i="2"/>
  <c r="CJ32" i="2"/>
  <c r="EL34" i="2"/>
  <c r="ET34" i="2"/>
  <c r="FB34" i="2"/>
  <c r="FJ34" i="2"/>
  <c r="EV34" i="2"/>
  <c r="DC35" i="2" a="1"/>
  <c r="DC35" i="2" s="1"/>
  <c r="DB35" i="2" a="1"/>
  <c r="DB35" i="2" s="1"/>
  <c r="BW37" i="2"/>
  <c r="AM44" i="2"/>
  <c r="DC45" i="2" a="1"/>
  <c r="DC45" i="2" s="1"/>
  <c r="DB45" i="2" a="1"/>
  <c r="DB45" i="2" s="1"/>
  <c r="ET46" i="2"/>
  <c r="D14" i="2" a="1"/>
  <c r="D14" i="2" s="1"/>
  <c r="D12" i="2" s="1"/>
  <c r="CQ59" i="2" s="1"/>
  <c r="BV14" i="2" a="1"/>
  <c r="BV14" i="2" s="1"/>
  <c r="BU14" i="2" s="1" a="1"/>
  <c r="BU14" i="2" s="1"/>
  <c r="BW19" i="2"/>
  <c r="BP20" i="2"/>
  <c r="BX20" i="2"/>
  <c r="CF20" i="2"/>
  <c r="BI23" i="2"/>
  <c r="CU23" i="2" s="1" a="1"/>
  <c r="CU23" i="2" s="1"/>
  <c r="BQ23" i="2"/>
  <c r="BY23" i="2"/>
  <c r="DG23" i="2"/>
  <c r="EM23" i="2"/>
  <c r="EU23" i="2"/>
  <c r="FC23" i="2"/>
  <c r="FK23" i="2"/>
  <c r="FK24" i="2" s="1"/>
  <c r="HF23" i="2"/>
  <c r="BJ24" i="2"/>
  <c r="BR24" i="2"/>
  <c r="BZ24" i="2"/>
  <c r="CH24" i="2"/>
  <c r="ET26" i="2"/>
  <c r="FC26" i="2"/>
  <c r="CG27" i="2"/>
  <c r="BY27" i="2"/>
  <c r="CA27" i="2"/>
  <c r="CJ27" i="2"/>
  <c r="EH28" i="2"/>
  <c r="EQ28" i="2"/>
  <c r="EZ28" i="2"/>
  <c r="GQ98" i="2"/>
  <c r="GI98" i="2"/>
  <c r="GA98" i="2"/>
  <c r="FS98" i="2"/>
  <c r="GO99" i="2" a="1"/>
  <c r="GO99" i="2" s="1"/>
  <c r="GK99" i="2" a="1"/>
  <c r="GK99" i="2" s="1"/>
  <c r="GG99" i="2" a="1"/>
  <c r="GG99" i="2" s="1"/>
  <c r="GC99" i="2" a="1"/>
  <c r="GC99" i="2" s="1"/>
  <c r="FY99" i="2" a="1"/>
  <c r="FY99" i="2" s="1"/>
  <c r="FU99" i="2" a="1"/>
  <c r="FU99" i="2" s="1"/>
  <c r="FQ99" i="2" a="1"/>
  <c r="FQ99" i="2" s="1"/>
  <c r="GP98" i="2"/>
  <c r="GH98" i="2"/>
  <c r="FZ98" i="2"/>
  <c r="FR98" i="2"/>
  <c r="GO98" i="2"/>
  <c r="GG98" i="2"/>
  <c r="FY98" i="2"/>
  <c r="FQ98" i="2"/>
  <c r="GR99" i="2" a="1"/>
  <c r="GR99" i="2" s="1"/>
  <c r="GN99" i="2" a="1"/>
  <c r="GN99" i="2" s="1"/>
  <c r="GJ99" i="2" a="1"/>
  <c r="GJ99" i="2" s="1"/>
  <c r="GF99" i="2" a="1"/>
  <c r="GF99" i="2" s="1"/>
  <c r="GB99" i="2" a="1"/>
  <c r="GB99" i="2" s="1"/>
  <c r="FX99" i="2" a="1"/>
  <c r="FX99" i="2" s="1"/>
  <c r="FT99" i="2" a="1"/>
  <c r="FT99" i="2" s="1"/>
  <c r="FP99" i="2" a="1"/>
  <c r="FP99" i="2" s="1"/>
  <c r="GN98" i="2"/>
  <c r="GF98" i="2"/>
  <c r="FX98" i="2"/>
  <c r="FP98" i="2"/>
  <c r="GQ99" i="2" a="1"/>
  <c r="GQ99" i="2" s="1"/>
  <c r="GM99" i="2" a="1"/>
  <c r="GM99" i="2" s="1"/>
  <c r="GI99" i="2" a="1"/>
  <c r="GI99" i="2" s="1"/>
  <c r="GE99" i="2" a="1"/>
  <c r="GE99" i="2" s="1"/>
  <c r="GA99" i="2" a="1"/>
  <c r="GA99" i="2" s="1"/>
  <c r="FW99" i="2" a="1"/>
  <c r="FW99" i="2" s="1"/>
  <c r="FS99" i="2" a="1"/>
  <c r="FS99" i="2" s="1"/>
  <c r="FO99" i="2" a="1"/>
  <c r="FO99" i="2" s="1"/>
  <c r="GL98" i="2"/>
  <c r="GD98" i="2"/>
  <c r="FV98" i="2"/>
  <c r="FR99" i="2" a="1"/>
  <c r="FR99" i="2" s="1"/>
  <c r="GC98" i="2"/>
  <c r="GL99" i="2" a="1"/>
  <c r="GL99" i="2" s="1"/>
  <c r="GB98" i="2"/>
  <c r="FZ99" i="2" a="1"/>
  <c r="FZ99" i="2" s="1"/>
  <c r="FW98" i="2"/>
  <c r="GR98" i="2"/>
  <c r="FU98" i="2"/>
  <c r="FV99" i="2" a="1"/>
  <c r="FV99" i="2" s="1"/>
  <c r="GK98" i="2"/>
  <c r="FO98" i="2"/>
  <c r="GP99" i="2" a="1"/>
  <c r="GP99" i="2" s="1"/>
  <c r="GM98" i="2"/>
  <c r="GJ98" i="2"/>
  <c r="GH99" i="2" a="1"/>
  <c r="GH99" i="2" s="1"/>
  <c r="GE98" i="2"/>
  <c r="FT98" i="2"/>
  <c r="CJ30" i="2"/>
  <c r="CB30" i="2"/>
  <c r="BT30" i="2"/>
  <c r="BL30" i="2"/>
  <c r="H30" i="2"/>
  <c r="FF29" i="2"/>
  <c r="EX29" i="2"/>
  <c r="EP29" i="2"/>
  <c r="EH29" i="2"/>
  <c r="BL29" i="2"/>
  <c r="CX29" i="2" s="1" a="1"/>
  <c r="CX29" i="2" s="1"/>
  <c r="CF30" i="2"/>
  <c r="BX30" i="2"/>
  <c r="BP30" i="2"/>
  <c r="FJ29" i="2"/>
  <c r="FB29" i="2"/>
  <c r="ET29" i="2"/>
  <c r="EL29" i="2"/>
  <c r="EL30" i="2" s="1"/>
  <c r="EA29" i="2"/>
  <c r="BM30" i="2"/>
  <c r="BW30" i="2"/>
  <c r="CH30" i="2"/>
  <c r="BI31" i="2"/>
  <c r="CU31" i="2" s="1" a="1"/>
  <c r="CU31" i="2" s="1"/>
  <c r="EQ31" i="2"/>
  <c r="FB31" i="2"/>
  <c r="FB32" i="2" s="1"/>
  <c r="BL32" i="2"/>
  <c r="BY32" i="2"/>
  <c r="CK32" i="2"/>
  <c r="EM34" i="2"/>
  <c r="FC34" i="2"/>
  <c r="FK34" i="2"/>
  <c r="EH34" i="2"/>
  <c r="BY37" i="2"/>
  <c r="EL46" i="2"/>
  <c r="EU46" i="2"/>
  <c r="CN69" i="2"/>
  <c r="CM69" i="2"/>
  <c r="BY69" i="2"/>
  <c r="CA69" i="2"/>
  <c r="BO35" i="2"/>
  <c r="DA35" i="2" s="1" a="1"/>
  <c r="DA35" i="2" s="1"/>
  <c r="DK35" i="2"/>
  <c r="EL35" i="2"/>
  <c r="EV35" i="2"/>
  <c r="FH35" i="2"/>
  <c r="BJ36" i="2"/>
  <c r="BV36" i="2"/>
  <c r="GO118" i="2"/>
  <c r="GG118" i="2"/>
  <c r="GQ119" i="2" a="1"/>
  <c r="GQ119" i="2" s="1"/>
  <c r="GH119" i="2" a="1"/>
  <c r="GH119" i="2" s="1"/>
  <c r="FY119" i="2" a="1"/>
  <c r="FY119" i="2" s="1"/>
  <c r="FT119" i="2" a="1"/>
  <c r="FT119" i="2" s="1"/>
  <c r="GL118" i="2"/>
  <c r="GC118" i="2"/>
  <c r="FU118" i="2"/>
  <c r="GL119" i="2" a="1"/>
  <c r="GL119" i="2" s="1"/>
  <c r="GC119" i="2" a="1"/>
  <c r="GC119" i="2" s="1"/>
  <c r="FX119" i="2" a="1"/>
  <c r="FX119" i="2" s="1"/>
  <c r="FO119" i="2" a="1"/>
  <c r="FO119" i="2" s="1"/>
  <c r="GK118" i="2"/>
  <c r="GB118" i="2"/>
  <c r="FT118" i="2"/>
  <c r="GP119" i="2" a="1"/>
  <c r="GP119" i="2" s="1"/>
  <c r="GG119" i="2" a="1"/>
  <c r="GG119" i="2" s="1"/>
  <c r="GB119" i="2" a="1"/>
  <c r="GB119" i="2" s="1"/>
  <c r="FS119" i="2" a="1"/>
  <c r="FS119" i="2" s="1"/>
  <c r="GJ118" i="2"/>
  <c r="GA118" i="2"/>
  <c r="FS118" i="2"/>
  <c r="GK119" i="2" a="1"/>
  <c r="GK119" i="2" s="1"/>
  <c r="GF119" i="2" a="1"/>
  <c r="GF119" i="2" s="1"/>
  <c r="FW119" i="2" a="1"/>
  <c r="FW119" i="2" s="1"/>
  <c r="GR118" i="2"/>
  <c r="GI118" i="2"/>
  <c r="FZ118" i="2"/>
  <c r="FR118" i="2"/>
  <c r="GN119" i="2" a="1"/>
  <c r="GN119" i="2" s="1"/>
  <c r="GE119" i="2" a="1"/>
  <c r="GE119" i="2" s="1"/>
  <c r="FV119" i="2" a="1"/>
  <c r="FV119" i="2" s="1"/>
  <c r="GP118" i="2"/>
  <c r="GF118" i="2"/>
  <c r="FX118" i="2"/>
  <c r="FP118" i="2"/>
  <c r="GO119" i="2" a="1"/>
  <c r="GO119" i="2" s="1"/>
  <c r="GD119" i="2" a="1"/>
  <c r="GD119" i="2" s="1"/>
  <c r="FQ119" i="2" a="1"/>
  <c r="FQ119" i="2" s="1"/>
  <c r="FY118" i="2"/>
  <c r="GA119" i="2" a="1"/>
  <c r="GA119" i="2" s="1"/>
  <c r="FP119" i="2" a="1"/>
  <c r="FP119" i="2" s="1"/>
  <c r="FW118" i="2"/>
  <c r="GM119" i="2" a="1"/>
  <c r="GM119" i="2" s="1"/>
  <c r="FZ119" i="2" a="1"/>
  <c r="FZ119" i="2" s="1"/>
  <c r="GQ118" i="2"/>
  <c r="FV118" i="2"/>
  <c r="GJ119" i="2" a="1"/>
  <c r="GJ119" i="2" s="1"/>
  <c r="GN118" i="2"/>
  <c r="FQ118" i="2"/>
  <c r="GH118" i="2"/>
  <c r="GR119" i="2" a="1"/>
  <c r="GR119" i="2" s="1"/>
  <c r="GM118" i="2"/>
  <c r="GE118" i="2"/>
  <c r="GI119" i="2" a="1"/>
  <c r="GI119" i="2" s="1"/>
  <c r="GD118" i="2"/>
  <c r="FO118" i="2"/>
  <c r="FR119" i="2" a="1"/>
  <c r="FR119" i="2" s="1"/>
  <c r="CF38" i="2"/>
  <c r="BX38" i="2"/>
  <c r="BP38" i="2"/>
  <c r="FJ37" i="2"/>
  <c r="FB37" i="2"/>
  <c r="ET37" i="2"/>
  <c r="EL37" i="2"/>
  <c r="EA37" i="2"/>
  <c r="DF37" i="2"/>
  <c r="BP37" i="2"/>
  <c r="CL38" i="2"/>
  <c r="CD38" i="2"/>
  <c r="BV38" i="2"/>
  <c r="BN38" i="2"/>
  <c r="I38" i="2" a="1"/>
  <c r="I38" i="2" s="1"/>
  <c r="AO38" i="2" s="1"/>
  <c r="CO38" i="2" s="1"/>
  <c r="FH37" i="2"/>
  <c r="EZ37" i="2"/>
  <c r="ER37" i="2"/>
  <c r="EJ37" i="2"/>
  <c r="DD37" i="2"/>
  <c r="BN37" i="2"/>
  <c r="CZ37" i="2" s="1" a="1"/>
  <c r="CZ37" i="2" s="1"/>
  <c r="H37" i="2"/>
  <c r="BL38" i="2"/>
  <c r="BW38" i="2"/>
  <c r="CH38" i="2"/>
  <c r="BP39" i="2"/>
  <c r="F40" i="2"/>
  <c r="I13" i="2" s="1"/>
  <c r="DK39" i="2"/>
  <c r="DZ39" i="2"/>
  <c r="EN39" i="2"/>
  <c r="FA39" i="2"/>
  <c r="BM40" i="2"/>
  <c r="GO128" i="2"/>
  <c r="GG128" i="2"/>
  <c r="FY128" i="2"/>
  <c r="FQ128" i="2"/>
  <c r="GK128" i="2"/>
  <c r="GC128" i="2"/>
  <c r="FU128" i="2"/>
  <c r="GQ129" i="2" a="1"/>
  <c r="GQ129" i="2" s="1"/>
  <c r="GF129" i="2" a="1"/>
  <c r="GF129" i="2" s="1"/>
  <c r="GA129" i="2" a="1"/>
  <c r="GA129" i="2" s="1"/>
  <c r="FP129" i="2" a="1"/>
  <c r="FP129" i="2" s="1"/>
  <c r="GL128" i="2"/>
  <c r="GA128" i="2"/>
  <c r="FP128" i="2"/>
  <c r="GP129" i="2" a="1"/>
  <c r="GP129" i="2" s="1"/>
  <c r="GK129" i="2" a="1"/>
  <c r="GK129" i="2" s="1"/>
  <c r="FZ129" i="2" a="1"/>
  <c r="FZ129" i="2" s="1"/>
  <c r="FU129" i="2" a="1"/>
  <c r="FU129" i="2" s="1"/>
  <c r="GJ128" i="2"/>
  <c r="FZ128" i="2"/>
  <c r="FO128" i="2"/>
  <c r="GJ129" i="2" a="1"/>
  <c r="GJ129" i="2" s="1"/>
  <c r="GE129" i="2" a="1"/>
  <c r="GE129" i="2" s="1"/>
  <c r="FT129" i="2" a="1"/>
  <c r="FT129" i="2" s="1"/>
  <c r="FO129" i="2" a="1"/>
  <c r="FO129" i="2" s="1"/>
  <c r="GI128" i="2"/>
  <c r="FX128" i="2"/>
  <c r="GO129" i="2" a="1"/>
  <c r="GO129" i="2" s="1"/>
  <c r="GD129" i="2" a="1"/>
  <c r="GD129" i="2" s="1"/>
  <c r="FY129" i="2" a="1"/>
  <c r="FY129" i="2" s="1"/>
  <c r="GR128" i="2"/>
  <c r="GH128" i="2"/>
  <c r="FW128" i="2"/>
  <c r="GH129" i="2" a="1"/>
  <c r="GH129" i="2" s="1"/>
  <c r="GC129" i="2" a="1"/>
  <c r="GC129" i="2" s="1"/>
  <c r="FR129" i="2" a="1"/>
  <c r="FR129" i="2" s="1"/>
  <c r="GP128" i="2"/>
  <c r="GE128" i="2"/>
  <c r="FT128" i="2"/>
  <c r="GG129" i="2" a="1"/>
  <c r="GG129" i="2" s="1"/>
  <c r="FV128" i="2"/>
  <c r="GR129" i="2" a="1"/>
  <c r="GR129" i="2" s="1"/>
  <c r="FQ129" i="2" a="1"/>
  <c r="FQ129" i="2" s="1"/>
  <c r="FS128" i="2"/>
  <c r="GB129" i="2" a="1"/>
  <c r="GB129" i="2" s="1"/>
  <c r="GQ128" i="2"/>
  <c r="FR128" i="2"/>
  <c r="GN129" i="2" a="1"/>
  <c r="GN129" i="2" s="1"/>
  <c r="GN128" i="2"/>
  <c r="GL129" i="2" a="1"/>
  <c r="GL129" i="2" s="1"/>
  <c r="FW129" i="2" a="1"/>
  <c r="FW129" i="2" s="1"/>
  <c r="GF128" i="2"/>
  <c r="FX129" i="2" a="1"/>
  <c r="FX129" i="2" s="1"/>
  <c r="FV129" i="2" a="1"/>
  <c r="FV129" i="2" s="1"/>
  <c r="FS129" i="2" a="1"/>
  <c r="FS129" i="2" s="1"/>
  <c r="GD128" i="2"/>
  <c r="GM129" i="2" a="1"/>
  <c r="GM129" i="2" s="1"/>
  <c r="CG42" i="2"/>
  <c r="BY42" i="2"/>
  <c r="BQ42" i="2"/>
  <c r="BI42" i="2"/>
  <c r="HF41" i="2"/>
  <c r="FK41" i="2"/>
  <c r="FC41" i="2"/>
  <c r="EU41" i="2"/>
  <c r="EM41" i="2"/>
  <c r="DG41" i="2"/>
  <c r="BQ41" i="2"/>
  <c r="BI41" i="2"/>
  <c r="CU41" i="2" s="1" a="1"/>
  <c r="CU41" i="2" s="1"/>
  <c r="GI129" i="2" a="1"/>
  <c r="GI129" i="2" s="1"/>
  <c r="CF42" i="2"/>
  <c r="BX42" i="2"/>
  <c r="BP42" i="2"/>
  <c r="GM128" i="2"/>
  <c r="CE42" i="2"/>
  <c r="BW42" i="2"/>
  <c r="BO42" i="2"/>
  <c r="AN42" i="2" a="1"/>
  <c r="AN42" i="2" s="1"/>
  <c r="FI41" i="2"/>
  <c r="FA41" i="2"/>
  <c r="ES41" i="2"/>
  <c r="EK41" i="2"/>
  <c r="DZ41" i="2"/>
  <c r="DE41" i="2"/>
  <c r="BO41" i="2"/>
  <c r="DA41" i="2" s="1" a="1"/>
  <c r="DA41" i="2" s="1"/>
  <c r="GB128" i="2"/>
  <c r="CL42" i="2"/>
  <c r="CD42" i="2"/>
  <c r="BV42" i="2"/>
  <c r="BN42" i="2"/>
  <c r="I42" i="2" a="1"/>
  <c r="I42" i="2" s="1"/>
  <c r="AO42" i="2" s="1"/>
  <c r="FH41" i="2"/>
  <c r="EZ41" i="2"/>
  <c r="ER41" i="2"/>
  <c r="EJ41" i="2"/>
  <c r="DD41" i="2"/>
  <c r="BN41" i="2"/>
  <c r="CZ41" i="2" s="1" a="1"/>
  <c r="CZ41" i="2" s="1"/>
  <c r="H41" i="2"/>
  <c r="CJ42" i="2"/>
  <c r="CB42" i="2"/>
  <c r="BT42" i="2"/>
  <c r="BL42" i="2"/>
  <c r="H42" i="2"/>
  <c r="FF41" i="2"/>
  <c r="EX41" i="2"/>
  <c r="EP41" i="2"/>
  <c r="EH41" i="2"/>
  <c r="BL41" i="2"/>
  <c r="CX41" i="2" s="1" a="1"/>
  <c r="CX41" i="2" s="1"/>
  <c r="CA42" i="2"/>
  <c r="EW46" i="2"/>
  <c r="BM49" i="2"/>
  <c r="CY49" i="2" s="1" a="1"/>
  <c r="CY49" i="2" s="1"/>
  <c r="DF49" i="2"/>
  <c r="EH49" i="2"/>
  <c r="FG49" i="2"/>
  <c r="DC51" i="2" a="1"/>
  <c r="DC51" i="2" s="1"/>
  <c r="DB51" i="2" a="1"/>
  <c r="DB51" i="2" s="1"/>
  <c r="GE60" i="2"/>
  <c r="CJ39" i="2"/>
  <c r="CB39" i="2"/>
  <c r="BT39" i="2"/>
  <c r="CI39" i="2"/>
  <c r="CA39" i="2"/>
  <c r="BS39" i="2"/>
  <c r="CG39" i="2"/>
  <c r="BY39" i="2"/>
  <c r="CE39" i="2"/>
  <c r="EL64" i="2"/>
  <c r="ES64" i="2"/>
  <c r="ET64" i="2"/>
  <c r="FO64" i="2"/>
  <c r="GA64" i="2"/>
  <c r="FS64" i="2"/>
  <c r="FQ64" i="2"/>
  <c r="GH64" i="2"/>
  <c r="GG64" i="2"/>
  <c r="FZ64" i="2"/>
  <c r="FY64" i="2"/>
  <c r="FW64" i="2"/>
  <c r="GE64" i="2"/>
  <c r="AK64" i="2"/>
  <c r="AC64" i="2"/>
  <c r="U64" i="2"/>
  <c r="M64" i="2"/>
  <c r="AJ64" i="2"/>
  <c r="AB64" i="2"/>
  <c r="T64" i="2"/>
  <c r="L64" i="2"/>
  <c r="AI64" i="2"/>
  <c r="AA64" i="2"/>
  <c r="S64" i="2"/>
  <c r="K64" i="2"/>
  <c r="AH64" i="2"/>
  <c r="Z64" i="2"/>
  <c r="R64" i="2"/>
  <c r="J64" i="2"/>
  <c r="EJ64" i="2"/>
  <c r="AF64" i="2"/>
  <c r="X64" i="2"/>
  <c r="P64" i="2"/>
  <c r="V64" i="2"/>
  <c r="AM64" i="2"/>
  <c r="Q64" i="2"/>
  <c r="AL64" i="2"/>
  <c r="O64" i="2"/>
  <c r="AG64" i="2"/>
  <c r="N64" i="2"/>
  <c r="AE64" i="2"/>
  <c r="AD64" i="2"/>
  <c r="GK113" i="2"/>
  <c r="GC113" i="2"/>
  <c r="FU113" i="2"/>
  <c r="GP114" i="2" a="1"/>
  <c r="GP114" i="2" s="1"/>
  <c r="GL114" i="2" a="1"/>
  <c r="GL114" i="2" s="1"/>
  <c r="GQ113" i="2"/>
  <c r="GI113" i="2"/>
  <c r="GA113" i="2"/>
  <c r="FS113" i="2"/>
  <c r="GO114" i="2" a="1"/>
  <c r="GO114" i="2" s="1"/>
  <c r="GK114" i="2" a="1"/>
  <c r="GK114" i="2" s="1"/>
  <c r="GG114" i="2" a="1"/>
  <c r="GG114" i="2" s="1"/>
  <c r="GC114" i="2" a="1"/>
  <c r="GC114" i="2" s="1"/>
  <c r="FY114" i="2" a="1"/>
  <c r="FY114" i="2" s="1"/>
  <c r="FU114" i="2" a="1"/>
  <c r="FU114" i="2" s="1"/>
  <c r="FQ114" i="2" a="1"/>
  <c r="FQ114" i="2" s="1"/>
  <c r="GP113" i="2"/>
  <c r="GH113" i="2"/>
  <c r="FZ113" i="2"/>
  <c r="FR113" i="2"/>
  <c r="GR114" i="2" a="1"/>
  <c r="GR114" i="2" s="1"/>
  <c r="GN114" i="2" a="1"/>
  <c r="GN114" i="2" s="1"/>
  <c r="GJ114" i="2" a="1"/>
  <c r="GJ114" i="2" s="1"/>
  <c r="GF114" i="2" a="1"/>
  <c r="GF114" i="2" s="1"/>
  <c r="GB114" i="2" a="1"/>
  <c r="GB114" i="2" s="1"/>
  <c r="FX114" i="2" a="1"/>
  <c r="FX114" i="2" s="1"/>
  <c r="FT114" i="2" a="1"/>
  <c r="FT114" i="2" s="1"/>
  <c r="FP114" i="2" a="1"/>
  <c r="FP114" i="2" s="1"/>
  <c r="GN113" i="2"/>
  <c r="GF113" i="2"/>
  <c r="FX113" i="2"/>
  <c r="FP113" i="2"/>
  <c r="GM114" i="2" a="1"/>
  <c r="GM114" i="2" s="1"/>
  <c r="GD114" i="2" a="1"/>
  <c r="GD114" i="2" s="1"/>
  <c r="FV114" i="2" a="1"/>
  <c r="FV114" i="2" s="1"/>
  <c r="GR113" i="2"/>
  <c r="GB113" i="2"/>
  <c r="GO113" i="2"/>
  <c r="FY113" i="2"/>
  <c r="GM113" i="2"/>
  <c r="FW113" i="2"/>
  <c r="GI114" i="2" a="1"/>
  <c r="GI114" i="2" s="1"/>
  <c r="GA114" i="2" a="1"/>
  <c r="GA114" i="2" s="1"/>
  <c r="FS114" i="2" a="1"/>
  <c r="FS114" i="2" s="1"/>
  <c r="GL113" i="2"/>
  <c r="FV113" i="2"/>
  <c r="GQ114" i="2" a="1"/>
  <c r="GQ114" i="2" s="1"/>
  <c r="GG113" i="2"/>
  <c r="FQ113" i="2"/>
  <c r="GJ113" i="2"/>
  <c r="GE114" i="2" a="1"/>
  <c r="GE114" i="2" s="1"/>
  <c r="GE113" i="2"/>
  <c r="FZ114" i="2" a="1"/>
  <c r="FZ114" i="2" s="1"/>
  <c r="GD113" i="2"/>
  <c r="FT113" i="2"/>
  <c r="FR114" i="2" a="1"/>
  <c r="FR114" i="2" s="1"/>
  <c r="FO114" i="2" a="1"/>
  <c r="FO114" i="2" s="1"/>
  <c r="FO113" i="2"/>
  <c r="CK36" i="2"/>
  <c r="CC36" i="2"/>
  <c r="BU36" i="2"/>
  <c r="BM36" i="2"/>
  <c r="FG35" i="2"/>
  <c r="EY35" i="2"/>
  <c r="EQ35" i="2"/>
  <c r="EI35" i="2"/>
  <c r="DN35" i="2"/>
  <c r="BM35" i="2"/>
  <c r="CY35" i="2" s="1" a="1"/>
  <c r="CY35" i="2" s="1"/>
  <c r="CI36" i="2"/>
  <c r="CA36" i="2"/>
  <c r="BS36" i="2"/>
  <c r="BK36" i="2"/>
  <c r="FE35" i="2"/>
  <c r="EW35" i="2"/>
  <c r="EO35" i="2"/>
  <c r="DL35" i="2"/>
  <c r="BK35" i="2"/>
  <c r="CW35" i="2" s="1" a="1"/>
  <c r="CW35" i="2" s="1"/>
  <c r="BN36" i="2"/>
  <c r="BX36" i="2"/>
  <c r="CH36" i="2"/>
  <c r="BU39" i="2"/>
  <c r="CF39" i="2"/>
  <c r="AG46" i="2"/>
  <c r="Y46" i="2"/>
  <c r="Q46" i="2"/>
  <c r="AF46" i="2"/>
  <c r="X46" i="2"/>
  <c r="P46" i="2"/>
  <c r="AM46" i="2"/>
  <c r="AE46" i="2"/>
  <c r="W46" i="2"/>
  <c r="O46" i="2"/>
  <c r="AL46" i="2"/>
  <c r="AD46" i="2"/>
  <c r="V46" i="2"/>
  <c r="N46" i="2"/>
  <c r="AJ46" i="2"/>
  <c r="AB46" i="2"/>
  <c r="T46" i="2"/>
  <c r="L46" i="2"/>
  <c r="AA46" i="2"/>
  <c r="EM50" i="2"/>
  <c r="CL57" i="2"/>
  <c r="CD57" i="2"/>
  <c r="BV57" i="2"/>
  <c r="CK57" i="2"/>
  <c r="CC57" i="2"/>
  <c r="BU57" i="2"/>
  <c r="CJ57" i="2"/>
  <c r="CB57" i="2"/>
  <c r="BT57" i="2"/>
  <c r="CI57" i="2"/>
  <c r="CA57" i="2"/>
  <c r="BS57" i="2"/>
  <c r="CF57" i="2"/>
  <c r="CE57" i="2"/>
  <c r="BZ57" i="2"/>
  <c r="BY57" i="2"/>
  <c r="BX57" i="2"/>
  <c r="BW57" i="2"/>
  <c r="BQ60" i="2"/>
  <c r="BI60" i="2"/>
  <c r="EV59" i="2"/>
  <c r="EN59" i="2"/>
  <c r="DK59" i="2"/>
  <c r="BP59" i="2"/>
  <c r="BP60" i="2"/>
  <c r="EU59" i="2"/>
  <c r="EM59" i="2"/>
  <c r="DG59" i="2"/>
  <c r="BO59" i="2"/>
  <c r="DA59" i="2" s="1" a="1"/>
  <c r="DA59" i="2" s="1"/>
  <c r="BO60" i="2"/>
  <c r="AN60" i="2" a="1"/>
  <c r="AN60" i="2" s="1"/>
  <c r="I60" i="2" a="1"/>
  <c r="I60" i="2" s="1"/>
  <c r="ET59" i="2"/>
  <c r="EL59" i="2"/>
  <c r="EA59" i="2"/>
  <c r="DF59" i="2"/>
  <c r="BN59" i="2"/>
  <c r="CZ59" i="2" s="1" a="1"/>
  <c r="CZ59" i="2" s="1"/>
  <c r="H59" i="2"/>
  <c r="BN60" i="2"/>
  <c r="FA59" i="2"/>
  <c r="ES59" i="2"/>
  <c r="EK59" i="2"/>
  <c r="DZ59" i="2"/>
  <c r="DE59" i="2"/>
  <c r="BM59" i="2"/>
  <c r="CY59" i="2" s="1" a="1"/>
  <c r="CY59" i="2" s="1"/>
  <c r="BL60" i="2"/>
  <c r="F60" i="2"/>
  <c r="P13" i="2" s="1"/>
  <c r="EY59" i="2"/>
  <c r="EQ59" i="2"/>
  <c r="EI59" i="2"/>
  <c r="DN59" i="2"/>
  <c r="BK59" i="2"/>
  <c r="CW59" i="2" s="1" a="1"/>
  <c r="CW59" i="2" s="1"/>
  <c r="EW59" i="2"/>
  <c r="EW60" i="2" s="1"/>
  <c r="BJ59" i="2"/>
  <c r="CV59" i="2" s="1" a="1"/>
  <c r="CV59" i="2" s="1"/>
  <c r="ER59" i="2"/>
  <c r="BI59" i="2"/>
  <c r="CU59" i="2" s="1" a="1"/>
  <c r="CU59" i="2" s="1"/>
  <c r="EP59" i="2"/>
  <c r="EO59" i="2"/>
  <c r="BR60" i="2"/>
  <c r="EJ59" i="2"/>
  <c r="BM60" i="2"/>
  <c r="H60" i="2"/>
  <c r="EH59" i="2"/>
  <c r="DL59" i="2"/>
  <c r="BR59" i="2"/>
  <c r="FT62" i="2"/>
  <c r="EM64" i="2"/>
  <c r="EU64" i="2"/>
  <c r="FP64" i="2"/>
  <c r="FX64" i="2"/>
  <c r="GF64" i="2"/>
  <c r="W64" i="2"/>
  <c r="FP68" i="2"/>
  <c r="GF68" i="2"/>
  <c r="FW114" i="2" a="1"/>
  <c r="FW114" i="2" s="1"/>
  <c r="BR35" i="2"/>
  <c r="EP35" i="2"/>
  <c r="FA35" i="2"/>
  <c r="FK35" i="2"/>
  <c r="H36" i="2"/>
  <c r="BO36" i="2"/>
  <c r="BY36" i="2"/>
  <c r="CJ36" i="2"/>
  <c r="BV39" i="2"/>
  <c r="CH39" i="2"/>
  <c r="GO123" i="2"/>
  <c r="GG123" i="2"/>
  <c r="FY123" i="2"/>
  <c r="FQ123" i="2"/>
  <c r="GN124" i="2" a="1"/>
  <c r="GN124" i="2" s="1"/>
  <c r="GE124" i="2" a="1"/>
  <c r="GE124" i="2" s="1"/>
  <c r="FV124" i="2" a="1"/>
  <c r="FV124" i="2" s="1"/>
  <c r="GP123" i="2"/>
  <c r="GF123" i="2"/>
  <c r="FW123" i="2"/>
  <c r="GR124" i="2" a="1"/>
  <c r="GR124" i="2" s="1"/>
  <c r="GI124" i="2" a="1"/>
  <c r="GI124" i="2" s="1"/>
  <c r="FZ124" i="2" a="1"/>
  <c r="FZ124" i="2" s="1"/>
  <c r="FQ124" i="2" a="1"/>
  <c r="FQ124" i="2" s="1"/>
  <c r="GN123" i="2"/>
  <c r="GE123" i="2"/>
  <c r="FV123" i="2"/>
  <c r="GM124" i="2" a="1"/>
  <c r="GM124" i="2" s="1"/>
  <c r="GD124" i="2" a="1"/>
  <c r="GD124" i="2" s="1"/>
  <c r="FU124" i="2" a="1"/>
  <c r="FU124" i="2" s="1"/>
  <c r="FP124" i="2" a="1"/>
  <c r="FP124" i="2" s="1"/>
  <c r="GM123" i="2"/>
  <c r="GD123" i="2"/>
  <c r="FU123" i="2"/>
  <c r="GQ124" i="2" a="1"/>
  <c r="GQ124" i="2" s="1"/>
  <c r="GH124" i="2" a="1"/>
  <c r="GH124" i="2" s="1"/>
  <c r="FY124" i="2" a="1"/>
  <c r="FY124" i="2" s="1"/>
  <c r="FT124" i="2" a="1"/>
  <c r="FT124" i="2" s="1"/>
  <c r="GL123" i="2"/>
  <c r="GC123" i="2"/>
  <c r="FT123" i="2"/>
  <c r="GP124" i="2" a="1"/>
  <c r="GP124" i="2" s="1"/>
  <c r="GG124" i="2" a="1"/>
  <c r="GG124" i="2" s="1"/>
  <c r="GB124" i="2" a="1"/>
  <c r="GB124" i="2" s="1"/>
  <c r="FS124" i="2" a="1"/>
  <c r="FS124" i="2" s="1"/>
  <c r="GJ123" i="2"/>
  <c r="GA123" i="2"/>
  <c r="FR123" i="2"/>
  <c r="GL124" i="2" a="1"/>
  <c r="GL124" i="2" s="1"/>
  <c r="GA124" i="2" a="1"/>
  <c r="GA124" i="2" s="1"/>
  <c r="GR123" i="2"/>
  <c r="FS123" i="2"/>
  <c r="GK124" i="2" a="1"/>
  <c r="GK124" i="2" s="1"/>
  <c r="FX124" i="2" a="1"/>
  <c r="FX124" i="2" s="1"/>
  <c r="GQ123" i="2"/>
  <c r="FP123" i="2"/>
  <c r="GJ124" i="2" a="1"/>
  <c r="GJ124" i="2" s="1"/>
  <c r="FW124" i="2" a="1"/>
  <c r="FW124" i="2" s="1"/>
  <c r="GK123" i="2"/>
  <c r="FO123" i="2"/>
  <c r="GI123" i="2"/>
  <c r="GB123" i="2"/>
  <c r="GF124" i="2" a="1"/>
  <c r="GF124" i="2" s="1"/>
  <c r="FX123" i="2"/>
  <c r="GC124" i="2" a="1"/>
  <c r="GC124" i="2" s="1"/>
  <c r="FO124" i="2" a="1"/>
  <c r="FO124" i="2" s="1"/>
  <c r="FR124" i="2" a="1"/>
  <c r="FR124" i="2" s="1"/>
  <c r="CL40" i="2"/>
  <c r="CD40" i="2"/>
  <c r="BV40" i="2"/>
  <c r="BN40" i="2"/>
  <c r="I40" i="2" a="1"/>
  <c r="I40" i="2" s="1"/>
  <c r="GH123" i="2"/>
  <c r="FZ123" i="2"/>
  <c r="CJ40" i="2"/>
  <c r="CB40" i="2"/>
  <c r="BT40" i="2"/>
  <c r="BL40" i="2"/>
  <c r="H40" i="2"/>
  <c r="FF39" i="2"/>
  <c r="EX39" i="2"/>
  <c r="EP39" i="2"/>
  <c r="EH39" i="2"/>
  <c r="FI40" i="2" s="1"/>
  <c r="BL39" i="2"/>
  <c r="CX39" i="2" s="1" a="1"/>
  <c r="CX39" i="2" s="1"/>
  <c r="CI40" i="2"/>
  <c r="CA40" i="2"/>
  <c r="BS40" i="2"/>
  <c r="BK40" i="2"/>
  <c r="FE39" i="2"/>
  <c r="EW39" i="2"/>
  <c r="EO39" i="2"/>
  <c r="DL39" i="2"/>
  <c r="BK39" i="2"/>
  <c r="CW39" i="2" s="1" a="1"/>
  <c r="CW39" i="2" s="1"/>
  <c r="CG40" i="2"/>
  <c r="BY40" i="2"/>
  <c r="BQ40" i="2"/>
  <c r="BI40" i="2"/>
  <c r="HF39" i="2"/>
  <c r="FK39" i="2"/>
  <c r="FC39" i="2"/>
  <c r="EU39" i="2"/>
  <c r="EM39" i="2"/>
  <c r="DG39" i="2"/>
  <c r="BQ39" i="2"/>
  <c r="BI39" i="2"/>
  <c r="CU39" i="2" s="1" a="1"/>
  <c r="CU39" i="2" s="1"/>
  <c r="BR40" i="2"/>
  <c r="CH40" i="2"/>
  <c r="CG41" i="2"/>
  <c r="BY41" i="2"/>
  <c r="CE41" i="2"/>
  <c r="BW41" i="2"/>
  <c r="CL41" i="2"/>
  <c r="CD41" i="2"/>
  <c r="BV41" i="2"/>
  <c r="CJ41" i="2"/>
  <c r="CB41" i="2"/>
  <c r="BT41" i="2"/>
  <c r="CH41" i="2"/>
  <c r="DM41" i="2"/>
  <c r="J46" i="2" a="1"/>
  <c r="J46" i="2" s="1"/>
  <c r="AC46" i="2"/>
  <c r="GP149" i="2" a="1"/>
  <c r="GP149" i="2" s="1"/>
  <c r="GL149" i="2" a="1"/>
  <c r="GL149" i="2" s="1"/>
  <c r="GH149" i="2" a="1"/>
  <c r="GH149" i="2" s="1"/>
  <c r="GD149" i="2" a="1"/>
  <c r="GD149" i="2" s="1"/>
  <c r="FZ149" i="2" a="1"/>
  <c r="FZ149" i="2" s="1"/>
  <c r="FV149" i="2" a="1"/>
  <c r="FV149" i="2" s="1"/>
  <c r="FR149" i="2" a="1"/>
  <c r="FR149" i="2" s="1"/>
  <c r="GR148" i="2"/>
  <c r="GJ148" i="2"/>
  <c r="GB148" i="2"/>
  <c r="FT148" i="2"/>
  <c r="GO149" i="2" a="1"/>
  <c r="GO149" i="2" s="1"/>
  <c r="GK149" i="2" a="1"/>
  <c r="GK149" i="2" s="1"/>
  <c r="GG149" i="2" a="1"/>
  <c r="GG149" i="2" s="1"/>
  <c r="GC149" i="2" a="1"/>
  <c r="GC149" i="2" s="1"/>
  <c r="FY149" i="2" a="1"/>
  <c r="FY149" i="2" s="1"/>
  <c r="FU149" i="2" a="1"/>
  <c r="FU149" i="2" s="1"/>
  <c r="FQ149" i="2" a="1"/>
  <c r="FQ149" i="2" s="1"/>
  <c r="GP148" i="2"/>
  <c r="GH148" i="2"/>
  <c r="FZ148" i="2"/>
  <c r="FR148" i="2"/>
  <c r="GR149" i="2" a="1"/>
  <c r="GR149" i="2" s="1"/>
  <c r="GN149" i="2" a="1"/>
  <c r="GN149" i="2" s="1"/>
  <c r="GJ149" i="2" a="1"/>
  <c r="GJ149" i="2" s="1"/>
  <c r="GF149" i="2" a="1"/>
  <c r="GF149" i="2" s="1"/>
  <c r="GB149" i="2" a="1"/>
  <c r="GB149" i="2" s="1"/>
  <c r="FX149" i="2" a="1"/>
  <c r="FX149" i="2" s="1"/>
  <c r="FT149" i="2" a="1"/>
  <c r="FT149" i="2" s="1"/>
  <c r="FP149" i="2" a="1"/>
  <c r="FP149" i="2" s="1"/>
  <c r="GN148" i="2"/>
  <c r="GF148" i="2"/>
  <c r="FX148" i="2"/>
  <c r="FP148" i="2"/>
  <c r="FS149" i="2" a="1"/>
  <c r="FS149" i="2" s="1"/>
  <c r="GO148" i="2"/>
  <c r="GC148" i="2"/>
  <c r="FO148" i="2"/>
  <c r="GI149" i="2" a="1"/>
  <c r="GI149" i="2" s="1"/>
  <c r="GI148" i="2"/>
  <c r="FV148" i="2"/>
  <c r="GA149" i="2" a="1"/>
  <c r="GA149" i="2" s="1"/>
  <c r="GA148" i="2"/>
  <c r="GQ149" i="2" a="1"/>
  <c r="GQ149" i="2" s="1"/>
  <c r="FW149" i="2" a="1"/>
  <c r="FW149" i="2" s="1"/>
  <c r="GQ148" i="2"/>
  <c r="FY148" i="2"/>
  <c r="GE149" i="2" a="1"/>
  <c r="GE149" i="2" s="1"/>
  <c r="GM148" i="2"/>
  <c r="FW148" i="2"/>
  <c r="GL148" i="2"/>
  <c r="FU148" i="2"/>
  <c r="GG148" i="2"/>
  <c r="FQ148" i="2"/>
  <c r="GK148" i="2"/>
  <c r="GE148" i="2"/>
  <c r="GD148" i="2"/>
  <c r="FS148" i="2"/>
  <c r="FO149" i="2" a="1"/>
  <c r="FO149" i="2" s="1"/>
  <c r="CE50" i="2"/>
  <c r="BW50" i="2"/>
  <c r="BO50" i="2"/>
  <c r="AN50" i="2" a="1"/>
  <c r="AN50" i="2" s="1"/>
  <c r="FI49" i="2"/>
  <c r="FA49" i="2"/>
  <c r="FA50" i="2" s="1"/>
  <c r="ES49" i="2"/>
  <c r="EK49" i="2"/>
  <c r="DZ49" i="2"/>
  <c r="DE49" i="2"/>
  <c r="BP49" i="2"/>
  <c r="CL50" i="2"/>
  <c r="CD50" i="2"/>
  <c r="BV50" i="2"/>
  <c r="BN50" i="2"/>
  <c r="I50" i="2" a="1"/>
  <c r="I50" i="2" s="1"/>
  <c r="AO50" i="2" s="1"/>
  <c r="FH49" i="2"/>
  <c r="EZ49" i="2"/>
  <c r="ER49" i="2"/>
  <c r="EJ49" i="2"/>
  <c r="DD49" i="2"/>
  <c r="BO49" i="2"/>
  <c r="DA49" i="2" s="1" a="1"/>
  <c r="DA49" i="2" s="1"/>
  <c r="CJ50" i="2"/>
  <c r="CB50" i="2"/>
  <c r="BT50" i="2"/>
  <c r="BL50" i="2"/>
  <c r="H50" i="2"/>
  <c r="GM149" i="2" a="1"/>
  <c r="GM149" i="2" s="1"/>
  <c r="CA50" i="2"/>
  <c r="BP50" i="2"/>
  <c r="FC49" i="2"/>
  <c r="EQ49" i="2"/>
  <c r="BK49" i="2"/>
  <c r="CW49" i="2" s="1" a="1"/>
  <c r="CW49" i="2" s="1"/>
  <c r="BZ50" i="2"/>
  <c r="BM50" i="2"/>
  <c r="FB49" i="2"/>
  <c r="EP49" i="2"/>
  <c r="BJ49" i="2"/>
  <c r="CV49" i="2" s="1" a="1"/>
  <c r="CV49" i="2" s="1"/>
  <c r="CK50" i="2"/>
  <c r="BY50" i="2"/>
  <c r="BK50" i="2"/>
  <c r="FK49" i="2"/>
  <c r="EY49" i="2"/>
  <c r="EO49" i="2"/>
  <c r="DN49" i="2"/>
  <c r="BI49" i="2"/>
  <c r="CU49" i="2" s="1" a="1"/>
  <c r="CU49" i="2" s="1"/>
  <c r="CI50" i="2"/>
  <c r="BX50" i="2"/>
  <c r="BJ50" i="2"/>
  <c r="FJ49" i="2"/>
  <c r="EX49" i="2"/>
  <c r="EN49" i="2"/>
  <c r="EA49" i="2"/>
  <c r="BR49" i="2"/>
  <c r="CG50" i="2"/>
  <c r="BS50" i="2"/>
  <c r="HF49" i="2"/>
  <c r="FF49" i="2"/>
  <c r="EV49" i="2"/>
  <c r="EL49" i="2"/>
  <c r="DK49" i="2"/>
  <c r="DM49" i="2" s="1"/>
  <c r="BN49" i="2"/>
  <c r="CZ49" i="2" s="1" a="1"/>
  <c r="CZ49" i="2" s="1"/>
  <c r="H49" i="2"/>
  <c r="GY51" i="2"/>
  <c r="CJ53" i="2"/>
  <c r="CB53" i="2"/>
  <c r="BT53" i="2"/>
  <c r="CI53" i="2"/>
  <c r="CA53" i="2"/>
  <c r="BS53" i="2"/>
  <c r="CG53" i="2"/>
  <c r="BY53" i="2"/>
  <c r="CC53" i="2"/>
  <c r="BZ53" i="2"/>
  <c r="CL53" i="2"/>
  <c r="BX53" i="2"/>
  <c r="CK53" i="2"/>
  <c r="BW53" i="2"/>
  <c r="CF53" i="2"/>
  <c r="BU53" i="2"/>
  <c r="CG57" i="2"/>
  <c r="FU60" i="2"/>
  <c r="FZ60" i="2"/>
  <c r="GC60" i="2"/>
  <c r="AF62" i="2"/>
  <c r="X62" i="2"/>
  <c r="P62" i="2"/>
  <c r="AM62" i="2"/>
  <c r="AE62" i="2"/>
  <c r="W62" i="2"/>
  <c r="O62" i="2"/>
  <c r="AL62" i="2"/>
  <c r="AD62" i="2"/>
  <c r="V62" i="2"/>
  <c r="N62" i="2"/>
  <c r="AK62" i="2"/>
  <c r="AC62" i="2"/>
  <c r="U62" i="2"/>
  <c r="M62" i="2"/>
  <c r="AI62" i="2"/>
  <c r="AA62" i="2"/>
  <c r="S62" i="2"/>
  <c r="K62" i="2"/>
  <c r="AG62" i="2"/>
  <c r="J62" i="2"/>
  <c r="AB62" i="2"/>
  <c r="Z62" i="2"/>
  <c r="Y62" i="2"/>
  <c r="T62" i="2"/>
  <c r="R62" i="2"/>
  <c r="L62" i="2"/>
  <c r="Y64" i="2"/>
  <c r="EK64" i="2"/>
  <c r="FQ68" i="2"/>
  <c r="FU68" i="2"/>
  <c r="FO68" i="2"/>
  <c r="FY68" i="2"/>
  <c r="GG68" i="2"/>
  <c r="GH114" i="2" a="1"/>
  <c r="GH114" i="2" s="1"/>
  <c r="BZ33" i="2"/>
  <c r="ER34" i="2"/>
  <c r="EZ34" i="2"/>
  <c r="FH34" i="2"/>
  <c r="BI35" i="2"/>
  <c r="CU35" i="2" s="1" a="1"/>
  <c r="CU35" i="2" s="1"/>
  <c r="DD35" i="2"/>
  <c r="ER35" i="2"/>
  <c r="FB35" i="2"/>
  <c r="I36" i="2" a="1"/>
  <c r="I36" i="2" s="1"/>
  <c r="BP36" i="2"/>
  <c r="BZ36" i="2"/>
  <c r="CL36" i="2"/>
  <c r="BK37" i="2"/>
  <c r="CW37" i="2" s="1" a="1"/>
  <c r="CW37" i="2" s="1"/>
  <c r="DE37" i="2"/>
  <c r="EH37" i="2"/>
  <c r="EO38" i="2" s="1"/>
  <c r="ES37" i="2"/>
  <c r="ES38" i="2" s="1"/>
  <c r="FD37" i="2"/>
  <c r="FD38" i="2" s="1"/>
  <c r="AN38" i="2" a="1"/>
  <c r="AN38" i="2" s="1"/>
  <c r="BR38" i="2"/>
  <c r="CB38" i="2"/>
  <c r="BJ39" i="2"/>
  <c r="CV39" i="2" s="1" a="1"/>
  <c r="CV39" i="2" s="1"/>
  <c r="BW39" i="2"/>
  <c r="CK39" i="2"/>
  <c r="EI39" i="2"/>
  <c r="ET39" i="2"/>
  <c r="FH39" i="2"/>
  <c r="BU40" i="2"/>
  <c r="CK40" i="2"/>
  <c r="BS41" i="2"/>
  <c r="CI41" i="2"/>
  <c r="DL41" i="2"/>
  <c r="EV41" i="2"/>
  <c r="EV42" i="2" s="1"/>
  <c r="BR42" i="2"/>
  <c r="CK42" i="2"/>
  <c r="K46" i="2"/>
  <c r="AH46" i="2"/>
  <c r="GP144" i="2" a="1"/>
  <c r="GP144" i="2" s="1"/>
  <c r="GL144" i="2" a="1"/>
  <c r="GL144" i="2" s="1"/>
  <c r="GH144" i="2" a="1"/>
  <c r="GH144" i="2" s="1"/>
  <c r="GD144" i="2" a="1"/>
  <c r="GD144" i="2" s="1"/>
  <c r="FZ144" i="2" a="1"/>
  <c r="FZ144" i="2" s="1"/>
  <c r="FV144" i="2" a="1"/>
  <c r="FV144" i="2" s="1"/>
  <c r="FR144" i="2" a="1"/>
  <c r="FR144" i="2" s="1"/>
  <c r="GR143" i="2"/>
  <c r="GJ143" i="2"/>
  <c r="GB143" i="2"/>
  <c r="FT143" i="2"/>
  <c r="GO144" i="2" a="1"/>
  <c r="GO144" i="2" s="1"/>
  <c r="GK144" i="2" a="1"/>
  <c r="GK144" i="2" s="1"/>
  <c r="GG144" i="2" a="1"/>
  <c r="GG144" i="2" s="1"/>
  <c r="GC144" i="2" a="1"/>
  <c r="GC144" i="2" s="1"/>
  <c r="FY144" i="2" a="1"/>
  <c r="FY144" i="2" s="1"/>
  <c r="FU144" i="2" a="1"/>
  <c r="FU144" i="2" s="1"/>
  <c r="FQ144" i="2" a="1"/>
  <c r="FQ144" i="2" s="1"/>
  <c r="GP143" i="2"/>
  <c r="GH143" i="2"/>
  <c r="FZ143" i="2"/>
  <c r="FR143" i="2"/>
  <c r="GR144" i="2" a="1"/>
  <c r="GR144" i="2" s="1"/>
  <c r="GN144" i="2" a="1"/>
  <c r="GN144" i="2" s="1"/>
  <c r="GJ144" i="2" a="1"/>
  <c r="GJ144" i="2" s="1"/>
  <c r="GF144" i="2" a="1"/>
  <c r="GF144" i="2" s="1"/>
  <c r="GB144" i="2" a="1"/>
  <c r="GB144" i="2" s="1"/>
  <c r="FX144" i="2" a="1"/>
  <c r="FX144" i="2" s="1"/>
  <c r="FT144" i="2" a="1"/>
  <c r="FT144" i="2" s="1"/>
  <c r="FP144" i="2" a="1"/>
  <c r="FP144" i="2" s="1"/>
  <c r="GN143" i="2"/>
  <c r="GF143" i="2"/>
  <c r="FX143" i="2"/>
  <c r="FP143" i="2"/>
  <c r="GE144" i="2" a="1"/>
  <c r="GE144" i="2" s="1"/>
  <c r="GM143" i="2"/>
  <c r="GA143" i="2"/>
  <c r="FO144" i="2" a="1"/>
  <c r="FO144" i="2" s="1"/>
  <c r="GG143" i="2"/>
  <c r="FU143" i="2"/>
  <c r="GM144" i="2" a="1"/>
  <c r="GM144" i="2" s="1"/>
  <c r="GQ143" i="2"/>
  <c r="FY143" i="2"/>
  <c r="GO143" i="2"/>
  <c r="FW143" i="2"/>
  <c r="GL143" i="2"/>
  <c r="FV143" i="2"/>
  <c r="GA144" i="2" a="1"/>
  <c r="GA144" i="2" s="1"/>
  <c r="FS144" i="2" a="1"/>
  <c r="FS144" i="2" s="1"/>
  <c r="GK143" i="2"/>
  <c r="FS143" i="2"/>
  <c r="GE143" i="2"/>
  <c r="FO143" i="2"/>
  <c r="GI144" i="2" a="1"/>
  <c r="GI144" i="2" s="1"/>
  <c r="GI143" i="2"/>
  <c r="GC143" i="2"/>
  <c r="CK48" i="2"/>
  <c r="CC48" i="2"/>
  <c r="FW144" i="2" a="1"/>
  <c r="FW144" i="2" s="1"/>
  <c r="CJ48" i="2"/>
  <c r="CB48" i="2"/>
  <c r="BT48" i="2"/>
  <c r="GD143" i="2"/>
  <c r="FQ143" i="2"/>
  <c r="CL48" i="2"/>
  <c r="BZ48" i="2"/>
  <c r="BQ48" i="2"/>
  <c r="BI48" i="2"/>
  <c r="HF47" i="2"/>
  <c r="FK47" i="2"/>
  <c r="FC47" i="2"/>
  <c r="EU47" i="2"/>
  <c r="EU48" i="2" s="1"/>
  <c r="EM47" i="2"/>
  <c r="DG47" i="2"/>
  <c r="BR47" i="2"/>
  <c r="BJ47" i="2"/>
  <c r="CV47" i="2" s="1" a="1"/>
  <c r="CV47" i="2" s="1"/>
  <c r="GQ144" i="2" a="1"/>
  <c r="GQ144" i="2" s="1"/>
  <c r="CI48" i="2"/>
  <c r="BY48" i="2"/>
  <c r="BP48" i="2"/>
  <c r="FJ47" i="2"/>
  <c r="FB47" i="2"/>
  <c r="ET47" i="2"/>
  <c r="EL47" i="2"/>
  <c r="EA47" i="2"/>
  <c r="DF47" i="2"/>
  <c r="BQ47" i="2"/>
  <c r="BI47" i="2"/>
  <c r="CU47" i="2" s="1" a="1"/>
  <c r="CU47" i="2" s="1"/>
  <c r="CH48" i="2"/>
  <c r="BX48" i="2"/>
  <c r="BO48" i="2"/>
  <c r="AN48" i="2" a="1"/>
  <c r="AN48" i="2" s="1"/>
  <c r="FI47" i="2"/>
  <c r="FA47" i="2"/>
  <c r="ES47" i="2"/>
  <c r="EK47" i="2"/>
  <c r="DZ47" i="2"/>
  <c r="DE47" i="2"/>
  <c r="BP47" i="2"/>
  <c r="CG48" i="2"/>
  <c r="BW48" i="2"/>
  <c r="BN48" i="2"/>
  <c r="I48" i="2" a="1"/>
  <c r="I48" i="2" s="1"/>
  <c r="FH47" i="2"/>
  <c r="EZ47" i="2"/>
  <c r="ER47" i="2"/>
  <c r="EJ47" i="2"/>
  <c r="DD47" i="2"/>
  <c r="BO47" i="2"/>
  <c r="DA47" i="2" s="1" a="1"/>
  <c r="DA47" i="2" s="1"/>
  <c r="CE48" i="2"/>
  <c r="BU48" i="2"/>
  <c r="BL48" i="2"/>
  <c r="H48" i="2"/>
  <c r="FF47" i="2"/>
  <c r="EX47" i="2"/>
  <c r="EP47" i="2"/>
  <c r="EH47" i="2"/>
  <c r="BM47" i="2"/>
  <c r="CY47" i="2" s="1" a="1"/>
  <c r="CY47" i="2" s="1"/>
  <c r="BK48" i="2"/>
  <c r="EU49" i="2"/>
  <c r="BI50" i="2"/>
  <c r="BV53" i="2"/>
  <c r="CH57" i="2"/>
  <c r="EZ59" i="2"/>
  <c r="FV60" i="2"/>
  <c r="GD60" i="2"/>
  <c r="Q62" i="2"/>
  <c r="EP64" i="2"/>
  <c r="FU119" i="2" a="1"/>
  <c r="FU119" i="2" s="1"/>
  <c r="BO43" i="2"/>
  <c r="DA43" i="2" s="1" a="1"/>
  <c r="DA43" i="2" s="1"/>
  <c r="BW43" i="2"/>
  <c r="CE43" i="2"/>
  <c r="DE43" i="2"/>
  <c r="DZ43" i="2"/>
  <c r="DY55" i="2" s="1"/>
  <c r="EK43" i="2"/>
  <c r="GT43" i="2" s="1"/>
  <c r="ES43" i="2"/>
  <c r="FA43" i="2"/>
  <c r="FI43" i="2"/>
  <c r="AN44" i="2" a="1"/>
  <c r="AN44" i="2" s="1"/>
  <c r="BO44" i="2"/>
  <c r="BW44" i="2"/>
  <c r="CE44" i="2"/>
  <c r="BZ45" i="2"/>
  <c r="CH45" i="2"/>
  <c r="GP139" i="2" a="1"/>
  <c r="GP139" i="2" s="1"/>
  <c r="GL139" i="2" a="1"/>
  <c r="GL139" i="2" s="1"/>
  <c r="GH139" i="2" a="1"/>
  <c r="GH139" i="2" s="1"/>
  <c r="GD139" i="2" a="1"/>
  <c r="GD139" i="2" s="1"/>
  <c r="FZ139" i="2" a="1"/>
  <c r="FZ139" i="2" s="1"/>
  <c r="FV139" i="2" a="1"/>
  <c r="FV139" i="2" s="1"/>
  <c r="FR139" i="2" a="1"/>
  <c r="FR139" i="2" s="1"/>
  <c r="GR138" i="2"/>
  <c r="GJ138" i="2"/>
  <c r="GB138" i="2"/>
  <c r="FT138" i="2"/>
  <c r="GR139" i="2" a="1"/>
  <c r="GR139" i="2" s="1"/>
  <c r="GN139" i="2" a="1"/>
  <c r="GN139" i="2" s="1"/>
  <c r="GJ139" i="2" a="1"/>
  <c r="GJ139" i="2" s="1"/>
  <c r="GF139" i="2" a="1"/>
  <c r="GF139" i="2" s="1"/>
  <c r="GB139" i="2" a="1"/>
  <c r="GB139" i="2" s="1"/>
  <c r="FX139" i="2" a="1"/>
  <c r="FX139" i="2" s="1"/>
  <c r="FT139" i="2" a="1"/>
  <c r="FT139" i="2" s="1"/>
  <c r="FP139" i="2" a="1"/>
  <c r="FP139" i="2" s="1"/>
  <c r="GN138" i="2"/>
  <c r="GF138" i="2"/>
  <c r="FX138" i="2"/>
  <c r="FP138" i="2"/>
  <c r="GM139" i="2" a="1"/>
  <c r="GM139" i="2" s="1"/>
  <c r="FW139" i="2" a="1"/>
  <c r="FW139" i="2" s="1"/>
  <c r="GO138" i="2"/>
  <c r="GD138" i="2"/>
  <c r="FS138" i="2"/>
  <c r="GE139" i="2" a="1"/>
  <c r="GE139" i="2" s="1"/>
  <c r="FO139" i="2" a="1"/>
  <c r="FO139" i="2" s="1"/>
  <c r="GI138" i="2"/>
  <c r="FY138" i="2"/>
  <c r="GG139" i="2" a="1"/>
  <c r="GG139" i="2" s="1"/>
  <c r="FS139" i="2" a="1"/>
  <c r="FS139" i="2" s="1"/>
  <c r="GM138" i="2"/>
  <c r="FZ138" i="2"/>
  <c r="FY139" i="2" a="1"/>
  <c r="FY139" i="2" s="1"/>
  <c r="GL138" i="2"/>
  <c r="FW138" i="2"/>
  <c r="FQ139" i="2" a="1"/>
  <c r="FQ139" i="2" s="1"/>
  <c r="GK138" i="2"/>
  <c r="FV138" i="2"/>
  <c r="GH138" i="2"/>
  <c r="FU138" i="2"/>
  <c r="GQ139" i="2" a="1"/>
  <c r="GQ139" i="2" s="1"/>
  <c r="GC139" i="2" a="1"/>
  <c r="GC139" i="2" s="1"/>
  <c r="GE138" i="2"/>
  <c r="FQ138" i="2"/>
  <c r="GP138" i="2"/>
  <c r="GG138" i="2"/>
  <c r="GA139" i="2" a="1"/>
  <c r="GA139" i="2" s="1"/>
  <c r="GC138" i="2"/>
  <c r="GA138" i="2"/>
  <c r="GK139" i="2" a="1"/>
  <c r="GK139" i="2" s="1"/>
  <c r="FO138" i="2"/>
  <c r="GO139" i="2" a="1"/>
  <c r="GO139" i="2" s="1"/>
  <c r="GI139" i="2" a="1"/>
  <c r="GI139" i="2" s="1"/>
  <c r="FU139" i="2" a="1"/>
  <c r="FU139" i="2" s="1"/>
  <c r="GQ138" i="2"/>
  <c r="BJ46" i="2"/>
  <c r="BR46" i="2"/>
  <c r="BZ46" i="2"/>
  <c r="CH46" i="2"/>
  <c r="DL51" i="2"/>
  <c r="DZ51" i="2"/>
  <c r="EO51" i="2"/>
  <c r="FA51" i="2"/>
  <c r="BO52" i="2"/>
  <c r="CB52" i="2"/>
  <c r="FX60" i="2"/>
  <c r="BV62" i="2"/>
  <c r="BU62" i="2"/>
  <c r="CB62" i="2"/>
  <c r="BT62" i="2"/>
  <c r="CA62" i="2"/>
  <c r="BS62" i="2"/>
  <c r="BY62" i="2"/>
  <c r="EN64" i="2"/>
  <c r="EV64" i="2"/>
  <c r="FR68" i="2"/>
  <c r="FZ68" i="2"/>
  <c r="GH68" i="2"/>
  <c r="FS133" i="2"/>
  <c r="EO64" i="2"/>
  <c r="EW64" i="2"/>
  <c r="FS68" i="2"/>
  <c r="GA68" i="2"/>
  <c r="GA154" i="2" a="1"/>
  <c r="GA154" i="2" s="1"/>
  <c r="GK108" i="2"/>
  <c r="GC108" i="2"/>
  <c r="FU108" i="2"/>
  <c r="GQ108" i="2"/>
  <c r="GI108" i="2"/>
  <c r="GA108" i="2"/>
  <c r="FS108" i="2"/>
  <c r="GR109" i="2" a="1"/>
  <c r="GR109" i="2" s="1"/>
  <c r="GN109" i="2" a="1"/>
  <c r="GN109" i="2" s="1"/>
  <c r="GJ109" i="2" a="1"/>
  <c r="GJ109" i="2" s="1"/>
  <c r="GF109" i="2" a="1"/>
  <c r="GF109" i="2" s="1"/>
  <c r="GB109" i="2" a="1"/>
  <c r="GB109" i="2" s="1"/>
  <c r="FX109" i="2" a="1"/>
  <c r="FX109" i="2" s="1"/>
  <c r="FT109" i="2" a="1"/>
  <c r="FT109" i="2" s="1"/>
  <c r="FP109" i="2" a="1"/>
  <c r="FP109" i="2" s="1"/>
  <c r="GN108" i="2"/>
  <c r="GF108" i="2"/>
  <c r="FX108" i="2"/>
  <c r="FP108" i="2"/>
  <c r="GL109" i="2" a="1"/>
  <c r="GL109" i="2" s="1"/>
  <c r="FY109" i="2" a="1"/>
  <c r="FY109" i="2" s="1"/>
  <c r="FS109" i="2" a="1"/>
  <c r="FS109" i="2" s="1"/>
  <c r="GO108" i="2"/>
  <c r="GB108" i="2"/>
  <c r="FO108" i="2"/>
  <c r="GK109" i="2" a="1"/>
  <c r="GK109" i="2" s="1"/>
  <c r="GE109" i="2" a="1"/>
  <c r="GE109" i="2" s="1"/>
  <c r="FR109" i="2" a="1"/>
  <c r="FR109" i="2" s="1"/>
  <c r="GM108" i="2"/>
  <c r="FZ108" i="2"/>
  <c r="GQ109" i="2" a="1"/>
  <c r="GQ109" i="2" s="1"/>
  <c r="GD109" i="2" a="1"/>
  <c r="GD109" i="2" s="1"/>
  <c r="FQ109" i="2" a="1"/>
  <c r="FQ109" i="2" s="1"/>
  <c r="GL108" i="2"/>
  <c r="FY108" i="2"/>
  <c r="GP109" i="2" a="1"/>
  <c r="GP109" i="2" s="1"/>
  <c r="GC109" i="2" a="1"/>
  <c r="GC109" i="2" s="1"/>
  <c r="FW109" i="2" a="1"/>
  <c r="FW109" i="2" s="1"/>
  <c r="GJ108" i="2"/>
  <c r="FW108" i="2"/>
  <c r="GH109" i="2" a="1"/>
  <c r="GH109" i="2" s="1"/>
  <c r="FU109" i="2" a="1"/>
  <c r="FU109" i="2" s="1"/>
  <c r="FO109" i="2" a="1"/>
  <c r="FO109" i="2" s="1"/>
  <c r="GG108" i="2"/>
  <c r="FT108" i="2"/>
  <c r="GP108" i="2"/>
  <c r="GA109" i="2" a="1"/>
  <c r="GA109" i="2" s="1"/>
  <c r="GH108" i="2"/>
  <c r="GO109" i="2" a="1"/>
  <c r="GO109" i="2" s="1"/>
  <c r="FZ109" i="2" a="1"/>
  <c r="FZ109" i="2" s="1"/>
  <c r="GE108" i="2"/>
  <c r="FV109" i="2" a="1"/>
  <c r="FV109" i="2" s="1"/>
  <c r="GD108" i="2"/>
  <c r="GI109" i="2" a="1"/>
  <c r="GI109" i="2" s="1"/>
  <c r="FR108" i="2"/>
  <c r="BJ34" i="2"/>
  <c r="BR34" i="2"/>
  <c r="BZ34" i="2"/>
  <c r="CH34" i="2"/>
  <c r="BI43" i="2"/>
  <c r="CU43" i="2" s="1" a="1"/>
  <c r="CU43" i="2" s="1"/>
  <c r="BQ43" i="2"/>
  <c r="BY43" i="2"/>
  <c r="CG43" i="2"/>
  <c r="DG43" i="2"/>
  <c r="EM43" i="2"/>
  <c r="EM44" i="2" s="1"/>
  <c r="EU43" i="2"/>
  <c r="FC43" i="2"/>
  <c r="FK43" i="2"/>
  <c r="HF43" i="2"/>
  <c r="BI44" i="2"/>
  <c r="BQ44" i="2"/>
  <c r="BY44" i="2"/>
  <c r="BL45" i="2"/>
  <c r="CX45" i="2" s="1" a="1"/>
  <c r="CX45" i="2" s="1"/>
  <c r="BT45" i="2"/>
  <c r="CB45" i="2"/>
  <c r="EH45" i="2"/>
  <c r="EN46" i="2" s="1"/>
  <c r="EP45" i="2"/>
  <c r="EP46" i="2" s="1"/>
  <c r="EX45" i="2"/>
  <c r="FF45" i="2"/>
  <c r="FF46" i="2" s="1"/>
  <c r="H46" i="2"/>
  <c r="BL46" i="2"/>
  <c r="BT46" i="2"/>
  <c r="CB46" i="2"/>
  <c r="CJ46" i="2"/>
  <c r="DN51" i="2"/>
  <c r="EQ51" i="2"/>
  <c r="FE51" i="2"/>
  <c r="BS52" i="2"/>
  <c r="BX62" i="2"/>
  <c r="GT63" i="2"/>
  <c r="GU63" i="2"/>
  <c r="GF66" i="2"/>
  <c r="FX66" i="2"/>
  <c r="FP66" i="2"/>
  <c r="BX66" i="2"/>
  <c r="BW66" i="2"/>
  <c r="BV66" i="2"/>
  <c r="BU66" i="2"/>
  <c r="CA66" i="2"/>
  <c r="BS66" i="2"/>
  <c r="GE66" i="2"/>
  <c r="GB68" i="2"/>
  <c r="BZ43" i="2"/>
  <c r="GO133" i="2"/>
  <c r="GG133" i="2"/>
  <c r="FY133" i="2"/>
  <c r="FQ133" i="2"/>
  <c r="GK133" i="2"/>
  <c r="GC133" i="2"/>
  <c r="FU133" i="2"/>
  <c r="GJ134" i="2" a="1"/>
  <c r="GJ134" i="2" s="1"/>
  <c r="GE134" i="2" a="1"/>
  <c r="GE134" i="2" s="1"/>
  <c r="FT134" i="2" a="1"/>
  <c r="FT134" i="2" s="1"/>
  <c r="FO134" i="2" a="1"/>
  <c r="FO134" i="2" s="1"/>
  <c r="GI133" i="2"/>
  <c r="FX133" i="2"/>
  <c r="GO134" i="2" a="1"/>
  <c r="GO134" i="2" s="1"/>
  <c r="GD134" i="2" a="1"/>
  <c r="GD134" i="2" s="1"/>
  <c r="FY134" i="2" a="1"/>
  <c r="FY134" i="2" s="1"/>
  <c r="GR133" i="2"/>
  <c r="GH133" i="2"/>
  <c r="FW133" i="2"/>
  <c r="GN134" i="2" a="1"/>
  <c r="GN134" i="2" s="1"/>
  <c r="GI134" i="2" a="1"/>
  <c r="GI134" i="2" s="1"/>
  <c r="FX134" i="2" a="1"/>
  <c r="FX134" i="2" s="1"/>
  <c r="FS134" i="2" a="1"/>
  <c r="FS134" i="2" s="1"/>
  <c r="GQ133" i="2"/>
  <c r="GF133" i="2"/>
  <c r="FV133" i="2"/>
  <c r="GH134" i="2" a="1"/>
  <c r="GH134" i="2" s="1"/>
  <c r="GC134" i="2" a="1"/>
  <c r="GC134" i="2" s="1"/>
  <c r="FR134" i="2" a="1"/>
  <c r="FR134" i="2" s="1"/>
  <c r="GP133" i="2"/>
  <c r="GE133" i="2"/>
  <c r="FT133" i="2"/>
  <c r="GL134" i="2" a="1"/>
  <c r="GL134" i="2" s="1"/>
  <c r="GG134" i="2" a="1"/>
  <c r="GG134" i="2" s="1"/>
  <c r="FV134" i="2" a="1"/>
  <c r="FV134" i="2" s="1"/>
  <c r="FQ134" i="2" a="1"/>
  <c r="FQ134" i="2" s="1"/>
  <c r="GM133" i="2"/>
  <c r="GB133" i="2"/>
  <c r="FR133" i="2"/>
  <c r="GP134" i="2" a="1"/>
  <c r="GP134" i="2" s="1"/>
  <c r="GA134" i="2" a="1"/>
  <c r="GA134" i="2" s="1"/>
  <c r="GN133" i="2"/>
  <c r="FO133" i="2"/>
  <c r="GM134" i="2" a="1"/>
  <c r="GM134" i="2" s="1"/>
  <c r="FZ134" i="2" a="1"/>
  <c r="FZ134" i="2" s="1"/>
  <c r="GL133" i="2"/>
  <c r="FW134" i="2" a="1"/>
  <c r="FW134" i="2" s="1"/>
  <c r="GJ133" i="2"/>
  <c r="GK134" i="2" a="1"/>
  <c r="GK134" i="2" s="1"/>
  <c r="GD133" i="2"/>
  <c r="GF134" i="2" a="1"/>
  <c r="GF134" i="2" s="1"/>
  <c r="FZ133" i="2"/>
  <c r="GB134" i="2" a="1"/>
  <c r="GB134" i="2" s="1"/>
  <c r="FU134" i="2" a="1"/>
  <c r="FU134" i="2" s="1"/>
  <c r="FP134" i="2" a="1"/>
  <c r="FP134" i="2" s="1"/>
  <c r="GR134" i="2" a="1"/>
  <c r="GR134" i="2" s="1"/>
  <c r="GA133" i="2"/>
  <c r="BJ44" i="2"/>
  <c r="BR44" i="2"/>
  <c r="BZ44" i="2"/>
  <c r="CH44" i="2"/>
  <c r="GP154" i="2" a="1"/>
  <c r="GP154" i="2" s="1"/>
  <c r="GL154" i="2" a="1"/>
  <c r="GL154" i="2" s="1"/>
  <c r="GH154" i="2" a="1"/>
  <c r="GH154" i="2" s="1"/>
  <c r="GD154" i="2" a="1"/>
  <c r="GD154" i="2" s="1"/>
  <c r="FZ154" i="2" a="1"/>
  <c r="FZ154" i="2" s="1"/>
  <c r="FV154" i="2" a="1"/>
  <c r="FV154" i="2" s="1"/>
  <c r="FR154" i="2" a="1"/>
  <c r="FR154" i="2" s="1"/>
  <c r="GR153" i="2"/>
  <c r="GJ153" i="2"/>
  <c r="GB153" i="2"/>
  <c r="FT153" i="2"/>
  <c r="GO154" i="2" a="1"/>
  <c r="GO154" i="2" s="1"/>
  <c r="GK154" i="2" a="1"/>
  <c r="GK154" i="2" s="1"/>
  <c r="GG154" i="2" a="1"/>
  <c r="GG154" i="2" s="1"/>
  <c r="GC154" i="2" a="1"/>
  <c r="GC154" i="2" s="1"/>
  <c r="FY154" i="2" a="1"/>
  <c r="FY154" i="2" s="1"/>
  <c r="FU154" i="2" a="1"/>
  <c r="FU154" i="2" s="1"/>
  <c r="FQ154" i="2" a="1"/>
  <c r="FQ154" i="2" s="1"/>
  <c r="GP153" i="2"/>
  <c r="GH153" i="2"/>
  <c r="FZ153" i="2"/>
  <c r="FR153" i="2"/>
  <c r="GR154" i="2" a="1"/>
  <c r="GR154" i="2" s="1"/>
  <c r="GN154" i="2" a="1"/>
  <c r="GN154" i="2" s="1"/>
  <c r="GJ154" i="2" a="1"/>
  <c r="GJ154" i="2" s="1"/>
  <c r="GF154" i="2" a="1"/>
  <c r="GF154" i="2" s="1"/>
  <c r="GB154" i="2" a="1"/>
  <c r="GB154" i="2" s="1"/>
  <c r="FX154" i="2" a="1"/>
  <c r="FX154" i="2" s="1"/>
  <c r="FT154" i="2" a="1"/>
  <c r="FT154" i="2" s="1"/>
  <c r="FP154" i="2" a="1"/>
  <c r="FP154" i="2" s="1"/>
  <c r="GN153" i="2"/>
  <c r="GF153" i="2"/>
  <c r="FX153" i="2"/>
  <c r="FP153" i="2"/>
  <c r="GM154" i="2" a="1"/>
  <c r="GM154" i="2" s="1"/>
  <c r="GQ153" i="2"/>
  <c r="GD153" i="2"/>
  <c r="FQ153" i="2"/>
  <c r="FS154" i="2" a="1"/>
  <c r="FS154" i="2" s="1"/>
  <c r="GO153" i="2"/>
  <c r="GC153" i="2"/>
  <c r="FO153" i="2"/>
  <c r="GE154" i="2" a="1"/>
  <c r="GE154" i="2" s="1"/>
  <c r="FW154" i="2" a="1"/>
  <c r="FW154" i="2" s="1"/>
  <c r="GK153" i="2"/>
  <c r="FW153" i="2"/>
  <c r="FO154" i="2" a="1"/>
  <c r="FO154" i="2" s="1"/>
  <c r="GG153" i="2"/>
  <c r="FU153" i="2"/>
  <c r="GM153" i="2"/>
  <c r="GL153" i="2"/>
  <c r="GI153" i="2"/>
  <c r="GI154" i="2" a="1"/>
  <c r="GI154" i="2" s="1"/>
  <c r="GE153" i="2"/>
  <c r="FY153" i="2"/>
  <c r="GA153" i="2"/>
  <c r="FS153" i="2"/>
  <c r="FV153" i="2"/>
  <c r="CG52" i="2"/>
  <c r="BY52" i="2"/>
  <c r="BQ52" i="2"/>
  <c r="BI52" i="2"/>
  <c r="HF51" i="2"/>
  <c r="FK51" i="2"/>
  <c r="FC51" i="2"/>
  <c r="EU51" i="2"/>
  <c r="EX52" i="2" s="1"/>
  <c r="EM51" i="2"/>
  <c r="DG51" i="2"/>
  <c r="BR51" i="2"/>
  <c r="BJ51" i="2"/>
  <c r="CV51" i="2" s="1" a="1"/>
  <c r="CV51" i="2" s="1"/>
  <c r="CF52" i="2"/>
  <c r="BX52" i="2"/>
  <c r="BP52" i="2"/>
  <c r="FJ51" i="2"/>
  <c r="FB51" i="2"/>
  <c r="ET51" i="2"/>
  <c r="EL51" i="2"/>
  <c r="EA51" i="2"/>
  <c r="DF51" i="2"/>
  <c r="BQ51" i="2"/>
  <c r="BI51" i="2"/>
  <c r="CU51" i="2" s="1" a="1"/>
  <c r="CU51" i="2" s="1"/>
  <c r="CL52" i="2"/>
  <c r="CD52" i="2"/>
  <c r="BV52" i="2"/>
  <c r="BN52" i="2"/>
  <c r="I52" i="2" a="1"/>
  <c r="I52" i="2" s="1"/>
  <c r="FH51" i="2"/>
  <c r="EZ51" i="2"/>
  <c r="EZ52" i="2" s="1"/>
  <c r="ER51" i="2"/>
  <c r="EJ51" i="2"/>
  <c r="DD51" i="2"/>
  <c r="BO51" i="2"/>
  <c r="DA51" i="2" s="1" a="1"/>
  <c r="DA51" i="2" s="1"/>
  <c r="GQ154" i="2" a="1"/>
  <c r="GQ154" i="2" s="1"/>
  <c r="AN52" i="2" a="1"/>
  <c r="AN52" i="2" s="1"/>
  <c r="BT52" i="2"/>
  <c r="CH52" i="2"/>
  <c r="FC58" i="2"/>
  <c r="GG60" i="2"/>
  <c r="FY60" i="2"/>
  <c r="FQ60" i="2"/>
  <c r="GF60" i="2"/>
  <c r="GD62" i="2"/>
  <c r="FV62" i="2"/>
  <c r="FU62" i="2"/>
  <c r="GY63" i="2"/>
  <c r="GW63" i="2"/>
  <c r="GV63" i="2"/>
  <c r="DB65" i="2" a="1"/>
  <c r="DB65" i="2" s="1"/>
  <c r="FR66" i="2"/>
  <c r="FZ66" i="2"/>
  <c r="GH66" i="2"/>
  <c r="BT66" i="2"/>
  <c r="FT68" i="2"/>
  <c r="GQ134" i="2" a="1"/>
  <c r="GQ134" i="2" s="1"/>
  <c r="H55" i="2"/>
  <c r="FS60" i="2"/>
  <c r="GA60" i="2"/>
  <c r="FO60" i="2"/>
  <c r="GH60" i="2"/>
  <c r="FP62" i="2"/>
  <c r="FX62" i="2"/>
  <c r="GF62" i="2"/>
  <c r="FW62" i="2"/>
  <c r="ER64" i="2"/>
  <c r="EZ64" i="2"/>
  <c r="FU64" i="2"/>
  <c r="GC64" i="2"/>
  <c r="GX63" i="2"/>
  <c r="EH64" i="2"/>
  <c r="FV68" i="2"/>
  <c r="GD68" i="2"/>
  <c r="GG109" i="2" a="1"/>
  <c r="GG109" i="2" s="1"/>
  <c r="EI46" i="2"/>
  <c r="BK52" i="2"/>
  <c r="BW52" i="2"/>
  <c r="CJ52" i="2"/>
  <c r="DC57" i="2" a="1"/>
  <c r="DC57" i="2" s="1"/>
  <c r="DB57" i="2" a="1"/>
  <c r="DB57" i="2" s="1"/>
  <c r="FT60" i="2"/>
  <c r="GB60" i="2"/>
  <c r="FP60" i="2"/>
  <c r="FQ62" i="2"/>
  <c r="FY62" i="2"/>
  <c r="GG62" i="2"/>
  <c r="GB62" i="2"/>
  <c r="FV64" i="2"/>
  <c r="GD64" i="2"/>
  <c r="EI64" i="2"/>
  <c r="DM65" i="2"/>
  <c r="FT66" i="2"/>
  <c r="GB66" i="2"/>
  <c r="BZ66" i="2"/>
  <c r="FQ66" i="2"/>
  <c r="EI68" i="2"/>
  <c r="FW68" i="2"/>
  <c r="GM109" i="2" a="1"/>
  <c r="GM109" i="2" s="1"/>
  <c r="BZ65" i="2"/>
  <c r="BK66" i="2"/>
  <c r="BP68" i="2"/>
  <c r="BX68" i="2"/>
  <c r="GO163" i="2"/>
  <c r="BJ55" i="2"/>
  <c r="CV55" i="2" s="1" a="1"/>
  <c r="CV55" i="2" s="1"/>
  <c r="BR55" i="2"/>
  <c r="DG55" i="2"/>
  <c r="EM55" i="2"/>
  <c r="EM56" i="2" s="1"/>
  <c r="EU55" i="2"/>
  <c r="FC55" i="2"/>
  <c r="FK55" i="2"/>
  <c r="HF55" i="2"/>
  <c r="BI56" i="2"/>
  <c r="BQ56" i="2"/>
  <c r="BY56" i="2"/>
  <c r="GQ169" i="2" a="1"/>
  <c r="GQ169" i="2" s="1"/>
  <c r="GM169" i="2" a="1"/>
  <c r="GM169" i="2" s="1"/>
  <c r="GI169" i="2" a="1"/>
  <c r="GI169" i="2" s="1"/>
  <c r="GE169" i="2" a="1"/>
  <c r="GE169" i="2" s="1"/>
  <c r="GA169" i="2" a="1"/>
  <c r="GA169" i="2" s="1"/>
  <c r="FW169" i="2" a="1"/>
  <c r="FW169" i="2" s="1"/>
  <c r="FS169" i="2" a="1"/>
  <c r="FS169" i="2" s="1"/>
  <c r="FO169" i="2" a="1"/>
  <c r="FO169" i="2" s="1"/>
  <c r="GL168" i="2"/>
  <c r="GD168" i="2"/>
  <c r="FV168" i="2"/>
  <c r="GR169" i="2" a="1"/>
  <c r="GR169" i="2" s="1"/>
  <c r="GD169" i="2" a="1"/>
  <c r="GD169" i="2" s="1"/>
  <c r="FU169" i="2" a="1"/>
  <c r="FU169" i="2" s="1"/>
  <c r="GN168" i="2"/>
  <c r="GE168" i="2"/>
  <c r="FU168" i="2"/>
  <c r="GL169" i="2" a="1"/>
  <c r="GL169" i="2" s="1"/>
  <c r="GC169" i="2" a="1"/>
  <c r="GC169" i="2" s="1"/>
  <c r="FT169" i="2" a="1"/>
  <c r="FT169" i="2" s="1"/>
  <c r="GK168" i="2"/>
  <c r="GB168" i="2"/>
  <c r="FS168" i="2"/>
  <c r="GK169" i="2" a="1"/>
  <c r="GK169" i="2" s="1"/>
  <c r="GB169" i="2" a="1"/>
  <c r="GB169" i="2" s="1"/>
  <c r="GR168" i="2"/>
  <c r="GI168" i="2"/>
  <c r="FZ168" i="2"/>
  <c r="FQ168" i="2"/>
  <c r="FP169" i="2" a="1"/>
  <c r="FP169" i="2" s="1"/>
  <c r="GG168" i="2"/>
  <c r="FR168" i="2"/>
  <c r="FV169" i="2" a="1"/>
  <c r="FV169" i="2" s="1"/>
  <c r="GF168" i="2"/>
  <c r="FP168" i="2"/>
  <c r="GJ169" i="2" a="1"/>
  <c r="GJ169" i="2" s="1"/>
  <c r="GQ168" i="2"/>
  <c r="GC168" i="2"/>
  <c r="FO168" i="2"/>
  <c r="GO169" i="2" a="1"/>
  <c r="GO169" i="2" s="1"/>
  <c r="GH169" i="2" a="1"/>
  <c r="GH169" i="2" s="1"/>
  <c r="GO168" i="2"/>
  <c r="FY168" i="2"/>
  <c r="GN169" i="2" a="1"/>
  <c r="GN169" i="2" s="1"/>
  <c r="GF169" i="2" a="1"/>
  <c r="GF169" i="2" s="1"/>
  <c r="FY169" i="2" a="1"/>
  <c r="FY169" i="2" s="1"/>
  <c r="GJ168" i="2"/>
  <c r="FW168" i="2"/>
  <c r="FZ169" i="2" a="1"/>
  <c r="FZ169" i="2" s="1"/>
  <c r="GA168" i="2"/>
  <c r="GP169" i="2" a="1"/>
  <c r="GP169" i="2" s="1"/>
  <c r="FX169" i="2" a="1"/>
  <c r="FX169" i="2" s="1"/>
  <c r="FX168" i="2"/>
  <c r="FT168" i="2"/>
  <c r="FR169" i="2" a="1"/>
  <c r="FR169" i="2" s="1"/>
  <c r="GG169" i="2" a="1"/>
  <c r="GG169" i="2" s="1"/>
  <c r="GP168" i="2"/>
  <c r="FQ169" i="2" a="1"/>
  <c r="FQ169" i="2" s="1"/>
  <c r="GM168" i="2"/>
  <c r="GH168" i="2"/>
  <c r="BJ58" i="2"/>
  <c r="BR58" i="2"/>
  <c r="BZ58" i="2"/>
  <c r="CH58" i="2"/>
  <c r="BZ61" i="2"/>
  <c r="BK62" i="2"/>
  <c r="BL65" i="2"/>
  <c r="CX65" i="2" s="1" a="1"/>
  <c r="CX65" i="2" s="1"/>
  <c r="BT65" i="2"/>
  <c r="CB65" i="2"/>
  <c r="DD65" i="2"/>
  <c r="EJ65" i="2"/>
  <c r="ER65" i="2"/>
  <c r="EZ65" i="2"/>
  <c r="H66" i="2"/>
  <c r="BM66" i="2"/>
  <c r="BZ68" i="2"/>
  <c r="FU158" i="2"/>
  <c r="GQ164" i="2" a="1"/>
  <c r="GQ164" i="2" s="1"/>
  <c r="GP164" i="2" a="1"/>
  <c r="GP164" i="2" s="1"/>
  <c r="GL164" i="2" a="1"/>
  <c r="GL164" i="2" s="1"/>
  <c r="GH164" i="2" a="1"/>
  <c r="GH164" i="2" s="1"/>
  <c r="GD164" i="2" a="1"/>
  <c r="GD164" i="2" s="1"/>
  <c r="FZ164" i="2" a="1"/>
  <c r="FZ164" i="2" s="1"/>
  <c r="FV164" i="2" a="1"/>
  <c r="FV164" i="2" s="1"/>
  <c r="FR164" i="2" a="1"/>
  <c r="FR164" i="2" s="1"/>
  <c r="GR163" i="2"/>
  <c r="GJ163" i="2"/>
  <c r="GB163" i="2"/>
  <c r="FT163" i="2"/>
  <c r="GO164" i="2" a="1"/>
  <c r="GO164" i="2" s="1"/>
  <c r="GK164" i="2" a="1"/>
  <c r="GK164" i="2" s="1"/>
  <c r="GG164" i="2" a="1"/>
  <c r="GG164" i="2" s="1"/>
  <c r="GC164" i="2" a="1"/>
  <c r="GC164" i="2" s="1"/>
  <c r="FY164" i="2" a="1"/>
  <c r="FY164" i="2" s="1"/>
  <c r="FU164" i="2" a="1"/>
  <c r="FU164" i="2" s="1"/>
  <c r="FQ164" i="2" a="1"/>
  <c r="FQ164" i="2" s="1"/>
  <c r="GP163" i="2"/>
  <c r="GH163" i="2"/>
  <c r="FZ163" i="2"/>
  <c r="FR163" i="2"/>
  <c r="GN164" i="2" a="1"/>
  <c r="GN164" i="2" s="1"/>
  <c r="GJ164" i="2" a="1"/>
  <c r="GJ164" i="2" s="1"/>
  <c r="GF164" i="2" a="1"/>
  <c r="GF164" i="2" s="1"/>
  <c r="GB164" i="2" a="1"/>
  <c r="GB164" i="2" s="1"/>
  <c r="FX164" i="2" a="1"/>
  <c r="FX164" i="2" s="1"/>
  <c r="FT164" i="2" a="1"/>
  <c r="FT164" i="2" s="1"/>
  <c r="FP164" i="2" a="1"/>
  <c r="FP164" i="2" s="1"/>
  <c r="GN163" i="2"/>
  <c r="GF163" i="2"/>
  <c r="FX163" i="2"/>
  <c r="FP163" i="2"/>
  <c r="FO164" i="2" a="1"/>
  <c r="FO164" i="2" s="1"/>
  <c r="GG163" i="2"/>
  <c r="FU163" i="2"/>
  <c r="GA164" i="2" a="1"/>
  <c r="GA164" i="2" s="1"/>
  <c r="GE163" i="2"/>
  <c r="FS163" i="2"/>
  <c r="GM164" i="2" a="1"/>
  <c r="GM164" i="2" s="1"/>
  <c r="GQ163" i="2"/>
  <c r="GD163" i="2"/>
  <c r="FQ163" i="2"/>
  <c r="GR164" i="2" a="1"/>
  <c r="GR164" i="2" s="1"/>
  <c r="GE164" i="2" a="1"/>
  <c r="GE164" i="2" s="1"/>
  <c r="GM163" i="2"/>
  <c r="GA163" i="2"/>
  <c r="FW164" i="2" a="1"/>
  <c r="FW164" i="2" s="1"/>
  <c r="GK163" i="2"/>
  <c r="FW163" i="2"/>
  <c r="GI163" i="2"/>
  <c r="GC163" i="2"/>
  <c r="FY163" i="2"/>
  <c r="FS164" i="2" a="1"/>
  <c r="FS164" i="2" s="1"/>
  <c r="FV163" i="2"/>
  <c r="FO163" i="2"/>
  <c r="GI164" i="2" a="1"/>
  <c r="GI164" i="2" s="1"/>
  <c r="BJ56" i="2"/>
  <c r="BR56" i="2"/>
  <c r="BZ56" i="2"/>
  <c r="CH56" i="2"/>
  <c r="BM65" i="2"/>
  <c r="CY65" i="2" s="1" a="1"/>
  <c r="CY65" i="2" s="1"/>
  <c r="BU65" i="2"/>
  <c r="DE65" i="2"/>
  <c r="DZ65" i="2"/>
  <c r="DQ57" i="2" s="1"/>
  <c r="EK65" i="2"/>
  <c r="ES65" i="2"/>
  <c r="ES66" i="2" s="1"/>
  <c r="FA65" i="2"/>
  <c r="BN66" i="2"/>
  <c r="BZ67" i="2"/>
  <c r="BK68" i="2"/>
  <c r="BS68" i="2"/>
  <c r="CA68" i="2"/>
  <c r="GP159" i="2" a="1"/>
  <c r="GP159" i="2" s="1"/>
  <c r="GL159" i="2" a="1"/>
  <c r="GL159" i="2" s="1"/>
  <c r="GH159" i="2" a="1"/>
  <c r="GH159" i="2" s="1"/>
  <c r="GD159" i="2" a="1"/>
  <c r="GD159" i="2" s="1"/>
  <c r="FZ159" i="2" a="1"/>
  <c r="FZ159" i="2" s="1"/>
  <c r="FV159" i="2" a="1"/>
  <c r="FV159" i="2" s="1"/>
  <c r="FR159" i="2" a="1"/>
  <c r="FR159" i="2" s="1"/>
  <c r="GR158" i="2"/>
  <c r="GJ158" i="2"/>
  <c r="GB158" i="2"/>
  <c r="FT158" i="2"/>
  <c r="GO159" i="2" a="1"/>
  <c r="GO159" i="2" s="1"/>
  <c r="GK159" i="2" a="1"/>
  <c r="GK159" i="2" s="1"/>
  <c r="GG159" i="2" a="1"/>
  <c r="GG159" i="2" s="1"/>
  <c r="GC159" i="2" a="1"/>
  <c r="GC159" i="2" s="1"/>
  <c r="FY159" i="2" a="1"/>
  <c r="FY159" i="2" s="1"/>
  <c r="FU159" i="2" a="1"/>
  <c r="FU159" i="2" s="1"/>
  <c r="FQ159" i="2" a="1"/>
  <c r="FQ159" i="2" s="1"/>
  <c r="GP158" i="2"/>
  <c r="GH158" i="2"/>
  <c r="FZ158" i="2"/>
  <c r="FR158" i="2"/>
  <c r="GR159" i="2" a="1"/>
  <c r="GR159" i="2" s="1"/>
  <c r="GN159" i="2" a="1"/>
  <c r="GN159" i="2" s="1"/>
  <c r="GJ159" i="2" a="1"/>
  <c r="GJ159" i="2" s="1"/>
  <c r="GF159" i="2" a="1"/>
  <c r="GF159" i="2" s="1"/>
  <c r="GB159" i="2" a="1"/>
  <c r="GB159" i="2" s="1"/>
  <c r="FX159" i="2" a="1"/>
  <c r="FX159" i="2" s="1"/>
  <c r="FT159" i="2" a="1"/>
  <c r="FT159" i="2" s="1"/>
  <c r="FP159" i="2" a="1"/>
  <c r="FP159" i="2" s="1"/>
  <c r="GN158" i="2"/>
  <c r="GF158" i="2"/>
  <c r="FX158" i="2"/>
  <c r="FP158" i="2"/>
  <c r="GA159" i="2" a="1"/>
  <c r="GA159" i="2" s="1"/>
  <c r="GE158" i="2"/>
  <c r="FS158" i="2"/>
  <c r="GM159" i="2" a="1"/>
  <c r="GM159" i="2" s="1"/>
  <c r="GQ158" i="2"/>
  <c r="GD158" i="2"/>
  <c r="FQ158" i="2"/>
  <c r="FS159" i="2" a="1"/>
  <c r="FS159" i="2" s="1"/>
  <c r="GO158" i="2"/>
  <c r="GC158" i="2"/>
  <c r="FO158" i="2"/>
  <c r="GQ159" i="2" a="1"/>
  <c r="GQ159" i="2" s="1"/>
  <c r="GL158" i="2"/>
  <c r="FY158" i="2"/>
  <c r="GI159" i="2" a="1"/>
  <c r="GI159" i="2" s="1"/>
  <c r="GI158" i="2"/>
  <c r="FV158" i="2"/>
  <c r="GE159" i="2" a="1"/>
  <c r="GE159" i="2" s="1"/>
  <c r="FO159" i="2" a="1"/>
  <c r="FO159" i="2" s="1"/>
  <c r="GM158" i="2"/>
  <c r="GK158" i="2"/>
  <c r="FW159" i="2" a="1"/>
  <c r="FW159" i="2" s="1"/>
  <c r="GA158" i="2"/>
  <c r="FW158" i="2"/>
  <c r="BJ54" i="2"/>
  <c r="BR54" i="2"/>
  <c r="BZ54" i="2"/>
  <c r="CH54" i="2"/>
  <c r="BL55" i="2"/>
  <c r="CX55" i="2" s="1" a="1"/>
  <c r="CX55" i="2" s="1"/>
  <c r="DL55" i="2"/>
  <c r="DM55" i="2" s="1"/>
  <c r="EO55" i="2"/>
  <c r="EW55" i="2"/>
  <c r="FE55" i="2"/>
  <c r="BK56" i="2"/>
  <c r="BS56" i="2"/>
  <c r="CA56" i="2"/>
  <c r="CI56" i="2"/>
  <c r="BM57" i="2"/>
  <c r="CY57" i="2" s="1" a="1"/>
  <c r="CY57" i="2" s="1"/>
  <c r="EH57" i="2"/>
  <c r="EL58" i="2" s="1"/>
  <c r="EP57" i="2"/>
  <c r="EX57" i="2"/>
  <c r="FF57" i="2"/>
  <c r="H58" i="2"/>
  <c r="BL58" i="2"/>
  <c r="BT58" i="2"/>
  <c r="CB58" i="2"/>
  <c r="CJ58" i="2"/>
  <c r="BL61" i="2"/>
  <c r="CX61" i="2" s="1" a="1"/>
  <c r="CX61" i="2" s="1"/>
  <c r="BT61" i="2"/>
  <c r="CB61" i="2"/>
  <c r="DD61" i="2"/>
  <c r="DQ61" i="2"/>
  <c r="DY61" i="2"/>
  <c r="EJ61" i="2"/>
  <c r="ER61" i="2"/>
  <c r="EZ61" i="2"/>
  <c r="H62" i="2"/>
  <c r="BM62" i="2"/>
  <c r="BZ64" i="2"/>
  <c r="BN65" i="2"/>
  <c r="CZ65" i="2" s="1" a="1"/>
  <c r="CZ65" i="2" s="1"/>
  <c r="BV65" i="2"/>
  <c r="DF65" i="2"/>
  <c r="EA65" i="2"/>
  <c r="EL65" i="2"/>
  <c r="ET65" i="2"/>
  <c r="I66" i="2" a="1"/>
  <c r="I66" i="2" s="1"/>
  <c r="H65" i="2" s="1"/>
  <c r="AN66" i="2" a="1"/>
  <c r="AN66" i="2" s="1"/>
  <c r="BO66" i="2"/>
  <c r="BS67" i="2"/>
  <c r="CA67" i="2"/>
  <c r="EQ67" i="2"/>
  <c r="EY67" i="2"/>
  <c r="GU67" i="2"/>
  <c r="BL68" i="2"/>
  <c r="BT68" i="2"/>
  <c r="CB68" i="2"/>
  <c r="CO69" i="2"/>
  <c r="BL53" i="2"/>
  <c r="CX53" i="2" s="1" a="1"/>
  <c r="CX53" i="2" s="1"/>
  <c r="DL53" i="2"/>
  <c r="DM53" i="2" s="1"/>
  <c r="EO53" i="2"/>
  <c r="GX53" i="2" s="1"/>
  <c r="EW53" i="2"/>
  <c r="FE53" i="2"/>
  <c r="BK54" i="2"/>
  <c r="BS54" i="2"/>
  <c r="CA54" i="2"/>
  <c r="CI54" i="2"/>
  <c r="BM55" i="2"/>
  <c r="CY55" i="2" s="1" a="1"/>
  <c r="CY55" i="2" s="1"/>
  <c r="EH55" i="2"/>
  <c r="ER56" i="2" s="1"/>
  <c r="EP55" i="2"/>
  <c r="EX55" i="2"/>
  <c r="FF55" i="2"/>
  <c r="FF56" i="2" s="1"/>
  <c r="H56" i="2"/>
  <c r="BL56" i="2"/>
  <c r="BT56" i="2"/>
  <c r="CB56" i="2"/>
  <c r="CJ56" i="2"/>
  <c r="H57" i="2"/>
  <c r="BN57" i="2"/>
  <c r="CZ57" i="2" s="1" a="1"/>
  <c r="CZ57" i="2" s="1"/>
  <c r="DN57" i="2"/>
  <c r="EI57" i="2"/>
  <c r="EQ57" i="2"/>
  <c r="EY57" i="2"/>
  <c r="FG57" i="2"/>
  <c r="BM58" i="2"/>
  <c r="BU58" i="2"/>
  <c r="CC58" i="2"/>
  <c r="CK58" i="2"/>
  <c r="BM61" i="2"/>
  <c r="CY61" i="2" s="1" a="1"/>
  <c r="CY61" i="2" s="1"/>
  <c r="DE61" i="2"/>
  <c r="DR61" i="2"/>
  <c r="DZ61" i="2"/>
  <c r="EK61" i="2"/>
  <c r="ES61" i="2"/>
  <c r="FA61" i="2"/>
  <c r="FA62" i="2" s="1"/>
  <c r="BS64" i="2"/>
  <c r="BO65" i="2"/>
  <c r="DA65" i="2" s="1" a="1"/>
  <c r="DA65" i="2" s="1"/>
  <c r="DG65" i="2"/>
  <c r="EM65" i="2"/>
  <c r="EU65" i="2"/>
  <c r="BL67" i="2"/>
  <c r="CX67" i="2" s="1" a="1"/>
  <c r="CX67" i="2" s="1"/>
  <c r="BT67" i="2"/>
  <c r="DD67" i="2"/>
  <c r="DQ67" i="2"/>
  <c r="EJ67" i="2"/>
  <c r="ET68" i="2" s="1"/>
  <c r="ER67" i="2"/>
  <c r="EZ67" i="2"/>
  <c r="H68" i="2"/>
  <c r="Q14" i="2" a="1"/>
  <c r="GU14" i="2" l="1"/>
  <c r="GK135" i="2" a="1"/>
  <c r="GK135" i="2" s="1"/>
  <c r="FZ120" i="2" a="1"/>
  <c r="FZ120" i="2" s="1"/>
  <c r="GQ160" i="2" a="1"/>
  <c r="GQ160" i="2" s="1"/>
  <c r="FP160" i="2" a="1"/>
  <c r="FP160" i="2" s="1"/>
  <c r="GA145" i="2" a="1"/>
  <c r="GA145" i="2" s="1"/>
  <c r="GM150" i="2" a="1"/>
  <c r="GM150" i="2" s="1"/>
  <c r="GL100" i="2" a="1"/>
  <c r="GL100" i="2" s="1"/>
  <c r="GL135" i="2" a="1"/>
  <c r="GL135" i="2" s="1"/>
  <c r="GF155" i="2" a="1"/>
  <c r="GF155" i="2" s="1"/>
  <c r="GK140" i="2" a="1"/>
  <c r="GK140" i="2" s="1"/>
  <c r="FR115" i="2" a="1"/>
  <c r="FR115" i="2" s="1"/>
  <c r="GK75" i="2" a="1"/>
  <c r="GK75" i="2" s="1"/>
  <c r="GA135" i="2" a="1"/>
  <c r="GA135" i="2" s="1"/>
  <c r="GH80" i="2" a="1"/>
  <c r="GH80" i="2" s="1"/>
  <c r="GM105" i="2" a="1"/>
  <c r="GM105" i="2" s="1"/>
  <c r="GR165" i="2" a="1"/>
  <c r="GR165" i="2" s="1"/>
  <c r="FW85" i="2" a="1"/>
  <c r="FW85" i="2" s="1"/>
  <c r="FZ95" i="2" a="1"/>
  <c r="FZ95" i="2" s="1"/>
  <c r="FZ170" i="2" a="1"/>
  <c r="FZ170" i="2" s="1"/>
  <c r="GI130" i="2" a="1"/>
  <c r="GI130" i="2" s="1"/>
  <c r="FZ110" i="2" a="1"/>
  <c r="FZ110" i="2" s="1"/>
  <c r="FU110" i="2" a="1"/>
  <c r="FU110" i="2" s="1"/>
  <c r="FR125" i="2" a="1"/>
  <c r="FR125" i="2" s="1"/>
  <c r="Q14" i="2"/>
  <c r="AH66" i="2"/>
  <c r="Z66" i="2"/>
  <c r="R66" i="2"/>
  <c r="J66" i="2"/>
  <c r="AG66" i="2"/>
  <c r="Y66" i="2"/>
  <c r="Q66" i="2"/>
  <c r="EJ66" i="2"/>
  <c r="AF66" i="2"/>
  <c r="X66" i="2"/>
  <c r="P66" i="2"/>
  <c r="AM66" i="2"/>
  <c r="AE66" i="2"/>
  <c r="W66" i="2"/>
  <c r="O66" i="2"/>
  <c r="AK66" i="2"/>
  <c r="AC66" i="2"/>
  <c r="U66" i="2"/>
  <c r="M66" i="2"/>
  <c r="T66" i="2"/>
  <c r="AL66" i="2"/>
  <c r="S66" i="2"/>
  <c r="AJ66" i="2"/>
  <c r="N66" i="2"/>
  <c r="AI66" i="2"/>
  <c r="L66" i="2"/>
  <c r="AD66" i="2"/>
  <c r="K66" i="2"/>
  <c r="AB66" i="2"/>
  <c r="AA66" i="2"/>
  <c r="V66" i="2"/>
  <c r="EI58" i="2"/>
  <c r="ET58" i="2"/>
  <c r="DR65" i="2"/>
  <c r="FA66" i="2"/>
  <c r="GU61" i="2"/>
  <c r="FS165" i="2" a="1"/>
  <c r="FS165" i="2" s="1"/>
  <c r="GG165" i="2" a="1"/>
  <c r="GG165" i="2" s="1"/>
  <c r="FV165" i="2" a="1"/>
  <c r="FV165" i="2" s="1"/>
  <c r="EQ54" i="2"/>
  <c r="EH52" i="2"/>
  <c r="GQ155" i="2" a="1"/>
  <c r="GQ155" i="2" s="1"/>
  <c r="FI52" i="2"/>
  <c r="EM48" i="2"/>
  <c r="FS145" i="2" a="1"/>
  <c r="FS145" i="2" s="1"/>
  <c r="GM145" i="2" a="1"/>
  <c r="GM145" i="2" s="1"/>
  <c r="GJ145" i="2" a="1"/>
  <c r="GJ145" i="2" s="1"/>
  <c r="FU145" i="2" a="1"/>
  <c r="FU145" i="2" s="1"/>
  <c r="GP145" i="2" a="1"/>
  <c r="GP145" i="2" s="1"/>
  <c r="EI50" i="2"/>
  <c r="EY44" i="2"/>
  <c r="AI60" i="2"/>
  <c r="AA60" i="2"/>
  <c r="S60" i="2"/>
  <c r="K60" i="2"/>
  <c r="AH60" i="2"/>
  <c r="Z60" i="2"/>
  <c r="R60" i="2"/>
  <c r="J60" i="2"/>
  <c r="AG60" i="2"/>
  <c r="Y60" i="2"/>
  <c r="Q60" i="2"/>
  <c r="EJ60" i="2"/>
  <c r="AF60" i="2"/>
  <c r="X60" i="2"/>
  <c r="P60" i="2"/>
  <c r="AL60" i="2"/>
  <c r="AD60" i="2"/>
  <c r="V60" i="2"/>
  <c r="N60" i="2"/>
  <c r="U60" i="2"/>
  <c r="AM60" i="2"/>
  <c r="T60" i="2"/>
  <c r="AK60" i="2"/>
  <c r="O60" i="2"/>
  <c r="AJ60" i="2"/>
  <c r="M60" i="2"/>
  <c r="AE60" i="2"/>
  <c r="L60" i="2"/>
  <c r="AC60" i="2"/>
  <c r="AB60" i="2"/>
  <c r="W60" i="2"/>
  <c r="ES54" i="2"/>
  <c r="EL44" i="2"/>
  <c r="FW100" i="2" a="1"/>
  <c r="FW100" i="2" s="1"/>
  <c r="GN100" i="2" a="1"/>
  <c r="GN100" i="2" s="1"/>
  <c r="GO100" i="2" a="1"/>
  <c r="GO100" i="2" s="1"/>
  <c r="EK24" i="2"/>
  <c r="FH54" i="2"/>
  <c r="FG26" i="2"/>
  <c r="GV25" i="2"/>
  <c r="CQ45" i="2"/>
  <c r="FH22" i="2"/>
  <c r="GJ110" i="2" a="1"/>
  <c r="GJ110" i="2" s="1"/>
  <c r="FY145" i="2" a="1"/>
  <c r="FY145" i="2" s="1"/>
  <c r="EY36" i="2"/>
  <c r="EN36" i="2"/>
  <c r="GI160" i="2" a="1"/>
  <c r="GI160" i="2" s="1"/>
  <c r="FU160" i="2" a="1"/>
  <c r="FU160" i="2" s="1"/>
  <c r="GP160" i="2" a="1"/>
  <c r="GP160" i="2" s="1"/>
  <c r="FT165" i="2" a="1"/>
  <c r="FT165" i="2" s="1"/>
  <c r="GO165" i="2" a="1"/>
  <c r="GO165" i="2" s="1"/>
  <c r="GD165" i="2" a="1"/>
  <c r="GD165" i="2" s="1"/>
  <c r="GR135" i="2" a="1"/>
  <c r="GR135" i="2" s="1"/>
  <c r="GP135" i="2" a="1"/>
  <c r="GP135" i="2" s="1"/>
  <c r="FY135" i="2" a="1"/>
  <c r="FY135" i="2" s="1"/>
  <c r="GJ135" i="2" a="1"/>
  <c r="GJ135" i="2" s="1"/>
  <c r="GO110" i="2" a="1"/>
  <c r="GO110" i="2" s="1"/>
  <c r="GH110" i="2" a="1"/>
  <c r="GH110" i="2" s="1"/>
  <c r="FQ110" i="2" a="1"/>
  <c r="FQ110" i="2" s="1"/>
  <c r="GN110" i="2" a="1"/>
  <c r="GN110" i="2" s="1"/>
  <c r="ES48" i="2"/>
  <c r="FG36" i="2"/>
  <c r="GQ115" i="2" a="1"/>
  <c r="GQ115" i="2" s="1"/>
  <c r="GJ115" i="2" a="1"/>
  <c r="GJ115" i="2" s="1"/>
  <c r="FU115" i="2" a="1"/>
  <c r="FU115" i="2" s="1"/>
  <c r="EO48" i="2"/>
  <c r="FK42" i="2"/>
  <c r="FS130" i="2" a="1"/>
  <c r="FS130" i="2" s="1"/>
  <c r="GV14" i="2"/>
  <c r="EW30" i="2"/>
  <c r="EJ68" i="2"/>
  <c r="GM95" i="2" a="1"/>
  <c r="GM95" i="2" s="1"/>
  <c r="FX95" i="2" a="1"/>
  <c r="FX95" i="2" s="1"/>
  <c r="FY95" i="2" a="1"/>
  <c r="FY95" i="2" s="1"/>
  <c r="GO75" i="2" a="1"/>
  <c r="GO75" i="2" s="1"/>
  <c r="GQ75" i="2" a="1"/>
  <c r="GQ75" i="2" s="1"/>
  <c r="DQ55" i="2"/>
  <c r="FL30" i="2"/>
  <c r="GJ160" i="2" a="1"/>
  <c r="GJ160" i="2" s="1"/>
  <c r="FW160" i="2" a="1"/>
  <c r="FW160" i="2" s="1"/>
  <c r="GN160" i="2" a="1"/>
  <c r="GN160" i="2" s="1"/>
  <c r="FY160" i="2" a="1"/>
  <c r="FY160" i="2" s="1"/>
  <c r="DX65" i="2"/>
  <c r="DQ65" i="2"/>
  <c r="FJ56" i="2"/>
  <c r="EK52" i="2"/>
  <c r="EU52" i="2"/>
  <c r="ES52" i="2"/>
  <c r="FQ155" i="2" a="1"/>
  <c r="FQ155" i="2" s="1"/>
  <c r="GL155" i="2" a="1"/>
  <c r="GL155" i="2" s="1"/>
  <c r="FE52" i="2"/>
  <c r="EQ48" i="2"/>
  <c r="FA48" i="2"/>
  <c r="EO60" i="2"/>
  <c r="EX60" i="2"/>
  <c r="DQ59" i="2"/>
  <c r="FV130" i="2" a="1"/>
  <c r="FV130" i="2" s="1"/>
  <c r="FY130" i="2" a="1"/>
  <c r="FY130" i="2" s="1"/>
  <c r="GJ130" i="2" a="1"/>
  <c r="GJ130" i="2" s="1"/>
  <c r="DR25" i="2"/>
  <c r="GN85" i="2" a="1"/>
  <c r="GN85" i="2" s="1"/>
  <c r="GO85" i="2" a="1"/>
  <c r="GO85" i="2" s="1"/>
  <c r="FA30" i="2"/>
  <c r="EO30" i="2"/>
  <c r="EZ30" i="2"/>
  <c r="ET32" i="2"/>
  <c r="EM20" i="2"/>
  <c r="EK30" i="2"/>
  <c r="EY48" i="2"/>
  <c r="EW62" i="2"/>
  <c r="GT61" i="2"/>
  <c r="FQ170" i="2" a="1"/>
  <c r="FQ170" i="2" s="1"/>
  <c r="GL170" i="2" a="1"/>
  <c r="GL170" i="2" s="1"/>
  <c r="GM170" i="2" a="1"/>
  <c r="GM170" i="2" s="1"/>
  <c r="EU56" i="2"/>
  <c r="GY67" i="2"/>
  <c r="FC52" i="2"/>
  <c r="GJ155" i="2" a="1"/>
  <c r="GJ155" i="2" s="1"/>
  <c r="FU155" i="2" a="1"/>
  <c r="FU155" i="2" s="1"/>
  <c r="GP155" i="2" a="1"/>
  <c r="GP155" i="2" s="1"/>
  <c r="FN66" i="2" a="1"/>
  <c r="FN66" i="2" s="1"/>
  <c r="EK68" i="2"/>
  <c r="EP48" i="2"/>
  <c r="DR47" i="2"/>
  <c r="DR49" i="2"/>
  <c r="ES50" i="2"/>
  <c r="GA150" i="2" a="1"/>
  <c r="GA150" i="2" s="1"/>
  <c r="GF150" i="2" a="1"/>
  <c r="GF150" i="2" s="1"/>
  <c r="FQ150" i="2" a="1"/>
  <c r="FQ150" i="2" s="1"/>
  <c r="GL150" i="2" a="1"/>
  <c r="GL150" i="2" s="1"/>
  <c r="GV67" i="2"/>
  <c r="BX59" i="2"/>
  <c r="BW59" i="2"/>
  <c r="BV59" i="2"/>
  <c r="BU59" i="2"/>
  <c r="CA59" i="2"/>
  <c r="BS59" i="2"/>
  <c r="CB59" i="2"/>
  <c r="BZ59" i="2"/>
  <c r="BY59" i="2"/>
  <c r="BT59" i="2"/>
  <c r="FI58" i="2"/>
  <c r="EZ42" i="2"/>
  <c r="DY25" i="2"/>
  <c r="EU38" i="2"/>
  <c r="DB31" i="2" a="1"/>
  <c r="DB31" i="2" s="1"/>
  <c r="DC31" i="2" a="1"/>
  <c r="DC31" i="2" s="1"/>
  <c r="GT14" i="2"/>
  <c r="EN24" i="2"/>
  <c r="FQ115" i="2" a="1"/>
  <c r="FQ115" i="2" s="1"/>
  <c r="GX65" i="2"/>
  <c r="GM160" i="2" a="1"/>
  <c r="GM160" i="2" s="1"/>
  <c r="GG160" i="2" a="1"/>
  <c r="GG160" i="2" s="1"/>
  <c r="FV160" i="2" a="1"/>
  <c r="FV160" i="2" s="1"/>
  <c r="EP66" i="2"/>
  <c r="EN66" i="2"/>
  <c r="EH66" i="2"/>
  <c r="EO66" i="2"/>
  <c r="GW65" i="2"/>
  <c r="GU65" i="2"/>
  <c r="EW66" i="2"/>
  <c r="GY65" i="2"/>
  <c r="EX66" i="2"/>
  <c r="GV65" i="2"/>
  <c r="EV66" i="2"/>
  <c r="EY66" i="2"/>
  <c r="EQ66" i="2"/>
  <c r="EI66" i="2"/>
  <c r="GH170" i="2" a="1"/>
  <c r="GH170" i="2" s="1"/>
  <c r="FV170" i="2" a="1"/>
  <c r="FV170" i="2" s="1"/>
  <c r="GB170" i="2" a="1"/>
  <c r="GB170" i="2" s="1"/>
  <c r="GQ170" i="2" a="1"/>
  <c r="GQ170" i="2" s="1"/>
  <c r="EK44" i="2"/>
  <c r="EZ44" i="2"/>
  <c r="GW43" i="2"/>
  <c r="FG44" i="2"/>
  <c r="FJ44" i="2"/>
  <c r="EI44" i="2"/>
  <c r="EP44" i="2"/>
  <c r="GX43" i="2"/>
  <c r="EQ44" i="2"/>
  <c r="GV43" i="2"/>
  <c r="EX44" i="2"/>
  <c r="FH44" i="2"/>
  <c r="EO44" i="2"/>
  <c r="FB44" i="2"/>
  <c r="EN44" i="2"/>
  <c r="EJ44" i="2"/>
  <c r="FF44" i="2"/>
  <c r="GY43" i="2"/>
  <c r="EV44" i="2"/>
  <c r="FE44" i="2"/>
  <c r="FD44" i="2"/>
  <c r="ET44" i="2"/>
  <c r="EH44" i="2"/>
  <c r="ER44" i="2"/>
  <c r="GU43" i="2"/>
  <c r="EX48" i="2"/>
  <c r="DQ47" i="2"/>
  <c r="DQ49" i="2"/>
  <c r="GJ150" i="2" a="1"/>
  <c r="GJ150" i="2" s="1"/>
  <c r="FU150" i="2" a="1"/>
  <c r="FU150" i="2" s="1"/>
  <c r="GP150" i="2" a="1"/>
  <c r="GP150" i="2" s="1"/>
  <c r="EH40" i="2"/>
  <c r="GX39" i="2"/>
  <c r="GV39" i="2"/>
  <c r="GU39" i="2"/>
  <c r="GY39" i="2"/>
  <c r="GW39" i="2"/>
  <c r="FB40" i="2"/>
  <c r="EQ40" i="2"/>
  <c r="FG40" i="2"/>
  <c r="GT39" i="2"/>
  <c r="EV40" i="2"/>
  <c r="EZ40" i="2"/>
  <c r="EL40" i="2"/>
  <c r="ER40" i="2"/>
  <c r="EY40" i="2"/>
  <c r="EK40" i="2"/>
  <c r="GG125" i="2" a="1"/>
  <c r="GG125" i="2" s="1"/>
  <c r="GQ125" i="2" a="1"/>
  <c r="GQ125" i="2" s="1"/>
  <c r="FK36" i="2"/>
  <c r="EW58" i="2"/>
  <c r="EQ42" i="2"/>
  <c r="FH42" i="2"/>
  <c r="DX31" i="2"/>
  <c r="DQ31" i="2"/>
  <c r="DX57" i="2"/>
  <c r="FZ105" i="2" a="1"/>
  <c r="FZ105" i="2" s="1"/>
  <c r="GA105" i="2" a="1"/>
  <c r="GA105" i="2" s="1"/>
  <c r="GO105" i="2" a="1"/>
  <c r="GO105" i="2" s="1"/>
  <c r="EI38" i="2"/>
  <c r="FO80" i="2" a="1"/>
  <c r="FO80" i="2" s="1"/>
  <c r="GJ80" i="2" a="1"/>
  <c r="GJ80" i="2" s="1"/>
  <c r="GK80" i="2" a="1"/>
  <c r="GK80" i="2" s="1"/>
  <c r="GY19" i="2"/>
  <c r="GX19" i="2"/>
  <c r="EH20" i="2"/>
  <c r="GW19" i="2"/>
  <c r="ES20" i="2"/>
  <c r="GV19" i="2"/>
  <c r="EK20" i="2"/>
  <c r="GU19" i="2"/>
  <c r="GT19" i="2"/>
  <c r="FI20" i="2"/>
  <c r="FA20" i="2"/>
  <c r="FD20" i="2"/>
  <c r="FB20" i="2"/>
  <c r="EY20" i="2"/>
  <c r="EU20" i="2"/>
  <c r="FK20" i="2"/>
  <c r="ET20" i="2"/>
  <c r="EI20" i="2"/>
  <c r="EV20" i="2"/>
  <c r="EN20" i="2"/>
  <c r="FG20" i="2"/>
  <c r="FJ20" i="2"/>
  <c r="EL20" i="2"/>
  <c r="FC20" i="2"/>
  <c r="FF38" i="2"/>
  <c r="GW25" i="2"/>
  <c r="DD13" i="2" a="1"/>
  <c r="DD13" i="2" s="1"/>
  <c r="EO24" i="2"/>
  <c r="EX36" i="2"/>
  <c r="GN145" i="2" a="1"/>
  <c r="GN145" i="2" s="1"/>
  <c r="GF115" i="2" a="1"/>
  <c r="GF115" i="2" s="1"/>
  <c r="CQ49" i="2"/>
  <c r="CQ47" i="2"/>
  <c r="CQ55" i="2"/>
  <c r="CQ61" i="2"/>
  <c r="CQ37" i="2"/>
  <c r="CQ31" i="2"/>
  <c r="CQ23" i="2"/>
  <c r="CQ43" i="2"/>
  <c r="CQ29" i="2"/>
  <c r="CQ57" i="2"/>
  <c r="CQ51" i="2"/>
  <c r="CQ53" i="2"/>
  <c r="CQ35" i="2"/>
  <c r="CQ19" i="2"/>
  <c r="CQ41" i="2"/>
  <c r="CQ21" i="2"/>
  <c r="CQ25" i="2"/>
  <c r="CQ27" i="2"/>
  <c r="CQ65" i="2"/>
  <c r="CQ63" i="2"/>
  <c r="CQ39" i="2"/>
  <c r="EO54" i="2"/>
  <c r="EM54" i="2"/>
  <c r="EP54" i="2"/>
  <c r="FB54" i="2"/>
  <c r="FC54" i="2"/>
  <c r="EK54" i="2"/>
  <c r="EY54" i="2"/>
  <c r="GW53" i="2"/>
  <c r="FK54" i="2"/>
  <c r="ET54" i="2"/>
  <c r="EZ54" i="2"/>
  <c r="ER54" i="2"/>
  <c r="GV53" i="2"/>
  <c r="GU53" i="2"/>
  <c r="EV54" i="2"/>
  <c r="FA54" i="2"/>
  <c r="EL54" i="2"/>
  <c r="EI54" i="2"/>
  <c r="GT53" i="2"/>
  <c r="EH54" i="2"/>
  <c r="FJ54" i="2"/>
  <c r="EU54" i="2"/>
  <c r="FG54" i="2"/>
  <c r="EN54" i="2"/>
  <c r="FF54" i="2"/>
  <c r="EX54" i="2"/>
  <c r="FI54" i="2"/>
  <c r="EM68" i="2"/>
  <c r="GX67" i="2"/>
  <c r="FA68" i="2"/>
  <c r="GW67" i="2"/>
  <c r="EU68" i="2"/>
  <c r="EP68" i="2"/>
  <c r="ES68" i="2"/>
  <c r="EL68" i="2"/>
  <c r="EV68" i="2"/>
  <c r="EN68" i="2"/>
  <c r="EW68" i="2"/>
  <c r="EX68" i="2"/>
  <c r="GT67" i="2"/>
  <c r="EH68" i="2"/>
  <c r="EO68" i="2"/>
  <c r="EY58" i="2"/>
  <c r="EY68" i="2"/>
  <c r="ET66" i="2"/>
  <c r="FF58" i="2"/>
  <c r="DY65" i="2"/>
  <c r="GT65" i="2"/>
  <c r="FA56" i="2"/>
  <c r="FH52" i="2"/>
  <c r="FJ58" i="2"/>
  <c r="GC140" i="2" a="1"/>
  <c r="GC140" i="2" s="1"/>
  <c r="FO140" i="2" a="1"/>
  <c r="FO140" i="2" s="1"/>
  <c r="GJ140" i="2" a="1"/>
  <c r="GJ140" i="2" s="1"/>
  <c r="FV140" i="2" a="1"/>
  <c r="FV140" i="2" s="1"/>
  <c r="DX43" i="2"/>
  <c r="DQ43" i="2"/>
  <c r="EU50" i="2"/>
  <c r="EI40" i="2"/>
  <c r="AO36" i="2"/>
  <c r="H35" i="2"/>
  <c r="DY49" i="2"/>
  <c r="EW40" i="2"/>
  <c r="EP40" i="2"/>
  <c r="FO125" i="2" a="1"/>
  <c r="FO125" i="2" s="1"/>
  <c r="GO125" i="2" a="1"/>
  <c r="GO125" i="2" s="1"/>
  <c r="FW125" i="2" a="1"/>
  <c r="FW125" i="2" s="1"/>
  <c r="GA125" i="2" a="1"/>
  <c r="GA125" i="2" s="1"/>
  <c r="GP125" i="2" a="1"/>
  <c r="GP125" i="2" s="1"/>
  <c r="ES40" i="2"/>
  <c r="FA36" i="2"/>
  <c r="DC59" i="2" a="1"/>
  <c r="DC59" i="2" s="1"/>
  <c r="DB59" i="2" a="1"/>
  <c r="DB59" i="2" s="1"/>
  <c r="FD40" i="2"/>
  <c r="FD54" i="2"/>
  <c r="GY41" i="2"/>
  <c r="EH42" i="2"/>
  <c r="GX41" i="2"/>
  <c r="GV41" i="2"/>
  <c r="GT41" i="2"/>
  <c r="GW41" i="2"/>
  <c r="GU41" i="2"/>
  <c r="ET42" i="2"/>
  <c r="EI42" i="2"/>
  <c r="FJ42" i="2"/>
  <c r="FD42" i="2"/>
  <c r="FG42" i="2"/>
  <c r="EW42" i="2"/>
  <c r="FE42" i="2"/>
  <c r="EO42" i="2"/>
  <c r="EY42" i="2"/>
  <c r="FB42" i="2"/>
  <c r="EL42" i="2"/>
  <c r="EN42" i="2"/>
  <c r="FK38" i="2"/>
  <c r="GO120" i="2" a="1"/>
  <c r="GO120" i="2" s="1"/>
  <c r="FT120" i="2" a="1"/>
  <c r="FT120" i="2" s="1"/>
  <c r="GD100" i="2" a="1"/>
  <c r="GD100" i="2" s="1"/>
  <c r="DY57" i="2"/>
  <c r="EW32" i="2"/>
  <c r="GT31" i="2"/>
  <c r="DQ23" i="2"/>
  <c r="FJ40" i="2"/>
  <c r="CO34" i="2"/>
  <c r="ET36" i="2"/>
  <c r="GE135" i="2" a="1"/>
  <c r="GE135" i="2" s="1"/>
  <c r="GK110" i="2" a="1"/>
  <c r="GK110" i="2" s="1"/>
  <c r="DY67" i="2"/>
  <c r="EQ58" i="2"/>
  <c r="EH62" i="2"/>
  <c r="GN165" i="2" a="1"/>
  <c r="GN165" i="2" s="1"/>
  <c r="GC165" i="2" a="1"/>
  <c r="GC165" i="2" s="1"/>
  <c r="FR165" i="2" a="1"/>
  <c r="FR165" i="2" s="1"/>
  <c r="FR170" i="2" a="1"/>
  <c r="FR170" i="2" s="1"/>
  <c r="FS170" i="2" a="1"/>
  <c r="FS170" i="2" s="1"/>
  <c r="GX51" i="2"/>
  <c r="GQ140" i="2" a="1"/>
  <c r="GQ140" i="2" s="1"/>
  <c r="FY140" i="2" a="1"/>
  <c r="FY140" i="2" s="1"/>
  <c r="GE140" i="2" a="1"/>
  <c r="GE140" i="2" s="1"/>
  <c r="GN140" i="2" a="1"/>
  <c r="GN140" i="2" s="1"/>
  <c r="FZ140" i="2" a="1"/>
  <c r="FZ140" i="2" s="1"/>
  <c r="FF50" i="2"/>
  <c r="FJ50" i="2"/>
  <c r="FK50" i="2"/>
  <c r="ET50" i="2"/>
  <c r="FE40" i="2"/>
  <c r="GU35" i="2"/>
  <c r="GY53" i="2"/>
  <c r="FD50" i="2"/>
  <c r="EP42" i="2"/>
  <c r="AI42" i="2"/>
  <c r="AA42" i="2"/>
  <c r="S42" i="2"/>
  <c r="K42" i="2"/>
  <c r="EJ42" i="2"/>
  <c r="AH42" i="2"/>
  <c r="Z42" i="2"/>
  <c r="AG42" i="2"/>
  <c r="Y42" i="2"/>
  <c r="Q42" i="2"/>
  <c r="AF42" i="2"/>
  <c r="X42" i="2"/>
  <c r="P42" i="2"/>
  <c r="AL42" i="2"/>
  <c r="AD42" i="2"/>
  <c r="V42" i="2"/>
  <c r="N42" i="2"/>
  <c r="AC42" i="2"/>
  <c r="L42" i="2"/>
  <c r="AB42" i="2"/>
  <c r="J42" i="2" a="1"/>
  <c r="J42" i="2" s="1"/>
  <c r="W42" i="2"/>
  <c r="U42" i="2"/>
  <c r="AM42" i="2"/>
  <c r="T42" i="2"/>
  <c r="AK42" i="2"/>
  <c r="AJ42" i="2"/>
  <c r="AE42" i="2"/>
  <c r="R42" i="2"/>
  <c r="O42" i="2"/>
  <c r="M42" i="2"/>
  <c r="ER38" i="2"/>
  <c r="DC37" i="2" a="1"/>
  <c r="DC37" i="2" s="1"/>
  <c r="DB37" i="2" a="1"/>
  <c r="DB37" i="2" s="1"/>
  <c r="DQ19" i="2"/>
  <c r="CQ67" i="2"/>
  <c r="CQ33" i="2"/>
  <c r="EW44" i="2"/>
  <c r="DQ33" i="2"/>
  <c r="CO22" i="2"/>
  <c r="I81" i="2" a="1"/>
  <c r="I81" i="2" s="1"/>
  <c r="GE130" i="2" a="1"/>
  <c r="GE130" i="2" s="1"/>
  <c r="GP130" i="2" a="1"/>
  <c r="GP130" i="2" s="1"/>
  <c r="FJ38" i="2"/>
  <c r="GD120" i="2" a="1"/>
  <c r="GD120" i="2" s="1"/>
  <c r="GN120" i="2" a="1"/>
  <c r="GN120" i="2" s="1"/>
  <c r="EX38" i="2"/>
  <c r="DR29" i="2"/>
  <c r="GP100" i="2" a="1"/>
  <c r="GP100" i="2" s="1"/>
  <c r="FS100" i="2" a="1"/>
  <c r="FS100" i="2" s="1"/>
  <c r="GJ100" i="2" a="1"/>
  <c r="GJ100" i="2" s="1"/>
  <c r="GK100" i="2" a="1"/>
  <c r="GK100" i="2" s="1"/>
  <c r="DX53" i="2"/>
  <c r="DX63" i="2"/>
  <c r="FC46" i="2"/>
  <c r="FK32" i="2"/>
  <c r="FH30" i="2"/>
  <c r="ET24" i="2"/>
  <c r="EH22" i="2"/>
  <c r="GW21" i="2"/>
  <c r="GV21" i="2"/>
  <c r="EV22" i="2"/>
  <c r="GX21" i="2"/>
  <c r="FD22" i="2"/>
  <c r="EN22" i="2"/>
  <c r="GU21" i="2"/>
  <c r="EQ22" i="2"/>
  <c r="GT21" i="2"/>
  <c r="EY22" i="2"/>
  <c r="GY21" i="2"/>
  <c r="FG22" i="2"/>
  <c r="EI22" i="2"/>
  <c r="DY19" i="2"/>
  <c r="DY33" i="2"/>
  <c r="EO32" i="2"/>
  <c r="H31" i="2"/>
  <c r="AO32" i="2"/>
  <c r="DR31" i="2"/>
  <c r="GE105" i="2" a="1"/>
  <c r="GE105" i="2" s="1"/>
  <c r="FU105" i="2" a="1"/>
  <c r="FU105" i="2" s="1"/>
  <c r="FR105" i="2" a="1"/>
  <c r="FR105" i="2" s="1"/>
  <c r="GF105" i="2" a="1"/>
  <c r="GF105" i="2" s="1"/>
  <c r="GP105" i="2" a="1"/>
  <c r="GP105" i="2" s="1"/>
  <c r="ES24" i="2"/>
  <c r="DX19" i="2"/>
  <c r="GP85" i="2" a="1"/>
  <c r="GP85" i="2" s="1"/>
  <c r="FS85" i="2" a="1"/>
  <c r="FS85" i="2" s="1"/>
  <c r="GJ85" i="2" a="1"/>
  <c r="GJ85" i="2" s="1"/>
  <c r="GK85" i="2" a="1"/>
  <c r="GK85" i="2" s="1"/>
  <c r="DY31" i="2"/>
  <c r="EU30" i="2"/>
  <c r="DY23" i="2"/>
  <c r="FZ80" i="2" a="1"/>
  <c r="FZ80" i="2" s="1"/>
  <c r="GL80" i="2" a="1"/>
  <c r="GL80" i="2" s="1"/>
  <c r="GQ80" i="2" a="1"/>
  <c r="GQ80" i="2" s="1"/>
  <c r="GG80" i="2" a="1"/>
  <c r="GG80" i="2" s="1"/>
  <c r="EP20" i="2"/>
  <c r="D11" i="4"/>
  <c r="E11" i="4" s="1"/>
  <c r="D9" i="4"/>
  <c r="E9" i="4" s="1"/>
  <c r="D7" i="4"/>
  <c r="E7" i="4" s="1"/>
  <c r="D5" i="4"/>
  <c r="E5" i="4" s="1"/>
  <c r="D3" i="4"/>
  <c r="E3" i="4" s="1"/>
  <c r="D10" i="4"/>
  <c r="E10" i="4" s="1"/>
  <c r="D8" i="4"/>
  <c r="E8" i="4" s="1"/>
  <c r="D6" i="4"/>
  <c r="E6" i="4" s="1"/>
  <c r="D4" i="4"/>
  <c r="E4" i="4" s="1"/>
  <c r="GI95" i="2" a="1"/>
  <c r="GI95" i="2" s="1"/>
  <c r="FT95" i="2" a="1"/>
  <c r="FT95" i="2" s="1"/>
  <c r="FU95" i="2" a="1"/>
  <c r="FU95" i="2" s="1"/>
  <c r="FC22" i="2"/>
  <c r="EO20" i="2"/>
  <c r="GI75" i="2" a="1"/>
  <c r="GI75" i="2" s="1"/>
  <c r="GP75" i="2" a="1"/>
  <c r="GP75" i="2" s="1"/>
  <c r="GL75" i="2" a="1"/>
  <c r="GL75" i="2" s="1"/>
  <c r="FD24" i="2"/>
  <c r="DX45" i="2"/>
  <c r="EW24" i="2"/>
  <c r="EO22" i="2"/>
  <c r="AJ34" i="2"/>
  <c r="AB34" i="2"/>
  <c r="T34" i="2"/>
  <c r="L34" i="2"/>
  <c r="EJ34" i="2"/>
  <c r="EF34" i="2" s="1" a="1"/>
  <c r="EF34" i="2" s="1"/>
  <c r="EF33" i="2" s="1"/>
  <c r="AH34" i="2"/>
  <c r="Z34" i="2"/>
  <c r="R34" i="2"/>
  <c r="J34" i="2" a="1"/>
  <c r="J34" i="2" s="1"/>
  <c r="AF34" i="2"/>
  <c r="V34" i="2"/>
  <c r="K34" i="2"/>
  <c r="AE34" i="2"/>
  <c r="U34" i="2"/>
  <c r="AL34" i="2"/>
  <c r="AA34" i="2"/>
  <c r="P34" i="2"/>
  <c r="Y34" i="2"/>
  <c r="X34" i="2"/>
  <c r="AM34" i="2"/>
  <c r="W34" i="2"/>
  <c r="AK34" i="2"/>
  <c r="S34" i="2"/>
  <c r="AI34" i="2"/>
  <c r="Q34" i="2"/>
  <c r="M34" i="2"/>
  <c r="AG34" i="2"/>
  <c r="O34" i="2"/>
  <c r="AD34" i="2"/>
  <c r="N34" i="2"/>
  <c r="AC34" i="2"/>
  <c r="FE38" i="2"/>
  <c r="DR19" i="2"/>
  <c r="EQ68" i="2"/>
  <c r="EL66" i="2"/>
  <c r="GR160" i="2" a="1"/>
  <c r="GR160" i="2" s="1"/>
  <c r="GC160" i="2" a="1"/>
  <c r="GC160" i="2" s="1"/>
  <c r="FR160" i="2" a="1"/>
  <c r="FR160" i="2" s="1"/>
  <c r="EK66" i="2"/>
  <c r="GE165" i="2" a="1"/>
  <c r="GE165" i="2" s="1"/>
  <c r="GA165" i="2" a="1"/>
  <c r="GA165" i="2" s="1"/>
  <c r="FP165" i="2" a="1"/>
  <c r="FP165" i="2" s="1"/>
  <c r="GK165" i="2" a="1"/>
  <c r="GK165" i="2" s="1"/>
  <c r="FZ165" i="2" a="1"/>
  <c r="FZ165" i="2" s="1"/>
  <c r="GG170" i="2" a="1"/>
  <c r="GG170" i="2" s="1"/>
  <c r="GO170" i="2" a="1"/>
  <c r="GO170" i="2" s="1"/>
  <c r="GK170" i="2" a="1"/>
  <c r="GK170" i="2" s="1"/>
  <c r="FO170" i="2" a="1"/>
  <c r="FO170" i="2" s="1"/>
  <c r="FD58" i="2"/>
  <c r="GQ135" i="2" a="1"/>
  <c r="GQ135" i="2" s="1"/>
  <c r="EK56" i="2"/>
  <c r="AO52" i="2"/>
  <c r="H51" i="2"/>
  <c r="FK52" i="2"/>
  <c r="GN155" i="2" a="1"/>
  <c r="GN155" i="2" s="1"/>
  <c r="FY155" i="2" a="1"/>
  <c r="FY155" i="2" s="1"/>
  <c r="FF52" i="2"/>
  <c r="FP135" i="2" a="1"/>
  <c r="FP135" i="2" s="1"/>
  <c r="FW135" i="2" a="1"/>
  <c r="FW135" i="2" s="1"/>
  <c r="FS135" i="2" a="1"/>
  <c r="FS135" i="2" s="1"/>
  <c r="GD135" i="2" a="1"/>
  <c r="GD135" i="2" s="1"/>
  <c r="EQ52" i="2"/>
  <c r="EX46" i="2"/>
  <c r="GD110" i="2" a="1"/>
  <c r="GD110" i="2" s="1"/>
  <c r="GR110" i="2" a="1"/>
  <c r="GR110" i="2" s="1"/>
  <c r="GA155" i="2" a="1"/>
  <c r="GA155" i="2" s="1"/>
  <c r="EZ58" i="2"/>
  <c r="GV51" i="2"/>
  <c r="GR140" i="2" a="1"/>
  <c r="GR140" i="2" s="1"/>
  <c r="GD140" i="2" a="1"/>
  <c r="GD140" i="2" s="1"/>
  <c r="DR43" i="2"/>
  <c r="EI56" i="2"/>
  <c r="FF48" i="2"/>
  <c r="DY47" i="2"/>
  <c r="FI48" i="2"/>
  <c r="FC48" i="2"/>
  <c r="GR145" i="2" a="1"/>
  <c r="GR145" i="2" s="1"/>
  <c r="GC145" i="2" a="1"/>
  <c r="GC145" i="2" s="1"/>
  <c r="FR145" i="2" a="1"/>
  <c r="FR145" i="2" s="1"/>
  <c r="EJ46" i="2"/>
  <c r="EH38" i="2"/>
  <c r="GX37" i="2"/>
  <c r="GV37" i="2"/>
  <c r="GU37" i="2"/>
  <c r="GT37" i="2"/>
  <c r="EN38" i="2"/>
  <c r="EM38" i="2"/>
  <c r="GY37" i="2"/>
  <c r="GW37" i="2"/>
  <c r="FC38" i="2"/>
  <c r="EY38" i="2"/>
  <c r="FB36" i="2"/>
  <c r="AG50" i="2"/>
  <c r="Y50" i="2"/>
  <c r="Q50" i="2"/>
  <c r="AF50" i="2"/>
  <c r="X50" i="2"/>
  <c r="P50" i="2"/>
  <c r="AL50" i="2"/>
  <c r="AD50" i="2"/>
  <c r="V50" i="2"/>
  <c r="N50" i="2"/>
  <c r="AJ50" i="2"/>
  <c r="W50" i="2"/>
  <c r="K50" i="2"/>
  <c r="AI50" i="2"/>
  <c r="U50" i="2"/>
  <c r="J50" i="2" a="1"/>
  <c r="J50" i="2" s="1"/>
  <c r="AH50" i="2"/>
  <c r="T50" i="2"/>
  <c r="AE50" i="2"/>
  <c r="S50" i="2"/>
  <c r="AB50" i="2"/>
  <c r="O50" i="2"/>
  <c r="L50" i="2"/>
  <c r="AM50" i="2"/>
  <c r="AK50" i="2"/>
  <c r="AC50" i="2"/>
  <c r="AA50" i="2"/>
  <c r="EJ50" i="2"/>
  <c r="Z50" i="2"/>
  <c r="M50" i="2"/>
  <c r="R50" i="2"/>
  <c r="FI50" i="2"/>
  <c r="GE150" i="2" a="1"/>
  <c r="GE150" i="2" s="1"/>
  <c r="GN150" i="2" a="1"/>
  <c r="GN150" i="2" s="1"/>
  <c r="FY150" i="2" a="1"/>
  <c r="FY150" i="2" s="1"/>
  <c r="EX40" i="2"/>
  <c r="GC125" i="2" a="1"/>
  <c r="GC125" i="2" s="1"/>
  <c r="GJ125" i="2" a="1"/>
  <c r="GJ125" i="2" s="1"/>
  <c r="GL125" i="2" a="1"/>
  <c r="GL125" i="2" s="1"/>
  <c r="FV125" i="2" a="1"/>
  <c r="FV125" i="2" s="1"/>
  <c r="EP36" i="2"/>
  <c r="GY59" i="2"/>
  <c r="GX59" i="2"/>
  <c r="GW59" i="2"/>
  <c r="EH60" i="2"/>
  <c r="GU59" i="2"/>
  <c r="GV59" i="2"/>
  <c r="GT59" i="2"/>
  <c r="EP60" i="2"/>
  <c r="DM59" i="2"/>
  <c r="EM58" i="2"/>
  <c r="EV48" i="2"/>
  <c r="GN115" i="2" a="1"/>
  <c r="GN115" i="2" s="1"/>
  <c r="FY115" i="2" a="1"/>
  <c r="FY115" i="2" s="1"/>
  <c r="EX42" i="2"/>
  <c r="DR41" i="2"/>
  <c r="FX130" i="2" a="1"/>
  <c r="FX130" i="2" s="1"/>
  <c r="GB130" i="2" a="1"/>
  <c r="GB130" i="2" s="1"/>
  <c r="GD130" i="2" a="1"/>
  <c r="GD130" i="2" s="1"/>
  <c r="FA40" i="2"/>
  <c r="EZ38" i="2"/>
  <c r="GR120" i="2" a="1"/>
  <c r="GR120" i="2" s="1"/>
  <c r="GM120" i="2" a="1"/>
  <c r="GM120" i="2" s="1"/>
  <c r="FO120" i="2" a="1"/>
  <c r="FO120" i="2" s="1"/>
  <c r="FY120" i="2" a="1"/>
  <c r="FY120" i="2" s="1"/>
  <c r="EQ32" i="2"/>
  <c r="ET30" i="2"/>
  <c r="GV29" i="2"/>
  <c r="FI30" i="2"/>
  <c r="GY29" i="2"/>
  <c r="EQ30" i="2"/>
  <c r="GX29" i="2"/>
  <c r="GW29" i="2"/>
  <c r="GU29" i="2"/>
  <c r="FC30" i="2"/>
  <c r="EH30" i="2"/>
  <c r="GT29" i="2"/>
  <c r="GA100" i="2" a="1"/>
  <c r="GA100" i="2" s="1"/>
  <c r="GR100" i="2" a="1"/>
  <c r="GR100" i="2" s="1"/>
  <c r="EK26" i="2"/>
  <c r="FC24" i="2"/>
  <c r="DX55" i="2"/>
  <c r="BV12" i="2"/>
  <c r="BV13" i="2"/>
  <c r="FD36" i="2"/>
  <c r="EP32" i="2"/>
  <c r="EM30" i="2"/>
  <c r="DR27" i="2"/>
  <c r="FE32" i="2"/>
  <c r="EK32" i="2"/>
  <c r="GN105" i="2" a="1"/>
  <c r="GN105" i="2" s="1"/>
  <c r="GH105" i="2" a="1"/>
  <c r="GH105" i="2" s="1"/>
  <c r="GI105" i="2" a="1"/>
  <c r="GI105" i="2" s="1"/>
  <c r="GJ105" i="2" a="1"/>
  <c r="GJ105" i="2" s="1"/>
  <c r="DQ25" i="2"/>
  <c r="FC32" i="2"/>
  <c r="FZ85" i="2" a="1"/>
  <c r="FZ85" i="2" s="1"/>
  <c r="GA85" i="2" a="1"/>
  <c r="GA85" i="2" s="1"/>
  <c r="GR85" i="2" a="1"/>
  <c r="GR85" i="2" s="1"/>
  <c r="FD52" i="2"/>
  <c r="EI32" i="2"/>
  <c r="GF80" i="2" a="1"/>
  <c r="GF80" i="2" s="1"/>
  <c r="FS80" i="2" a="1"/>
  <c r="FS80" i="2" s="1"/>
  <c r="GN80" i="2" a="1"/>
  <c r="GN80" i="2" s="1"/>
  <c r="GO80" i="2" a="1"/>
  <c r="GO80" i="2" s="1"/>
  <c r="GU31" i="2"/>
  <c r="EW50" i="2"/>
  <c r="GX35" i="2"/>
  <c r="GQ95" i="2" a="1"/>
  <c r="GQ95" i="2" s="1"/>
  <c r="GB95" i="2" a="1"/>
  <c r="GB95" i="2" s="1"/>
  <c r="GC95" i="2" a="1"/>
  <c r="GC95" i="2" s="1"/>
  <c r="H25" i="2"/>
  <c r="AO26" i="2"/>
  <c r="FR89" i="2" a="1"/>
  <c r="FR89" i="2" s="1"/>
  <c r="FO89" i="2" a="1"/>
  <c r="FO89" i="2" s="1"/>
  <c r="GF89" i="2" a="1"/>
  <c r="GF89" i="2" s="1"/>
  <c r="GG89" i="2" a="1"/>
  <c r="GG89" i="2" s="1"/>
  <c r="EY24" i="2"/>
  <c r="EM22" i="2"/>
  <c r="C497" i="6"/>
  <c r="C493" i="6"/>
  <c r="C489" i="6"/>
  <c r="C485" i="6"/>
  <c r="C481" i="6"/>
  <c r="A479" i="6"/>
  <c r="B476" i="6"/>
  <c r="C473" i="6"/>
  <c r="A471" i="6"/>
  <c r="B468" i="6"/>
  <c r="C465" i="6"/>
  <c r="A463" i="6"/>
  <c r="B460" i="6"/>
  <c r="C457" i="6"/>
  <c r="A455" i="6"/>
  <c r="B452" i="6"/>
  <c r="C449" i="6"/>
  <c r="A447" i="6"/>
  <c r="B444" i="6"/>
  <c r="C441" i="6"/>
  <c r="A439" i="6"/>
  <c r="B436" i="6"/>
  <c r="C433" i="6"/>
  <c r="A431" i="6"/>
  <c r="B428" i="6"/>
  <c r="C425" i="6"/>
  <c r="A423" i="6"/>
  <c r="B420" i="6"/>
  <c r="C417" i="6"/>
  <c r="A415" i="6"/>
  <c r="B412" i="6"/>
  <c r="C409" i="6"/>
  <c r="A407" i="6"/>
  <c r="B404" i="6"/>
  <c r="C401" i="6"/>
  <c r="B398" i="6"/>
  <c r="A395" i="6"/>
  <c r="C393" i="6"/>
  <c r="B390" i="6"/>
  <c r="A387" i="6"/>
  <c r="C385" i="6"/>
  <c r="B382" i="6"/>
  <c r="A379" i="6"/>
  <c r="C377" i="6"/>
  <c r="C500" i="6"/>
  <c r="C496" i="6"/>
  <c r="C492" i="6"/>
  <c r="C488" i="6"/>
  <c r="C484" i="6"/>
  <c r="A481" i="6"/>
  <c r="B478" i="6"/>
  <c r="C475" i="6"/>
  <c r="A473" i="6"/>
  <c r="B470" i="6"/>
  <c r="C467" i="6"/>
  <c r="A465" i="6"/>
  <c r="B462" i="6"/>
  <c r="C459" i="6"/>
  <c r="A457" i="6"/>
  <c r="B454" i="6"/>
  <c r="C451" i="6"/>
  <c r="A449" i="6"/>
  <c r="B446" i="6"/>
  <c r="C443" i="6"/>
  <c r="A441" i="6"/>
  <c r="B438" i="6"/>
  <c r="C435" i="6"/>
  <c r="A433" i="6"/>
  <c r="B430" i="6"/>
  <c r="C427" i="6"/>
  <c r="A425" i="6"/>
  <c r="B422" i="6"/>
  <c r="C419" i="6"/>
  <c r="A417" i="6"/>
  <c r="B414" i="6"/>
  <c r="C411" i="6"/>
  <c r="A409" i="6"/>
  <c r="B406" i="6"/>
  <c r="C403" i="6"/>
  <c r="A401" i="6"/>
  <c r="C399" i="6"/>
  <c r="B396" i="6"/>
  <c r="A393" i="6"/>
  <c r="C391" i="6"/>
  <c r="B388" i="6"/>
  <c r="A385" i="6"/>
  <c r="C383" i="6"/>
  <c r="B380" i="6"/>
  <c r="A377" i="6"/>
  <c r="C375" i="6"/>
  <c r="B372" i="6"/>
  <c r="A369" i="6"/>
  <c r="C367" i="6"/>
  <c r="B364" i="6"/>
  <c r="A361" i="6"/>
  <c r="C359" i="6"/>
  <c r="B356" i="6"/>
  <c r="A353" i="6"/>
  <c r="C351" i="6"/>
  <c r="B348" i="6"/>
  <c r="A345" i="6"/>
  <c r="C343" i="6"/>
  <c r="B340" i="6"/>
  <c r="A337" i="6"/>
  <c r="C335" i="6"/>
  <c r="B332" i="6"/>
  <c r="B500" i="6"/>
  <c r="B496" i="6"/>
  <c r="B492" i="6"/>
  <c r="B488" i="6"/>
  <c r="B484" i="6"/>
  <c r="C480" i="6"/>
  <c r="A478" i="6"/>
  <c r="B475" i="6"/>
  <c r="C472" i="6"/>
  <c r="A470" i="6"/>
  <c r="B467" i="6"/>
  <c r="C464" i="6"/>
  <c r="A462" i="6"/>
  <c r="B459" i="6"/>
  <c r="C456" i="6"/>
  <c r="A454" i="6"/>
  <c r="B451" i="6"/>
  <c r="C448" i="6"/>
  <c r="A446" i="6"/>
  <c r="B443" i="6"/>
  <c r="C440" i="6"/>
  <c r="A438" i="6"/>
  <c r="B435" i="6"/>
  <c r="C432" i="6"/>
  <c r="A430" i="6"/>
  <c r="B427" i="6"/>
  <c r="C424" i="6"/>
  <c r="A422" i="6"/>
  <c r="B419" i="6"/>
  <c r="C416" i="6"/>
  <c r="A414" i="6"/>
  <c r="B411" i="6"/>
  <c r="C408" i="6"/>
  <c r="A406" i="6"/>
  <c r="B403" i="6"/>
  <c r="B399" i="6"/>
  <c r="A396" i="6"/>
  <c r="C394" i="6"/>
  <c r="B391" i="6"/>
  <c r="A388" i="6"/>
  <c r="C386" i="6"/>
  <c r="B383" i="6"/>
  <c r="A380" i="6"/>
  <c r="C378" i="6"/>
  <c r="B375" i="6"/>
  <c r="A372" i="6"/>
  <c r="C370" i="6"/>
  <c r="B367" i="6"/>
  <c r="A364" i="6"/>
  <c r="C362" i="6"/>
  <c r="B359" i="6"/>
  <c r="A356" i="6"/>
  <c r="C354" i="6"/>
  <c r="B351" i="6"/>
  <c r="A348" i="6"/>
  <c r="C346" i="6"/>
  <c r="B343" i="6"/>
  <c r="A340" i="6"/>
  <c r="C338" i="6"/>
  <c r="B335" i="6"/>
  <c r="A332" i="6"/>
  <c r="C330" i="6"/>
  <c r="C499" i="6"/>
  <c r="C495" i="6"/>
  <c r="C491" i="6"/>
  <c r="C487" i="6"/>
  <c r="C483" i="6"/>
  <c r="B480" i="6"/>
  <c r="C477" i="6"/>
  <c r="A475" i="6"/>
  <c r="B472" i="6"/>
  <c r="C469" i="6"/>
  <c r="A467" i="6"/>
  <c r="B464" i="6"/>
  <c r="C461" i="6"/>
  <c r="A459" i="6"/>
  <c r="B456" i="6"/>
  <c r="C453" i="6"/>
  <c r="A451" i="6"/>
  <c r="B448" i="6"/>
  <c r="C445" i="6"/>
  <c r="A443" i="6"/>
  <c r="B440" i="6"/>
  <c r="C437" i="6"/>
  <c r="A435" i="6"/>
  <c r="B432" i="6"/>
  <c r="C429" i="6"/>
  <c r="A427" i="6"/>
  <c r="B424" i="6"/>
  <c r="C421" i="6"/>
  <c r="A419" i="6"/>
  <c r="B416" i="6"/>
  <c r="C413" i="6"/>
  <c r="A411" i="6"/>
  <c r="B408" i="6"/>
  <c r="C405" i="6"/>
  <c r="A403" i="6"/>
  <c r="A399" i="6"/>
  <c r="C397" i="6"/>
  <c r="B394" i="6"/>
  <c r="A391" i="6"/>
  <c r="C389" i="6"/>
  <c r="B386" i="6"/>
  <c r="A383" i="6"/>
  <c r="C381" i="6"/>
  <c r="B378" i="6"/>
  <c r="A375" i="6"/>
  <c r="C373" i="6"/>
  <c r="B370" i="6"/>
  <c r="A367" i="6"/>
  <c r="C365" i="6"/>
  <c r="B362" i="6"/>
  <c r="A359" i="6"/>
  <c r="C357" i="6"/>
  <c r="B354" i="6"/>
  <c r="A351" i="6"/>
  <c r="C349" i="6"/>
  <c r="B346" i="6"/>
  <c r="A343" i="6"/>
  <c r="C341" i="6"/>
  <c r="B338" i="6"/>
  <c r="A335" i="6"/>
  <c r="C333" i="6"/>
  <c r="B330" i="6"/>
  <c r="B499" i="6"/>
  <c r="B495" i="6"/>
  <c r="B491" i="6"/>
  <c r="B487" i="6"/>
  <c r="B483" i="6"/>
  <c r="A480" i="6"/>
  <c r="B477" i="6"/>
  <c r="C474" i="6"/>
  <c r="A472" i="6"/>
  <c r="B469" i="6"/>
  <c r="C466" i="6"/>
  <c r="A464" i="6"/>
  <c r="B461" i="6"/>
  <c r="C458" i="6"/>
  <c r="A456" i="6"/>
  <c r="B453" i="6"/>
  <c r="C450" i="6"/>
  <c r="A448" i="6"/>
  <c r="B445" i="6"/>
  <c r="C442" i="6"/>
  <c r="A440" i="6"/>
  <c r="B437" i="6"/>
  <c r="C434" i="6"/>
  <c r="A432" i="6"/>
  <c r="B429" i="6"/>
  <c r="C426" i="6"/>
  <c r="A424" i="6"/>
  <c r="B421" i="6"/>
  <c r="C418" i="6"/>
  <c r="A416" i="6"/>
  <c r="B413" i="6"/>
  <c r="C410" i="6"/>
  <c r="A408" i="6"/>
  <c r="B405" i="6"/>
  <c r="C402" i="6"/>
  <c r="C400" i="6"/>
  <c r="B397" i="6"/>
  <c r="A394" i="6"/>
  <c r="C392" i="6"/>
  <c r="B389" i="6"/>
  <c r="A386" i="6"/>
  <c r="C384" i="6"/>
  <c r="B381" i="6"/>
  <c r="A378" i="6"/>
  <c r="C376" i="6"/>
  <c r="B373" i="6"/>
  <c r="A370" i="6"/>
  <c r="C368" i="6"/>
  <c r="B365" i="6"/>
  <c r="A362" i="6"/>
  <c r="C360" i="6"/>
  <c r="B357" i="6"/>
  <c r="A354" i="6"/>
  <c r="C352" i="6"/>
  <c r="B349" i="6"/>
  <c r="A346" i="6"/>
  <c r="C344" i="6"/>
  <c r="B341" i="6"/>
  <c r="A338" i="6"/>
  <c r="C336" i="6"/>
  <c r="B333" i="6"/>
  <c r="A330" i="6"/>
  <c r="C498" i="6"/>
  <c r="C494" i="6"/>
  <c r="C490" i="6"/>
  <c r="C486" i="6"/>
  <c r="C482" i="6"/>
  <c r="C479" i="6"/>
  <c r="A477" i="6"/>
  <c r="B474" i="6"/>
  <c r="C471" i="6"/>
  <c r="A469" i="6"/>
  <c r="B466" i="6"/>
  <c r="C463" i="6"/>
  <c r="A461" i="6"/>
  <c r="B458" i="6"/>
  <c r="C455" i="6"/>
  <c r="A453" i="6"/>
  <c r="B450" i="6"/>
  <c r="C447" i="6"/>
  <c r="A445" i="6"/>
  <c r="B442" i="6"/>
  <c r="C439" i="6"/>
  <c r="A437" i="6"/>
  <c r="B434" i="6"/>
  <c r="C431" i="6"/>
  <c r="A429" i="6"/>
  <c r="B426" i="6"/>
  <c r="C423" i="6"/>
  <c r="A421" i="6"/>
  <c r="B418" i="6"/>
  <c r="C415" i="6"/>
  <c r="A413" i="6"/>
  <c r="B410" i="6"/>
  <c r="C407" i="6"/>
  <c r="A405" i="6"/>
  <c r="B402" i="6"/>
  <c r="B400" i="6"/>
  <c r="A397" i="6"/>
  <c r="C395" i="6"/>
  <c r="B392" i="6"/>
  <c r="A389" i="6"/>
  <c r="C387" i="6"/>
  <c r="B384" i="6"/>
  <c r="A381" i="6"/>
  <c r="C379" i="6"/>
  <c r="B376" i="6"/>
  <c r="A373" i="6"/>
  <c r="C371" i="6"/>
  <c r="B368" i="6"/>
  <c r="A365" i="6"/>
  <c r="C363" i="6"/>
  <c r="B360" i="6"/>
  <c r="A357" i="6"/>
  <c r="C355" i="6"/>
  <c r="B352" i="6"/>
  <c r="A349" i="6"/>
  <c r="C347" i="6"/>
  <c r="B344" i="6"/>
  <c r="A341" i="6"/>
  <c r="C339" i="6"/>
  <c r="B336" i="6"/>
  <c r="A333" i="6"/>
  <c r="C331" i="6"/>
  <c r="B485" i="6"/>
  <c r="B473" i="6"/>
  <c r="C462" i="6"/>
  <c r="A452" i="6"/>
  <c r="B441" i="6"/>
  <c r="C430" i="6"/>
  <c r="A420" i="6"/>
  <c r="B409" i="6"/>
  <c r="B393" i="6"/>
  <c r="C380" i="6"/>
  <c r="C374" i="6"/>
  <c r="B366" i="6"/>
  <c r="A358" i="6"/>
  <c r="C353" i="6"/>
  <c r="B345" i="6"/>
  <c r="A336" i="6"/>
  <c r="C332" i="6"/>
  <c r="B327" i="6"/>
  <c r="A324" i="6"/>
  <c r="C322" i="6"/>
  <c r="B319" i="6"/>
  <c r="A316" i="6"/>
  <c r="C314" i="6"/>
  <c r="B311" i="6"/>
  <c r="A308" i="6"/>
  <c r="C306" i="6"/>
  <c r="B303" i="6"/>
  <c r="A300" i="6"/>
  <c r="C298" i="6"/>
  <c r="B295" i="6"/>
  <c r="A294" i="6"/>
  <c r="B498" i="6"/>
  <c r="B482" i="6"/>
  <c r="B471" i="6"/>
  <c r="C460" i="6"/>
  <c r="A450" i="6"/>
  <c r="B439" i="6"/>
  <c r="C428" i="6"/>
  <c r="A418" i="6"/>
  <c r="B407" i="6"/>
  <c r="C398" i="6"/>
  <c r="A392" i="6"/>
  <c r="B379" i="6"/>
  <c r="B374" i="6"/>
  <c r="A366" i="6"/>
  <c r="C361" i="6"/>
  <c r="B353" i="6"/>
  <c r="A344" i="6"/>
  <c r="C340" i="6"/>
  <c r="B331" i="6"/>
  <c r="A327" i="6"/>
  <c r="C325" i="6"/>
  <c r="B322" i="6"/>
  <c r="A319" i="6"/>
  <c r="C317" i="6"/>
  <c r="B314" i="6"/>
  <c r="A311" i="6"/>
  <c r="C309" i="6"/>
  <c r="B306" i="6"/>
  <c r="A303" i="6"/>
  <c r="C301" i="6"/>
  <c r="B298" i="6"/>
  <c r="A295" i="6"/>
  <c r="C289" i="6"/>
  <c r="B288" i="6"/>
  <c r="A287" i="6"/>
  <c r="C281" i="6"/>
  <c r="A279" i="6"/>
  <c r="B276" i="6"/>
  <c r="C273" i="6"/>
  <c r="A271" i="6"/>
  <c r="B268" i="6"/>
  <c r="C265" i="6"/>
  <c r="A263" i="6"/>
  <c r="B260" i="6"/>
  <c r="C257" i="6"/>
  <c r="A255" i="6"/>
  <c r="B252" i="6"/>
  <c r="C249" i="6"/>
  <c r="A247" i="6"/>
  <c r="B244" i="6"/>
  <c r="C241" i="6"/>
  <c r="A239" i="6"/>
  <c r="B236" i="6"/>
  <c r="C233" i="6"/>
  <c r="A231" i="6"/>
  <c r="B497" i="6"/>
  <c r="B481" i="6"/>
  <c r="C470" i="6"/>
  <c r="A460" i="6"/>
  <c r="B449" i="6"/>
  <c r="C438" i="6"/>
  <c r="A428" i="6"/>
  <c r="B417" i="6"/>
  <c r="C406" i="6"/>
  <c r="A398" i="6"/>
  <c r="B385" i="6"/>
  <c r="A374" i="6"/>
  <c r="C369" i="6"/>
  <c r="B361" i="6"/>
  <c r="A352" i="6"/>
  <c r="C348" i="6"/>
  <c r="B339" i="6"/>
  <c r="A331" i="6"/>
  <c r="C328" i="6"/>
  <c r="B325" i="6"/>
  <c r="A322" i="6"/>
  <c r="C320" i="6"/>
  <c r="B317" i="6"/>
  <c r="A314" i="6"/>
  <c r="C312" i="6"/>
  <c r="B309" i="6"/>
  <c r="A306" i="6"/>
  <c r="C304" i="6"/>
  <c r="B301" i="6"/>
  <c r="A298" i="6"/>
  <c r="C296" i="6"/>
  <c r="B494" i="6"/>
  <c r="B479" i="6"/>
  <c r="C468" i="6"/>
  <c r="A458" i="6"/>
  <c r="B447" i="6"/>
  <c r="C436" i="6"/>
  <c r="A426" i="6"/>
  <c r="B415" i="6"/>
  <c r="C404" i="6"/>
  <c r="C390" i="6"/>
  <c r="A384" i="6"/>
  <c r="B369" i="6"/>
  <c r="A360" i="6"/>
  <c r="C356" i="6"/>
  <c r="B347" i="6"/>
  <c r="A339" i="6"/>
  <c r="C334" i="6"/>
  <c r="B328" i="6"/>
  <c r="A325" i="6"/>
  <c r="C323" i="6"/>
  <c r="B320" i="6"/>
  <c r="A317" i="6"/>
  <c r="C315" i="6"/>
  <c r="B312" i="6"/>
  <c r="A309" i="6"/>
  <c r="C307" i="6"/>
  <c r="B304" i="6"/>
  <c r="A301" i="6"/>
  <c r="C299" i="6"/>
  <c r="B296" i="6"/>
  <c r="C291" i="6"/>
  <c r="B290" i="6"/>
  <c r="A289" i="6"/>
  <c r="C283" i="6"/>
  <c r="A281" i="6"/>
  <c r="B278" i="6"/>
  <c r="C275" i="6"/>
  <c r="A273" i="6"/>
  <c r="B270" i="6"/>
  <c r="C267" i="6"/>
  <c r="B493" i="6"/>
  <c r="C478" i="6"/>
  <c r="A468" i="6"/>
  <c r="B457" i="6"/>
  <c r="C446" i="6"/>
  <c r="A436" i="6"/>
  <c r="B425" i="6"/>
  <c r="C414" i="6"/>
  <c r="A404" i="6"/>
  <c r="C396" i="6"/>
  <c r="A390" i="6"/>
  <c r="B377" i="6"/>
  <c r="A368" i="6"/>
  <c r="C364" i="6"/>
  <c r="B355" i="6"/>
  <c r="A347" i="6"/>
  <c r="C342" i="6"/>
  <c r="B334" i="6"/>
  <c r="A328" i="6"/>
  <c r="C326" i="6"/>
  <c r="B323" i="6"/>
  <c r="A320" i="6"/>
  <c r="C318" i="6"/>
  <c r="B315" i="6"/>
  <c r="A312" i="6"/>
  <c r="C310" i="6"/>
  <c r="B307" i="6"/>
  <c r="A304" i="6"/>
  <c r="C302" i="6"/>
  <c r="B299" i="6"/>
  <c r="A296" i="6"/>
  <c r="C292" i="6"/>
  <c r="B291" i="6"/>
  <c r="A290" i="6"/>
  <c r="B490" i="6"/>
  <c r="C476" i="6"/>
  <c r="A466" i="6"/>
  <c r="B455" i="6"/>
  <c r="C444" i="6"/>
  <c r="A434" i="6"/>
  <c r="B423" i="6"/>
  <c r="C412" i="6"/>
  <c r="A402" i="6"/>
  <c r="B395" i="6"/>
  <c r="C382" i="6"/>
  <c r="A376" i="6"/>
  <c r="C372" i="6"/>
  <c r="B363" i="6"/>
  <c r="A355" i="6"/>
  <c r="C350" i="6"/>
  <c r="B342" i="6"/>
  <c r="A334" i="6"/>
  <c r="C329" i="6"/>
  <c r="B326" i="6"/>
  <c r="A323" i="6"/>
  <c r="C321" i="6"/>
  <c r="B318" i="6"/>
  <c r="A315" i="6"/>
  <c r="C313" i="6"/>
  <c r="B310" i="6"/>
  <c r="A307" i="6"/>
  <c r="C305" i="6"/>
  <c r="B302" i="6"/>
  <c r="A299" i="6"/>
  <c r="C297" i="6"/>
  <c r="C293" i="6"/>
  <c r="B292" i="6"/>
  <c r="A291" i="6"/>
  <c r="B489" i="6"/>
  <c r="A476" i="6"/>
  <c r="B465" i="6"/>
  <c r="C454" i="6"/>
  <c r="A444" i="6"/>
  <c r="B433" i="6"/>
  <c r="C422" i="6"/>
  <c r="A412" i="6"/>
  <c r="B401" i="6"/>
  <c r="C388" i="6"/>
  <c r="A382" i="6"/>
  <c r="B371" i="6"/>
  <c r="A363" i="6"/>
  <c r="C358" i="6"/>
  <c r="B350" i="6"/>
  <c r="A342" i="6"/>
  <c r="C337" i="6"/>
  <c r="B329" i="6"/>
  <c r="A326" i="6"/>
  <c r="C324" i="6"/>
  <c r="B321" i="6"/>
  <c r="A318" i="6"/>
  <c r="C316" i="6"/>
  <c r="B313" i="6"/>
  <c r="A310" i="6"/>
  <c r="C308" i="6"/>
  <c r="B305" i="6"/>
  <c r="A302" i="6"/>
  <c r="C300" i="6"/>
  <c r="B297" i="6"/>
  <c r="C294" i="6"/>
  <c r="B293" i="6"/>
  <c r="A292" i="6"/>
  <c r="C286" i="6"/>
  <c r="B285" i="6"/>
  <c r="A284" i="6"/>
  <c r="C282" i="6"/>
  <c r="A280" i="6"/>
  <c r="B277" i="6"/>
  <c r="C274" i="6"/>
  <c r="A272" i="6"/>
  <c r="B269" i="6"/>
  <c r="C266" i="6"/>
  <c r="A264" i="6"/>
  <c r="B261" i="6"/>
  <c r="C258" i="6"/>
  <c r="A256" i="6"/>
  <c r="B253" i="6"/>
  <c r="C250" i="6"/>
  <c r="A248" i="6"/>
  <c r="B245" i="6"/>
  <c r="C242" i="6"/>
  <c r="A240" i="6"/>
  <c r="B237" i="6"/>
  <c r="C234" i="6"/>
  <c r="A232" i="6"/>
  <c r="B486" i="6"/>
  <c r="A474" i="6"/>
  <c r="B463" i="6"/>
  <c r="C452" i="6"/>
  <c r="A442" i="6"/>
  <c r="B431" i="6"/>
  <c r="C420" i="6"/>
  <c r="A410" i="6"/>
  <c r="A400" i="6"/>
  <c r="B387" i="6"/>
  <c r="A371" i="6"/>
  <c r="C366" i="6"/>
  <c r="B358" i="6"/>
  <c r="A350" i="6"/>
  <c r="C345" i="6"/>
  <c r="B337" i="6"/>
  <c r="A329" i="6"/>
  <c r="C327" i="6"/>
  <c r="B324" i="6"/>
  <c r="A321" i="6"/>
  <c r="C319" i="6"/>
  <c r="B316" i="6"/>
  <c r="A313" i="6"/>
  <c r="C311" i="6"/>
  <c r="B308" i="6"/>
  <c r="A305" i="6"/>
  <c r="C303" i="6"/>
  <c r="B300" i="6"/>
  <c r="A297" i="6"/>
  <c r="C295" i="6"/>
  <c r="B294" i="6"/>
  <c r="A293" i="6"/>
  <c r="B286" i="6"/>
  <c r="A283" i="6"/>
  <c r="A276" i="6"/>
  <c r="B275" i="6"/>
  <c r="A269" i="6"/>
  <c r="C268" i="6"/>
  <c r="B264" i="6"/>
  <c r="C263" i="6"/>
  <c r="A259" i="6"/>
  <c r="B254" i="6"/>
  <c r="A250" i="6"/>
  <c r="C245" i="6"/>
  <c r="A241" i="6"/>
  <c r="A236" i="6"/>
  <c r="C235" i="6"/>
  <c r="B232" i="6"/>
  <c r="C231" i="6"/>
  <c r="C228" i="6"/>
  <c r="A226" i="6"/>
  <c r="B223" i="6"/>
  <c r="C220" i="6"/>
  <c r="A218" i="6"/>
  <c r="B215" i="6"/>
  <c r="C212" i="6"/>
  <c r="A210" i="6"/>
  <c r="B207" i="6"/>
  <c r="C204" i="6"/>
  <c r="A202" i="6"/>
  <c r="B199" i="6"/>
  <c r="C196" i="6"/>
  <c r="A194" i="6"/>
  <c r="B191" i="6"/>
  <c r="C188" i="6"/>
  <c r="A186" i="6"/>
  <c r="B183" i="6"/>
  <c r="C180" i="6"/>
  <c r="A178" i="6"/>
  <c r="B175" i="6"/>
  <c r="C172" i="6"/>
  <c r="A170" i="6"/>
  <c r="B167" i="6"/>
  <c r="C164" i="6"/>
  <c r="A162" i="6"/>
  <c r="A156" i="6"/>
  <c r="B155" i="6"/>
  <c r="C154" i="6"/>
  <c r="B147" i="6"/>
  <c r="A144" i="6"/>
  <c r="C142" i="6"/>
  <c r="B139" i="6"/>
  <c r="B289" i="6"/>
  <c r="A286" i="6"/>
  <c r="B282" i="6"/>
  <c r="A275" i="6"/>
  <c r="A268" i="6"/>
  <c r="B267" i="6"/>
  <c r="B263" i="6"/>
  <c r="C262" i="6"/>
  <c r="B258" i="6"/>
  <c r="A254" i="6"/>
  <c r="B249" i="6"/>
  <c r="A245" i="6"/>
  <c r="C244" i="6"/>
  <c r="C240" i="6"/>
  <c r="B235" i="6"/>
  <c r="B231" i="6"/>
  <c r="B228" i="6"/>
  <c r="C225" i="6"/>
  <c r="A223" i="6"/>
  <c r="B220" i="6"/>
  <c r="C217" i="6"/>
  <c r="A215" i="6"/>
  <c r="B212" i="6"/>
  <c r="C209" i="6"/>
  <c r="A207" i="6"/>
  <c r="B204" i="6"/>
  <c r="C201" i="6"/>
  <c r="A199" i="6"/>
  <c r="B196" i="6"/>
  <c r="C193" i="6"/>
  <c r="A191" i="6"/>
  <c r="B188" i="6"/>
  <c r="C185" i="6"/>
  <c r="A183" i="6"/>
  <c r="B180" i="6"/>
  <c r="C177" i="6"/>
  <c r="A175" i="6"/>
  <c r="B172" i="6"/>
  <c r="C169" i="6"/>
  <c r="A167" i="6"/>
  <c r="B164" i="6"/>
  <c r="C161" i="6"/>
  <c r="A155" i="6"/>
  <c r="B154" i="6"/>
  <c r="C153" i="6"/>
  <c r="A147" i="6"/>
  <c r="C145" i="6"/>
  <c r="B142" i="6"/>
  <c r="A139" i="6"/>
  <c r="C137" i="6"/>
  <c r="B134" i="6"/>
  <c r="C287" i="6"/>
  <c r="C284" i="6"/>
  <c r="A282" i="6"/>
  <c r="B274" i="6"/>
  <c r="A267" i="6"/>
  <c r="B262" i="6"/>
  <c r="A258" i="6"/>
  <c r="C253" i="6"/>
  <c r="A249" i="6"/>
  <c r="A244" i="6"/>
  <c r="C243" i="6"/>
  <c r="B240" i="6"/>
  <c r="C239" i="6"/>
  <c r="A235" i="6"/>
  <c r="C230" i="6"/>
  <c r="A228" i="6"/>
  <c r="B225" i="6"/>
  <c r="C222" i="6"/>
  <c r="A220" i="6"/>
  <c r="B217" i="6"/>
  <c r="C214" i="6"/>
  <c r="A212" i="6"/>
  <c r="B209" i="6"/>
  <c r="C206" i="6"/>
  <c r="A204" i="6"/>
  <c r="B201" i="6"/>
  <c r="C198" i="6"/>
  <c r="A196" i="6"/>
  <c r="B193" i="6"/>
  <c r="C190" i="6"/>
  <c r="A188" i="6"/>
  <c r="B185" i="6"/>
  <c r="C182" i="6"/>
  <c r="A180" i="6"/>
  <c r="B177" i="6"/>
  <c r="C174" i="6"/>
  <c r="A172" i="6"/>
  <c r="B169" i="6"/>
  <c r="C166" i="6"/>
  <c r="A164" i="6"/>
  <c r="B161" i="6"/>
  <c r="B287" i="6"/>
  <c r="B284" i="6"/>
  <c r="B281" i="6"/>
  <c r="C280" i="6"/>
  <c r="A274" i="6"/>
  <c r="B266" i="6"/>
  <c r="A262" i="6"/>
  <c r="B257" i="6"/>
  <c r="A253" i="6"/>
  <c r="C252" i="6"/>
  <c r="C248" i="6"/>
  <c r="B243" i="6"/>
  <c r="B239" i="6"/>
  <c r="C238" i="6"/>
  <c r="B234" i="6"/>
  <c r="B230" i="6"/>
  <c r="C227" i="6"/>
  <c r="A225" i="6"/>
  <c r="B222" i="6"/>
  <c r="C219" i="6"/>
  <c r="A217" i="6"/>
  <c r="B214" i="6"/>
  <c r="C211" i="6"/>
  <c r="A209" i="6"/>
  <c r="B206" i="6"/>
  <c r="C203" i="6"/>
  <c r="A201" i="6"/>
  <c r="B198" i="6"/>
  <c r="C195" i="6"/>
  <c r="A193" i="6"/>
  <c r="B190" i="6"/>
  <c r="C187" i="6"/>
  <c r="A185" i="6"/>
  <c r="B182" i="6"/>
  <c r="C179" i="6"/>
  <c r="A177" i="6"/>
  <c r="B174" i="6"/>
  <c r="C171" i="6"/>
  <c r="A169" i="6"/>
  <c r="B166" i="6"/>
  <c r="C163" i="6"/>
  <c r="A161" i="6"/>
  <c r="B160" i="6"/>
  <c r="C159" i="6"/>
  <c r="B280" i="6"/>
  <c r="C279" i="6"/>
  <c r="B273" i="6"/>
  <c r="C272" i="6"/>
  <c r="A266" i="6"/>
  <c r="C261" i="6"/>
  <c r="A257" i="6"/>
  <c r="A252" i="6"/>
  <c r="C251" i="6"/>
  <c r="B248" i="6"/>
  <c r="C247" i="6"/>
  <c r="A243" i="6"/>
  <c r="B238" i="6"/>
  <c r="A234" i="6"/>
  <c r="A230" i="6"/>
  <c r="B227" i="6"/>
  <c r="C224" i="6"/>
  <c r="A222" i="6"/>
  <c r="B219" i="6"/>
  <c r="C216" i="6"/>
  <c r="A214" i="6"/>
  <c r="B211" i="6"/>
  <c r="C208" i="6"/>
  <c r="A206" i="6"/>
  <c r="B203" i="6"/>
  <c r="C200" i="6"/>
  <c r="A198" i="6"/>
  <c r="B195" i="6"/>
  <c r="C192" i="6"/>
  <c r="A190" i="6"/>
  <c r="B187" i="6"/>
  <c r="C184" i="6"/>
  <c r="A182" i="6"/>
  <c r="B179" i="6"/>
  <c r="C176" i="6"/>
  <c r="A174" i="6"/>
  <c r="B171" i="6"/>
  <c r="C168" i="6"/>
  <c r="A166" i="6"/>
  <c r="C290" i="6"/>
  <c r="C288" i="6"/>
  <c r="C285" i="6"/>
  <c r="B279" i="6"/>
  <c r="C278" i="6"/>
  <c r="B272" i="6"/>
  <c r="C271" i="6"/>
  <c r="B265" i="6"/>
  <c r="A261" i="6"/>
  <c r="C260" i="6"/>
  <c r="C256" i="6"/>
  <c r="B251" i="6"/>
  <c r="B247" i="6"/>
  <c r="C246" i="6"/>
  <c r="B242" i="6"/>
  <c r="A238" i="6"/>
  <c r="B233" i="6"/>
  <c r="C229" i="6"/>
  <c r="A227" i="6"/>
  <c r="B224" i="6"/>
  <c r="C221" i="6"/>
  <c r="A219" i="6"/>
  <c r="B216" i="6"/>
  <c r="C213" i="6"/>
  <c r="A211" i="6"/>
  <c r="B208" i="6"/>
  <c r="C205" i="6"/>
  <c r="A203" i="6"/>
  <c r="B200" i="6"/>
  <c r="C197" i="6"/>
  <c r="A195" i="6"/>
  <c r="B192" i="6"/>
  <c r="C189" i="6"/>
  <c r="A187" i="6"/>
  <c r="B184" i="6"/>
  <c r="C181" i="6"/>
  <c r="A179" i="6"/>
  <c r="B176" i="6"/>
  <c r="C173" i="6"/>
  <c r="A171" i="6"/>
  <c r="B168" i="6"/>
  <c r="A288" i="6"/>
  <c r="A285" i="6"/>
  <c r="A278" i="6"/>
  <c r="C277" i="6"/>
  <c r="B271" i="6"/>
  <c r="C270" i="6"/>
  <c r="A265" i="6"/>
  <c r="A260" i="6"/>
  <c r="C259" i="6"/>
  <c r="B256" i="6"/>
  <c r="C255" i="6"/>
  <c r="A251" i="6"/>
  <c r="B246" i="6"/>
  <c r="A242" i="6"/>
  <c r="C237" i="6"/>
  <c r="A233" i="6"/>
  <c r="B229" i="6"/>
  <c r="C226" i="6"/>
  <c r="A224" i="6"/>
  <c r="B221" i="6"/>
  <c r="C218" i="6"/>
  <c r="A216" i="6"/>
  <c r="B213" i="6"/>
  <c r="C210" i="6"/>
  <c r="A208" i="6"/>
  <c r="B205" i="6"/>
  <c r="C202" i="6"/>
  <c r="A200" i="6"/>
  <c r="B197" i="6"/>
  <c r="C194" i="6"/>
  <c r="A192" i="6"/>
  <c r="B189" i="6"/>
  <c r="C186" i="6"/>
  <c r="A184" i="6"/>
  <c r="B181" i="6"/>
  <c r="C178" i="6"/>
  <c r="A176" i="6"/>
  <c r="B173" i="6"/>
  <c r="C170" i="6"/>
  <c r="A168" i="6"/>
  <c r="B165" i="6"/>
  <c r="C236" i="6"/>
  <c r="A213" i="6"/>
  <c r="C207" i="6"/>
  <c r="B178" i="6"/>
  <c r="B162" i="6"/>
  <c r="C152" i="6"/>
  <c r="C151" i="6"/>
  <c r="C143" i="6"/>
  <c r="C141" i="6"/>
  <c r="C139" i="6"/>
  <c r="A137" i="6"/>
  <c r="B135" i="6"/>
  <c r="C133" i="6"/>
  <c r="B130" i="6"/>
  <c r="A127" i="6"/>
  <c r="C125" i="6"/>
  <c r="B122" i="6"/>
  <c r="A119" i="6"/>
  <c r="C117" i="6"/>
  <c r="B114" i="6"/>
  <c r="A111" i="6"/>
  <c r="C109" i="6"/>
  <c r="B106" i="6"/>
  <c r="A103" i="6"/>
  <c r="C101" i="6"/>
  <c r="B98" i="6"/>
  <c r="A95" i="6"/>
  <c r="C93" i="6"/>
  <c r="B90" i="6"/>
  <c r="A87" i="6"/>
  <c r="C85" i="6"/>
  <c r="B82" i="6"/>
  <c r="A79" i="6"/>
  <c r="C77" i="6"/>
  <c r="B74" i="6"/>
  <c r="A71" i="6"/>
  <c r="C69" i="6"/>
  <c r="B66" i="6"/>
  <c r="A63" i="6"/>
  <c r="C61" i="6"/>
  <c r="B58" i="6"/>
  <c r="A55" i="6"/>
  <c r="C53" i="6"/>
  <c r="B50" i="6"/>
  <c r="A47" i="6"/>
  <c r="C45" i="6"/>
  <c r="B42" i="6"/>
  <c r="A39" i="6"/>
  <c r="C37" i="6"/>
  <c r="B34" i="6"/>
  <c r="A31" i="6"/>
  <c r="C29" i="6"/>
  <c r="B26" i="6"/>
  <c r="A23" i="6"/>
  <c r="C21" i="6"/>
  <c r="B18" i="6"/>
  <c r="A15" i="6"/>
  <c r="C13" i="6"/>
  <c r="B10" i="6"/>
  <c r="A7" i="6"/>
  <c r="C5" i="6"/>
  <c r="B283" i="6"/>
  <c r="A237" i="6"/>
  <c r="B202" i="6"/>
  <c r="A173" i="6"/>
  <c r="C167" i="6"/>
  <c r="B152" i="6"/>
  <c r="B151" i="6"/>
  <c r="C150" i="6"/>
  <c r="B145" i="6"/>
  <c r="B143" i="6"/>
  <c r="B141" i="6"/>
  <c r="A135" i="6"/>
  <c r="B133" i="6"/>
  <c r="A130" i="6"/>
  <c r="C128" i="6"/>
  <c r="B125" i="6"/>
  <c r="A122" i="6"/>
  <c r="C120" i="6"/>
  <c r="B117" i="6"/>
  <c r="A114" i="6"/>
  <c r="C112" i="6"/>
  <c r="B109" i="6"/>
  <c r="A106" i="6"/>
  <c r="C104" i="6"/>
  <c r="B101" i="6"/>
  <c r="A98" i="6"/>
  <c r="C96" i="6"/>
  <c r="B93" i="6"/>
  <c r="A90" i="6"/>
  <c r="C88" i="6"/>
  <c r="B85" i="6"/>
  <c r="A82" i="6"/>
  <c r="C80" i="6"/>
  <c r="B77" i="6"/>
  <c r="A74" i="6"/>
  <c r="C72" i="6"/>
  <c r="B69" i="6"/>
  <c r="A66" i="6"/>
  <c r="C64" i="6"/>
  <c r="B61" i="6"/>
  <c r="A58" i="6"/>
  <c r="C56" i="6"/>
  <c r="B53" i="6"/>
  <c r="A50" i="6"/>
  <c r="C48" i="6"/>
  <c r="B45" i="6"/>
  <c r="A42" i="6"/>
  <c r="C40" i="6"/>
  <c r="B37" i="6"/>
  <c r="A34" i="6"/>
  <c r="C32" i="6"/>
  <c r="B29" i="6"/>
  <c r="A26" i="6"/>
  <c r="C24" i="6"/>
  <c r="B21" i="6"/>
  <c r="A18" i="6"/>
  <c r="C16" i="6"/>
  <c r="B13" i="6"/>
  <c r="A10" i="6"/>
  <c r="C8" i="6"/>
  <c r="B5" i="6"/>
  <c r="C232" i="6"/>
  <c r="B226" i="6"/>
  <c r="A197" i="6"/>
  <c r="C191" i="6"/>
  <c r="B153" i="6"/>
  <c r="A152" i="6"/>
  <c r="A151" i="6"/>
  <c r="B150" i="6"/>
  <c r="C149" i="6"/>
  <c r="C147" i="6"/>
  <c r="A145" i="6"/>
  <c r="A143" i="6"/>
  <c r="A141" i="6"/>
  <c r="A133" i="6"/>
  <c r="C131" i="6"/>
  <c r="B128" i="6"/>
  <c r="A125" i="6"/>
  <c r="C123" i="6"/>
  <c r="B120" i="6"/>
  <c r="A117" i="6"/>
  <c r="C115" i="6"/>
  <c r="B112" i="6"/>
  <c r="A109" i="6"/>
  <c r="C107" i="6"/>
  <c r="B104" i="6"/>
  <c r="A101" i="6"/>
  <c r="C99" i="6"/>
  <c r="B96" i="6"/>
  <c r="A93" i="6"/>
  <c r="C91" i="6"/>
  <c r="B88" i="6"/>
  <c r="A85" i="6"/>
  <c r="C83" i="6"/>
  <c r="B80" i="6"/>
  <c r="A77" i="6"/>
  <c r="C75" i="6"/>
  <c r="B72" i="6"/>
  <c r="A69" i="6"/>
  <c r="C67" i="6"/>
  <c r="B64" i="6"/>
  <c r="A61" i="6"/>
  <c r="C59" i="6"/>
  <c r="B56" i="6"/>
  <c r="A53" i="6"/>
  <c r="C51" i="6"/>
  <c r="B48" i="6"/>
  <c r="A45" i="6"/>
  <c r="C43" i="6"/>
  <c r="B40" i="6"/>
  <c r="A37" i="6"/>
  <c r="C35" i="6"/>
  <c r="B32" i="6"/>
  <c r="A29" i="6"/>
  <c r="C27" i="6"/>
  <c r="B24" i="6"/>
  <c r="A21" i="6"/>
  <c r="C19" i="6"/>
  <c r="B16" i="6"/>
  <c r="A13" i="6"/>
  <c r="C11" i="6"/>
  <c r="B8" i="6"/>
  <c r="A5" i="6"/>
  <c r="C269" i="6"/>
  <c r="C264" i="6"/>
  <c r="B259" i="6"/>
  <c r="A221" i="6"/>
  <c r="C215" i="6"/>
  <c r="B186" i="6"/>
  <c r="B159" i="6"/>
  <c r="C158" i="6"/>
  <c r="A153" i="6"/>
  <c r="A150" i="6"/>
  <c r="B149" i="6"/>
  <c r="C140" i="6"/>
  <c r="C138" i="6"/>
  <c r="C136" i="6"/>
  <c r="B131" i="6"/>
  <c r="A128" i="6"/>
  <c r="C126" i="6"/>
  <c r="B123" i="6"/>
  <c r="A120" i="6"/>
  <c r="C118" i="6"/>
  <c r="B115" i="6"/>
  <c r="A112" i="6"/>
  <c r="C110" i="6"/>
  <c r="B107" i="6"/>
  <c r="A104" i="6"/>
  <c r="C102" i="6"/>
  <c r="B99" i="6"/>
  <c r="A96" i="6"/>
  <c r="C94" i="6"/>
  <c r="B91" i="6"/>
  <c r="A88" i="6"/>
  <c r="C86" i="6"/>
  <c r="B83" i="6"/>
  <c r="A80" i="6"/>
  <c r="C78" i="6"/>
  <c r="B75" i="6"/>
  <c r="A72" i="6"/>
  <c r="C70" i="6"/>
  <c r="B67" i="6"/>
  <c r="A64" i="6"/>
  <c r="C62" i="6"/>
  <c r="B59" i="6"/>
  <c r="A56" i="6"/>
  <c r="C54" i="6"/>
  <c r="B51" i="6"/>
  <c r="A48" i="6"/>
  <c r="C46" i="6"/>
  <c r="B43" i="6"/>
  <c r="A40" i="6"/>
  <c r="C38" i="6"/>
  <c r="B35" i="6"/>
  <c r="A32" i="6"/>
  <c r="C30" i="6"/>
  <c r="B27" i="6"/>
  <c r="A24" i="6"/>
  <c r="C22" i="6"/>
  <c r="B19" i="6"/>
  <c r="A16" i="6"/>
  <c r="C14" i="6"/>
  <c r="B11" i="6"/>
  <c r="A8" i="6"/>
  <c r="C6" i="6"/>
  <c r="B255" i="6"/>
  <c r="B250" i="6"/>
  <c r="A205" i="6"/>
  <c r="C199" i="6"/>
  <c r="B170" i="6"/>
  <c r="B163" i="6"/>
  <c r="A160" i="6"/>
  <c r="A158" i="6"/>
  <c r="B157" i="6"/>
  <c r="C156" i="6"/>
  <c r="C155" i="6"/>
  <c r="C148" i="6"/>
  <c r="C146" i="6"/>
  <c r="C144" i="6"/>
  <c r="A142" i="6"/>
  <c r="A140" i="6"/>
  <c r="A138" i="6"/>
  <c r="A136" i="6"/>
  <c r="A134" i="6"/>
  <c r="C132" i="6"/>
  <c r="B129" i="6"/>
  <c r="A126" i="6"/>
  <c r="C124" i="6"/>
  <c r="B121" i="6"/>
  <c r="A118" i="6"/>
  <c r="C116" i="6"/>
  <c r="B113" i="6"/>
  <c r="A110" i="6"/>
  <c r="C108" i="6"/>
  <c r="B105" i="6"/>
  <c r="A102" i="6"/>
  <c r="C100" i="6"/>
  <c r="B97" i="6"/>
  <c r="A94" i="6"/>
  <c r="C92" i="6"/>
  <c r="B89" i="6"/>
  <c r="A86" i="6"/>
  <c r="C84" i="6"/>
  <c r="B81" i="6"/>
  <c r="A78" i="6"/>
  <c r="C76" i="6"/>
  <c r="B73" i="6"/>
  <c r="A70" i="6"/>
  <c r="C68" i="6"/>
  <c r="B65" i="6"/>
  <c r="A62" i="6"/>
  <c r="C60" i="6"/>
  <c r="B57" i="6"/>
  <c r="A54" i="6"/>
  <c r="C52" i="6"/>
  <c r="B49" i="6"/>
  <c r="A46" i="6"/>
  <c r="C44" i="6"/>
  <c r="B41" i="6"/>
  <c r="A38" i="6"/>
  <c r="C36" i="6"/>
  <c r="B33" i="6"/>
  <c r="A30" i="6"/>
  <c r="C28" i="6"/>
  <c r="B25" i="6"/>
  <c r="A22" i="6"/>
  <c r="C20" i="6"/>
  <c r="B17" i="6"/>
  <c r="A14" i="6"/>
  <c r="C12" i="6"/>
  <c r="B9" i="6"/>
  <c r="A6" i="6"/>
  <c r="C4" i="6"/>
  <c r="C276" i="6"/>
  <c r="A229" i="6"/>
  <c r="C223" i="6"/>
  <c r="B194" i="6"/>
  <c r="C165" i="6"/>
  <c r="A163" i="6"/>
  <c r="A157" i="6"/>
  <c r="B156" i="6"/>
  <c r="B148" i="6"/>
  <c r="B146" i="6"/>
  <c r="B144" i="6"/>
  <c r="B132" i="6"/>
  <c r="A129" i="6"/>
  <c r="C127" i="6"/>
  <c r="B124" i="6"/>
  <c r="A121" i="6"/>
  <c r="C119" i="6"/>
  <c r="B116" i="6"/>
  <c r="A113" i="6"/>
  <c r="C111" i="6"/>
  <c r="B108" i="6"/>
  <c r="A105" i="6"/>
  <c r="C103" i="6"/>
  <c r="B100" i="6"/>
  <c r="A97" i="6"/>
  <c r="C95" i="6"/>
  <c r="B92" i="6"/>
  <c r="A89" i="6"/>
  <c r="C87" i="6"/>
  <c r="B84" i="6"/>
  <c r="A81" i="6"/>
  <c r="C79" i="6"/>
  <c r="B76" i="6"/>
  <c r="A73" i="6"/>
  <c r="C71" i="6"/>
  <c r="B68" i="6"/>
  <c r="A65" i="6"/>
  <c r="C63" i="6"/>
  <c r="B60" i="6"/>
  <c r="A57" i="6"/>
  <c r="C55" i="6"/>
  <c r="B52" i="6"/>
  <c r="A49" i="6"/>
  <c r="C47" i="6"/>
  <c r="B44" i="6"/>
  <c r="A41" i="6"/>
  <c r="C39" i="6"/>
  <c r="B36" i="6"/>
  <c r="A33" i="6"/>
  <c r="C31" i="6"/>
  <c r="B28" i="6"/>
  <c r="A25" i="6"/>
  <c r="C23" i="6"/>
  <c r="B20" i="6"/>
  <c r="A17" i="6"/>
  <c r="C15" i="6"/>
  <c r="B12" i="6"/>
  <c r="A9" i="6"/>
  <c r="C7" i="6"/>
  <c r="B4" i="6"/>
  <c r="C254" i="6"/>
  <c r="C162" i="6"/>
  <c r="B127" i="6"/>
  <c r="C114" i="6"/>
  <c r="A108" i="6"/>
  <c r="B95" i="6"/>
  <c r="C82" i="6"/>
  <c r="A76" i="6"/>
  <c r="B63" i="6"/>
  <c r="C50" i="6"/>
  <c r="A44" i="6"/>
  <c r="B31" i="6"/>
  <c r="C18" i="6"/>
  <c r="A12" i="6"/>
  <c r="B241" i="6"/>
  <c r="A181" i="6"/>
  <c r="A159" i="6"/>
  <c r="A149" i="6"/>
  <c r="B140" i="6"/>
  <c r="B126" i="6"/>
  <c r="C113" i="6"/>
  <c r="A107" i="6"/>
  <c r="B94" i="6"/>
  <c r="C81" i="6"/>
  <c r="A75" i="6"/>
  <c r="B62" i="6"/>
  <c r="C49" i="6"/>
  <c r="A43" i="6"/>
  <c r="B30" i="6"/>
  <c r="C17" i="6"/>
  <c r="A11" i="6"/>
  <c r="A246" i="6"/>
  <c r="A154" i="6"/>
  <c r="A148" i="6"/>
  <c r="A132" i="6"/>
  <c r="B119" i="6"/>
  <c r="C106" i="6"/>
  <c r="A100" i="6"/>
  <c r="B87" i="6"/>
  <c r="C74" i="6"/>
  <c r="A68" i="6"/>
  <c r="B55" i="6"/>
  <c r="C42" i="6"/>
  <c r="A36" i="6"/>
  <c r="B23" i="6"/>
  <c r="C10" i="6"/>
  <c r="A4" i="6"/>
  <c r="C157" i="6"/>
  <c r="B138" i="6"/>
  <c r="A131" i="6"/>
  <c r="B118" i="6"/>
  <c r="C105" i="6"/>
  <c r="A99" i="6"/>
  <c r="B86" i="6"/>
  <c r="C73" i="6"/>
  <c r="A67" i="6"/>
  <c r="B54" i="6"/>
  <c r="C41" i="6"/>
  <c r="A35" i="6"/>
  <c r="B22" i="6"/>
  <c r="C9" i="6"/>
  <c r="A277" i="6"/>
  <c r="C183" i="6"/>
  <c r="C160" i="6"/>
  <c r="A146" i="6"/>
  <c r="B137" i="6"/>
  <c r="C130" i="6"/>
  <c r="A124" i="6"/>
  <c r="B111" i="6"/>
  <c r="C98" i="6"/>
  <c r="A92" i="6"/>
  <c r="B79" i="6"/>
  <c r="C66" i="6"/>
  <c r="A60" i="6"/>
  <c r="B47" i="6"/>
  <c r="C34" i="6"/>
  <c r="A28" i="6"/>
  <c r="B15" i="6"/>
  <c r="B218" i="6"/>
  <c r="A165" i="6"/>
  <c r="B136" i="6"/>
  <c r="C129" i="6"/>
  <c r="A123" i="6"/>
  <c r="B110" i="6"/>
  <c r="C97" i="6"/>
  <c r="A91" i="6"/>
  <c r="B78" i="6"/>
  <c r="C65" i="6"/>
  <c r="A59" i="6"/>
  <c r="B46" i="6"/>
  <c r="C33" i="6"/>
  <c r="A27" i="6"/>
  <c r="B14" i="6"/>
  <c r="B158" i="6"/>
  <c r="C135" i="6"/>
  <c r="C122" i="6"/>
  <c r="A116" i="6"/>
  <c r="B103" i="6"/>
  <c r="C90" i="6"/>
  <c r="A84" i="6"/>
  <c r="B71" i="6"/>
  <c r="C58" i="6"/>
  <c r="A52" i="6"/>
  <c r="B39" i="6"/>
  <c r="C26" i="6"/>
  <c r="A20" i="6"/>
  <c r="B7" i="6"/>
  <c r="B210" i="6"/>
  <c r="C57" i="6"/>
  <c r="B6" i="6"/>
  <c r="B102" i="6"/>
  <c r="A51" i="6"/>
  <c r="C89" i="6"/>
  <c r="B38" i="6"/>
  <c r="C175" i="6"/>
  <c r="C134" i="6"/>
  <c r="A83" i="6"/>
  <c r="C25" i="6"/>
  <c r="A270" i="6"/>
  <c r="C121" i="6"/>
  <c r="B70" i="6"/>
  <c r="A19" i="6"/>
  <c r="A115" i="6"/>
  <c r="A189" i="6"/>
  <c r="DR39" i="2"/>
  <c r="EU32" i="2"/>
  <c r="AO30" i="2"/>
  <c r="H29" i="2"/>
  <c r="FI28" i="2"/>
  <c r="FR75" i="2" a="1"/>
  <c r="FR75" i="2" s="1"/>
  <c r="DQ21" i="2"/>
  <c r="EN32" i="2"/>
  <c r="ES36" i="2"/>
  <c r="FN62" i="2" a="1"/>
  <c r="FN62" i="2" s="1"/>
  <c r="EV24" i="2"/>
  <c r="DX37" i="2"/>
  <c r="FJ32" i="2"/>
  <c r="EO26" i="2"/>
  <c r="EW22" i="2"/>
  <c r="FH28" i="2"/>
  <c r="H13" i="2"/>
  <c r="FI26" i="2"/>
  <c r="AF22" i="2"/>
  <c r="X22" i="2"/>
  <c r="P22" i="2"/>
  <c r="AM22" i="2"/>
  <c r="AE22" i="2"/>
  <c r="W22" i="2"/>
  <c r="O22" i="2"/>
  <c r="AL22" i="2"/>
  <c r="AD22" i="2"/>
  <c r="N22" i="2"/>
  <c r="Y22" i="2"/>
  <c r="V22" i="2"/>
  <c r="AK22" i="2"/>
  <c r="AC22" i="2"/>
  <c r="U22" i="2"/>
  <c r="M22" i="2"/>
  <c r="AJ22" i="2"/>
  <c r="AB22" i="2"/>
  <c r="T22" i="2"/>
  <c r="L22" i="2"/>
  <c r="AI22" i="2"/>
  <c r="AA22" i="2"/>
  <c r="S22" i="2"/>
  <c r="K22" i="2"/>
  <c r="EJ22" i="2"/>
  <c r="AH22" i="2"/>
  <c r="Z22" i="2"/>
  <c r="R22" i="2"/>
  <c r="AG22" i="2"/>
  <c r="J22" i="2" a="1"/>
  <c r="J22" i="2" s="1"/>
  <c r="Q22" i="2"/>
  <c r="DR33" i="2"/>
  <c r="FB22" i="2"/>
  <c r="EF64" i="2" a="1"/>
  <c r="EF64" i="2" s="1"/>
  <c r="EF63" i="2" s="1"/>
  <c r="EP62" i="2"/>
  <c r="DR51" i="2"/>
  <c r="FO155" i="2" a="1"/>
  <c r="FO155" i="2" s="1"/>
  <c r="FS155" i="2" a="1"/>
  <c r="FS155" i="2" s="1"/>
  <c r="GR155" i="2" a="1"/>
  <c r="GR155" i="2" s="1"/>
  <c r="GC155" i="2" a="1"/>
  <c r="GC155" i="2" s="1"/>
  <c r="FR155" i="2" a="1"/>
  <c r="FR155" i="2" s="1"/>
  <c r="FU135" i="2" a="1"/>
  <c r="FU135" i="2" s="1"/>
  <c r="FX135" i="2" a="1"/>
  <c r="FX135" i="2" s="1"/>
  <c r="GO135" i="2" a="1"/>
  <c r="GO135" i="2" s="1"/>
  <c r="EY62" i="2"/>
  <c r="GA110" i="2" a="1"/>
  <c r="GA110" i="2" s="1"/>
  <c r="GQ110" i="2" a="1"/>
  <c r="GQ110" i="2" s="1"/>
  <c r="FP110" i="2" a="1"/>
  <c r="FP110" i="2" s="1"/>
  <c r="EX62" i="2"/>
  <c r="EN58" i="2"/>
  <c r="FA52" i="2"/>
  <c r="GA140" i="2" a="1"/>
  <c r="GA140" i="2" s="1"/>
  <c r="FP140" i="2" a="1"/>
  <c r="FP140" i="2" s="1"/>
  <c r="GH140" i="2" a="1"/>
  <c r="GH140" i="2" s="1"/>
  <c r="ET62" i="2"/>
  <c r="DC47" i="2" a="1"/>
  <c r="DC47" i="2" s="1"/>
  <c r="DB47" i="2" a="1"/>
  <c r="DB47" i="2" s="1"/>
  <c r="GQ145" i="2" a="1"/>
  <c r="GQ145" i="2" s="1"/>
  <c r="FK48" i="2"/>
  <c r="GI145" i="2" a="1"/>
  <c r="GI145" i="2" s="1"/>
  <c r="FO145" i="2" a="1"/>
  <c r="FO145" i="2" s="1"/>
  <c r="FP145" i="2" a="1"/>
  <c r="FP145" i="2" s="1"/>
  <c r="GG145" i="2" a="1"/>
  <c r="GG145" i="2" s="1"/>
  <c r="FV145" i="2" a="1"/>
  <c r="FV145" i="2" s="1"/>
  <c r="ER36" i="2"/>
  <c r="GH115" i="2" a="1"/>
  <c r="GH115" i="2" s="1"/>
  <c r="ER50" i="2"/>
  <c r="DC49" i="2" a="1"/>
  <c r="DC49" i="2" s="1"/>
  <c r="DB49" i="2" a="1"/>
  <c r="DB49" i="2" s="1"/>
  <c r="GI150" i="2" a="1"/>
  <c r="GI150" i="2" s="1"/>
  <c r="GR150" i="2" a="1"/>
  <c r="GR150" i="2" s="1"/>
  <c r="GC150" i="2" a="1"/>
  <c r="GC150" i="2" s="1"/>
  <c r="FR150" i="2" a="1"/>
  <c r="FR150" i="2" s="1"/>
  <c r="EW48" i="2"/>
  <c r="EM40" i="2"/>
  <c r="FF40" i="2"/>
  <c r="AO40" i="2"/>
  <c r="H39" i="2"/>
  <c r="FQ125" i="2" a="1"/>
  <c r="FQ125" i="2" s="1"/>
  <c r="GE125" i="2" a="1"/>
  <c r="GE125" i="2" s="1"/>
  <c r="DR35" i="2"/>
  <c r="DX59" i="2"/>
  <c r="DR59" i="2"/>
  <c r="FZ115" i="2" a="1"/>
  <c r="FZ115" i="2" s="1"/>
  <c r="GR115" i="2" a="1"/>
  <c r="GR115" i="2" s="1"/>
  <c r="GC115" i="2" a="1"/>
  <c r="GC115" i="2" s="1"/>
  <c r="GL115" i="2" a="1"/>
  <c r="GL115" i="2" s="1"/>
  <c r="FH58" i="2"/>
  <c r="DY45" i="2"/>
  <c r="FF42" i="2"/>
  <c r="DX41" i="2"/>
  <c r="FR130" i="2" a="1"/>
  <c r="FR130" i="2" s="1"/>
  <c r="GO130" i="2" a="1"/>
  <c r="GO130" i="2" s="1"/>
  <c r="EN40" i="2"/>
  <c r="EJ38" i="2"/>
  <c r="AH38" i="2"/>
  <c r="Z38" i="2"/>
  <c r="R38" i="2"/>
  <c r="J38" i="2" a="1"/>
  <c r="J38" i="2" s="1"/>
  <c r="AF38" i="2"/>
  <c r="X38" i="2"/>
  <c r="P38" i="2"/>
  <c r="AD38" i="2"/>
  <c r="T38" i="2"/>
  <c r="AM38" i="2"/>
  <c r="AC38" i="2"/>
  <c r="S38" i="2"/>
  <c r="AL38" i="2"/>
  <c r="AB38" i="2"/>
  <c r="Q38" i="2"/>
  <c r="AJ38" i="2"/>
  <c r="Y38" i="2"/>
  <c r="N38" i="2"/>
  <c r="V38" i="2"/>
  <c r="U38" i="2"/>
  <c r="AK38" i="2"/>
  <c r="O38" i="2"/>
  <c r="W38" i="2"/>
  <c r="AI38" i="2"/>
  <c r="M38" i="2"/>
  <c r="AG38" i="2"/>
  <c r="L38" i="2"/>
  <c r="AE38" i="2"/>
  <c r="K38" i="2"/>
  <c r="AA38" i="2"/>
  <c r="FH38" i="2"/>
  <c r="FS120" i="2" a="1"/>
  <c r="FS120" i="2" s="1"/>
  <c r="FX120" i="2" a="1"/>
  <c r="FX120" i="2" s="1"/>
  <c r="GH120" i="2" a="1"/>
  <c r="GH120" i="2" s="1"/>
  <c r="FH36" i="2"/>
  <c r="FB30" i="2"/>
  <c r="EP30" i="2"/>
  <c r="FV100" i="2" a="1"/>
  <c r="FV100" i="2" s="1"/>
  <c r="FR100" i="2" a="1"/>
  <c r="FR100" i="2" s="1"/>
  <c r="GE100" i="2" a="1"/>
  <c r="GE100" i="2" s="1"/>
  <c r="FP100" i="2" a="1"/>
  <c r="FP100" i="2" s="1"/>
  <c r="FQ100" i="2" a="1"/>
  <c r="FQ100" i="2" s="1"/>
  <c r="GW27" i="2"/>
  <c r="FF26" i="2"/>
  <c r="EU24" i="2"/>
  <c r="DQ63" i="2"/>
  <c r="EM36" i="2"/>
  <c r="DX33" i="2"/>
  <c r="DY29" i="2"/>
  <c r="CO50" i="2"/>
  <c r="EN52" i="2"/>
  <c r="ES32" i="2"/>
  <c r="FP105" i="2" a="1"/>
  <c r="FP105" i="2" s="1"/>
  <c r="FQ105" i="2" a="1"/>
  <c r="FQ105" i="2" s="1"/>
  <c r="GR105" i="2" a="1"/>
  <c r="GR105" i="2" s="1"/>
  <c r="DR23" i="2"/>
  <c r="FV85" i="2" a="1"/>
  <c r="FV85" i="2" s="1"/>
  <c r="GE85" i="2" a="1"/>
  <c r="GE85" i="2" s="1"/>
  <c r="FP85" i="2" a="1"/>
  <c r="FP85" i="2" s="1"/>
  <c r="FQ85" i="2" a="1"/>
  <c r="FQ85" i="2" s="1"/>
  <c r="FP80" i="2" a="1"/>
  <c r="FP80" i="2" s="1"/>
  <c r="FV80" i="2" a="1"/>
  <c r="FV80" i="2" s="1"/>
  <c r="FW80" i="2" a="1"/>
  <c r="FW80" i="2" s="1"/>
  <c r="GR80" i="2" a="1"/>
  <c r="GR80" i="2" s="1"/>
  <c r="EH32" i="2"/>
  <c r="EN48" i="2"/>
  <c r="EH36" i="2"/>
  <c r="FG32" i="2"/>
  <c r="GL95" i="2" a="1"/>
  <c r="GL95" i="2" s="1"/>
  <c r="FO95" i="2" a="1"/>
  <c r="FO95" i="2" s="1"/>
  <c r="GF95" i="2" a="1"/>
  <c r="GF95" i="2" s="1"/>
  <c r="GG95" i="2" a="1"/>
  <c r="GG95" i="2" s="1"/>
  <c r="FZ89" i="2" a="1"/>
  <c r="FZ89" i="2" s="1"/>
  <c r="FS89" i="2" a="1"/>
  <c r="FS89" i="2" s="1"/>
  <c r="GJ89" i="2" a="1"/>
  <c r="GJ89" i="2" s="1"/>
  <c r="GK89" i="2" a="1"/>
  <c r="GK89" i="2" s="1"/>
  <c r="EQ24" i="2"/>
  <c r="E399" i="6"/>
  <c r="D396" i="6"/>
  <c r="E391" i="6"/>
  <c r="D388" i="6"/>
  <c r="E383" i="6"/>
  <c r="D380" i="6"/>
  <c r="E397" i="6"/>
  <c r="D394" i="6"/>
  <c r="E389" i="6"/>
  <c r="D386" i="6"/>
  <c r="E381" i="6"/>
  <c r="D378" i="6"/>
  <c r="E373" i="6"/>
  <c r="D370" i="6"/>
  <c r="E365" i="6"/>
  <c r="D362" i="6"/>
  <c r="E357" i="6"/>
  <c r="D354" i="6"/>
  <c r="E349" i="6"/>
  <c r="D346" i="6"/>
  <c r="E341" i="6"/>
  <c r="D338" i="6"/>
  <c r="E333" i="6"/>
  <c r="D330" i="6"/>
  <c r="E400" i="6"/>
  <c r="D397" i="6"/>
  <c r="E392" i="6"/>
  <c r="D389" i="6"/>
  <c r="E384" i="6"/>
  <c r="D381" i="6"/>
  <c r="E376" i="6"/>
  <c r="D373" i="6"/>
  <c r="E368" i="6"/>
  <c r="D365" i="6"/>
  <c r="E360" i="6"/>
  <c r="D357" i="6"/>
  <c r="E352" i="6"/>
  <c r="D349" i="6"/>
  <c r="E344" i="6"/>
  <c r="D341" i="6"/>
  <c r="E336" i="6"/>
  <c r="D333" i="6"/>
  <c r="D400" i="6"/>
  <c r="E395" i="6"/>
  <c r="D392" i="6"/>
  <c r="E387" i="6"/>
  <c r="D384" i="6"/>
  <c r="E379" i="6"/>
  <c r="D376" i="6"/>
  <c r="E371" i="6"/>
  <c r="D368" i="6"/>
  <c r="E363" i="6"/>
  <c r="D360" i="6"/>
  <c r="E355" i="6"/>
  <c r="D352" i="6"/>
  <c r="E347" i="6"/>
  <c r="D344" i="6"/>
  <c r="E339" i="6"/>
  <c r="D336" i="6"/>
  <c r="E331" i="6"/>
  <c r="E398" i="6"/>
  <c r="D395" i="6"/>
  <c r="E390" i="6"/>
  <c r="D387" i="6"/>
  <c r="E382" i="6"/>
  <c r="D379" i="6"/>
  <c r="E374" i="6"/>
  <c r="D371" i="6"/>
  <c r="E366" i="6"/>
  <c r="D363" i="6"/>
  <c r="E358" i="6"/>
  <c r="D355" i="6"/>
  <c r="E350" i="6"/>
  <c r="D347" i="6"/>
  <c r="E342" i="6"/>
  <c r="D339" i="6"/>
  <c r="E334" i="6"/>
  <c r="D331" i="6"/>
  <c r="D398" i="6"/>
  <c r="E393" i="6"/>
  <c r="D390" i="6"/>
  <c r="E385" i="6"/>
  <c r="D382" i="6"/>
  <c r="E377" i="6"/>
  <c r="D374" i="6"/>
  <c r="E369" i="6"/>
  <c r="D366" i="6"/>
  <c r="E361" i="6"/>
  <c r="D358" i="6"/>
  <c r="E353" i="6"/>
  <c r="D350" i="6"/>
  <c r="E345" i="6"/>
  <c r="D342" i="6"/>
  <c r="E337" i="6"/>
  <c r="D334" i="6"/>
  <c r="E329" i="6"/>
  <c r="D399" i="6"/>
  <c r="E386" i="6"/>
  <c r="E370" i="6"/>
  <c r="D361" i="6"/>
  <c r="E348" i="6"/>
  <c r="D340" i="6"/>
  <c r="E328" i="6"/>
  <c r="D325" i="6"/>
  <c r="E320" i="6"/>
  <c r="D317" i="6"/>
  <c r="E312" i="6"/>
  <c r="D309" i="6"/>
  <c r="E304" i="6"/>
  <c r="D301" i="6"/>
  <c r="E296" i="6"/>
  <c r="D385" i="6"/>
  <c r="D369" i="6"/>
  <c r="E356" i="6"/>
  <c r="D348" i="6"/>
  <c r="E335" i="6"/>
  <c r="D328" i="6"/>
  <c r="E323" i="6"/>
  <c r="D320" i="6"/>
  <c r="E315" i="6"/>
  <c r="D312" i="6"/>
  <c r="E307" i="6"/>
  <c r="D304" i="6"/>
  <c r="E299" i="6"/>
  <c r="D296" i="6"/>
  <c r="E291" i="6"/>
  <c r="D290" i="6"/>
  <c r="E283" i="6"/>
  <c r="D278" i="6"/>
  <c r="E275" i="6"/>
  <c r="D270" i="6"/>
  <c r="E267" i="6"/>
  <c r="D262" i="6"/>
  <c r="E259" i="6"/>
  <c r="D254" i="6"/>
  <c r="E251" i="6"/>
  <c r="D246" i="6"/>
  <c r="E243" i="6"/>
  <c r="D238" i="6"/>
  <c r="E235" i="6"/>
  <c r="D391" i="6"/>
  <c r="E378" i="6"/>
  <c r="E364" i="6"/>
  <c r="D356" i="6"/>
  <c r="E343" i="6"/>
  <c r="D335" i="6"/>
  <c r="E326" i="6"/>
  <c r="D323" i="6"/>
  <c r="E318" i="6"/>
  <c r="D315" i="6"/>
  <c r="E310" i="6"/>
  <c r="D307" i="6"/>
  <c r="E302" i="6"/>
  <c r="D299" i="6"/>
  <c r="E396" i="6"/>
  <c r="D377" i="6"/>
  <c r="E372" i="6"/>
  <c r="D364" i="6"/>
  <c r="E351" i="6"/>
  <c r="D343" i="6"/>
  <c r="E330" i="6"/>
  <c r="D326" i="6"/>
  <c r="E321" i="6"/>
  <c r="D318" i="6"/>
  <c r="E313" i="6"/>
  <c r="D310" i="6"/>
  <c r="E305" i="6"/>
  <c r="D302" i="6"/>
  <c r="E297" i="6"/>
  <c r="E293" i="6"/>
  <c r="D292" i="6"/>
  <c r="E285" i="6"/>
  <c r="D284" i="6"/>
  <c r="D280" i="6"/>
  <c r="E277" i="6"/>
  <c r="D272" i="6"/>
  <c r="E269" i="6"/>
  <c r="D383" i="6"/>
  <c r="D372" i="6"/>
  <c r="E359" i="6"/>
  <c r="D351" i="6"/>
  <c r="E338" i="6"/>
  <c r="D329" i="6"/>
  <c r="E324" i="6"/>
  <c r="D321" i="6"/>
  <c r="E316" i="6"/>
  <c r="D313" i="6"/>
  <c r="E308" i="6"/>
  <c r="D305" i="6"/>
  <c r="E300" i="6"/>
  <c r="D297" i="6"/>
  <c r="E294" i="6"/>
  <c r="D293" i="6"/>
  <c r="E388" i="6"/>
  <c r="E367" i="6"/>
  <c r="D359" i="6"/>
  <c r="E346" i="6"/>
  <c r="D337" i="6"/>
  <c r="E327" i="6"/>
  <c r="D324" i="6"/>
  <c r="E319" i="6"/>
  <c r="D316" i="6"/>
  <c r="E311" i="6"/>
  <c r="D308" i="6"/>
  <c r="E303" i="6"/>
  <c r="D300" i="6"/>
  <c r="E295" i="6"/>
  <c r="D294" i="6"/>
  <c r="E394" i="6"/>
  <c r="E375" i="6"/>
  <c r="D367" i="6"/>
  <c r="E354" i="6"/>
  <c r="D345" i="6"/>
  <c r="E332" i="6"/>
  <c r="D327" i="6"/>
  <c r="E322" i="6"/>
  <c r="D319" i="6"/>
  <c r="E314" i="6"/>
  <c r="D311" i="6"/>
  <c r="E306" i="6"/>
  <c r="D303" i="6"/>
  <c r="E298" i="6"/>
  <c r="D295" i="6"/>
  <c r="E288" i="6"/>
  <c r="D287" i="6"/>
  <c r="D279" i="6"/>
  <c r="E276" i="6"/>
  <c r="D271" i="6"/>
  <c r="E268" i="6"/>
  <c r="D263" i="6"/>
  <c r="E260" i="6"/>
  <c r="D255" i="6"/>
  <c r="E252" i="6"/>
  <c r="D247" i="6"/>
  <c r="E244" i="6"/>
  <c r="D239" i="6"/>
  <c r="E236" i="6"/>
  <c r="D231" i="6"/>
  <c r="D393" i="6"/>
  <c r="E380" i="6"/>
  <c r="D375" i="6"/>
  <c r="E362" i="6"/>
  <c r="D353" i="6"/>
  <c r="E340" i="6"/>
  <c r="D332" i="6"/>
  <c r="E325" i="6"/>
  <c r="D322" i="6"/>
  <c r="E317" i="6"/>
  <c r="D314" i="6"/>
  <c r="E309" i="6"/>
  <c r="D306" i="6"/>
  <c r="E301" i="6"/>
  <c r="D298" i="6"/>
  <c r="E289" i="6"/>
  <c r="D289" i="6"/>
  <c r="D282" i="6"/>
  <c r="E274" i="6"/>
  <c r="D267" i="6"/>
  <c r="E262" i="6"/>
  <c r="D258" i="6"/>
  <c r="E253" i="6"/>
  <c r="D249" i="6"/>
  <c r="D244" i="6"/>
  <c r="D240" i="6"/>
  <c r="E230" i="6"/>
  <c r="D225" i="6"/>
  <c r="E222" i="6"/>
  <c r="D217" i="6"/>
  <c r="E214" i="6"/>
  <c r="D209" i="6"/>
  <c r="E206" i="6"/>
  <c r="D201" i="6"/>
  <c r="E198" i="6"/>
  <c r="D193" i="6"/>
  <c r="E190" i="6"/>
  <c r="D185" i="6"/>
  <c r="E182" i="6"/>
  <c r="D177" i="6"/>
  <c r="E174" i="6"/>
  <c r="D169" i="6"/>
  <c r="E166" i="6"/>
  <c r="D161" i="6"/>
  <c r="E160" i="6"/>
  <c r="D153" i="6"/>
  <c r="E152" i="6"/>
  <c r="E148" i="6"/>
  <c r="D145" i="6"/>
  <c r="E140" i="6"/>
  <c r="D137" i="6"/>
  <c r="D291" i="6"/>
  <c r="E287" i="6"/>
  <c r="E284" i="6"/>
  <c r="E281" i="6"/>
  <c r="D274" i="6"/>
  <c r="E266" i="6"/>
  <c r="E257" i="6"/>
  <c r="D253" i="6"/>
  <c r="E248" i="6"/>
  <c r="D243" i="6"/>
  <c r="E239" i="6"/>
  <c r="E234" i="6"/>
  <c r="D230" i="6"/>
  <c r="E227" i="6"/>
  <c r="D222" i="6"/>
  <c r="E219" i="6"/>
  <c r="D214" i="6"/>
  <c r="E211" i="6"/>
  <c r="D206" i="6"/>
  <c r="E203" i="6"/>
  <c r="D198" i="6"/>
  <c r="E195" i="6"/>
  <c r="D190" i="6"/>
  <c r="E187" i="6"/>
  <c r="D182" i="6"/>
  <c r="E179" i="6"/>
  <c r="D174" i="6"/>
  <c r="E171" i="6"/>
  <c r="D166" i="6"/>
  <c r="E163" i="6"/>
  <c r="D160" i="6"/>
  <c r="E159" i="6"/>
  <c r="D152" i="6"/>
  <c r="E151" i="6"/>
  <c r="D148" i="6"/>
  <c r="E143" i="6"/>
  <c r="D140" i="6"/>
  <c r="E135" i="6"/>
  <c r="D281" i="6"/>
  <c r="E280" i="6"/>
  <c r="E273" i="6"/>
  <c r="D266" i="6"/>
  <c r="E261" i="6"/>
  <c r="D257" i="6"/>
  <c r="D252" i="6"/>
  <c r="D248" i="6"/>
  <c r="E238" i="6"/>
  <c r="D234" i="6"/>
  <c r="D227" i="6"/>
  <c r="E224" i="6"/>
  <c r="D219" i="6"/>
  <c r="E216" i="6"/>
  <c r="D211" i="6"/>
  <c r="E208" i="6"/>
  <c r="D203" i="6"/>
  <c r="E200" i="6"/>
  <c r="D195" i="6"/>
  <c r="E192" i="6"/>
  <c r="D187" i="6"/>
  <c r="E184" i="6"/>
  <c r="D179" i="6"/>
  <c r="E176" i="6"/>
  <c r="D171" i="6"/>
  <c r="E168" i="6"/>
  <c r="D163" i="6"/>
  <c r="E279" i="6"/>
  <c r="D273" i="6"/>
  <c r="E272" i="6"/>
  <c r="E265" i="6"/>
  <c r="D261" i="6"/>
  <c r="E256" i="6"/>
  <c r="D251" i="6"/>
  <c r="E247" i="6"/>
  <c r="E242" i="6"/>
  <c r="E233" i="6"/>
  <c r="E229" i="6"/>
  <c r="D224" i="6"/>
  <c r="E221" i="6"/>
  <c r="D216" i="6"/>
  <c r="E213" i="6"/>
  <c r="D208" i="6"/>
  <c r="E205" i="6"/>
  <c r="D200" i="6"/>
  <c r="E197" i="6"/>
  <c r="D192" i="6"/>
  <c r="E189" i="6"/>
  <c r="D184" i="6"/>
  <c r="E181" i="6"/>
  <c r="D176" i="6"/>
  <c r="E173" i="6"/>
  <c r="D168" i="6"/>
  <c r="E165" i="6"/>
  <c r="E290" i="6"/>
  <c r="D288" i="6"/>
  <c r="D285" i="6"/>
  <c r="E278" i="6"/>
  <c r="E271" i="6"/>
  <c r="D265" i="6"/>
  <c r="D260" i="6"/>
  <c r="D256" i="6"/>
  <c r="E246" i="6"/>
  <c r="D242" i="6"/>
  <c r="E237" i="6"/>
  <c r="D233" i="6"/>
  <c r="D229" i="6"/>
  <c r="E226" i="6"/>
  <c r="D221" i="6"/>
  <c r="E218" i="6"/>
  <c r="D213" i="6"/>
  <c r="E210" i="6"/>
  <c r="D205" i="6"/>
  <c r="E202" i="6"/>
  <c r="D197" i="6"/>
  <c r="E194" i="6"/>
  <c r="D189" i="6"/>
  <c r="E186" i="6"/>
  <c r="D181" i="6"/>
  <c r="E178" i="6"/>
  <c r="D173" i="6"/>
  <c r="E170" i="6"/>
  <c r="D165" i="6"/>
  <c r="D277" i="6"/>
  <c r="E270" i="6"/>
  <c r="E264" i="6"/>
  <c r="D259" i="6"/>
  <c r="E255" i="6"/>
  <c r="E250" i="6"/>
  <c r="E241" i="6"/>
  <c r="D237" i="6"/>
  <c r="E232" i="6"/>
  <c r="D226" i="6"/>
  <c r="E223" i="6"/>
  <c r="D218" i="6"/>
  <c r="E215" i="6"/>
  <c r="D210" i="6"/>
  <c r="E207" i="6"/>
  <c r="D202" i="6"/>
  <c r="E199" i="6"/>
  <c r="D194" i="6"/>
  <c r="E191" i="6"/>
  <c r="D186" i="6"/>
  <c r="E183" i="6"/>
  <c r="D178" i="6"/>
  <c r="E175" i="6"/>
  <c r="D170" i="6"/>
  <c r="E167" i="6"/>
  <c r="E292" i="6"/>
  <c r="E286" i="6"/>
  <c r="D283" i="6"/>
  <c r="D276" i="6"/>
  <c r="D269" i="6"/>
  <c r="D264" i="6"/>
  <c r="E254" i="6"/>
  <c r="D250" i="6"/>
  <c r="E245" i="6"/>
  <c r="D241" i="6"/>
  <c r="D236" i="6"/>
  <c r="D232" i="6"/>
  <c r="E228" i="6"/>
  <c r="D223" i="6"/>
  <c r="E220" i="6"/>
  <c r="D215" i="6"/>
  <c r="E212" i="6"/>
  <c r="D207" i="6"/>
  <c r="E204" i="6"/>
  <c r="D199" i="6"/>
  <c r="E196" i="6"/>
  <c r="D191" i="6"/>
  <c r="E188" i="6"/>
  <c r="D183" i="6"/>
  <c r="E180" i="6"/>
  <c r="D175" i="6"/>
  <c r="E172" i="6"/>
  <c r="D167" i="6"/>
  <c r="E164" i="6"/>
  <c r="E282" i="6"/>
  <c r="E201" i="6"/>
  <c r="D172" i="6"/>
  <c r="D150" i="6"/>
  <c r="E149" i="6"/>
  <c r="E147" i="6"/>
  <c r="E145" i="6"/>
  <c r="E131" i="6"/>
  <c r="D128" i="6"/>
  <c r="E123" i="6"/>
  <c r="D120" i="6"/>
  <c r="E115" i="6"/>
  <c r="D112" i="6"/>
  <c r="E107" i="6"/>
  <c r="D104" i="6"/>
  <c r="E99" i="6"/>
  <c r="D96" i="6"/>
  <c r="E91" i="6"/>
  <c r="D88" i="6"/>
  <c r="E83" i="6"/>
  <c r="D80" i="6"/>
  <c r="E75" i="6"/>
  <c r="D72" i="6"/>
  <c r="E67" i="6"/>
  <c r="D64" i="6"/>
  <c r="E59" i="6"/>
  <c r="D56" i="6"/>
  <c r="E51" i="6"/>
  <c r="D48" i="6"/>
  <c r="E43" i="6"/>
  <c r="D40" i="6"/>
  <c r="E35" i="6"/>
  <c r="D32" i="6"/>
  <c r="E27" i="6"/>
  <c r="D24" i="6"/>
  <c r="E19" i="6"/>
  <c r="D16" i="6"/>
  <c r="E11" i="6"/>
  <c r="D8" i="6"/>
  <c r="E231" i="6"/>
  <c r="E225" i="6"/>
  <c r="D196" i="6"/>
  <c r="E158" i="6"/>
  <c r="E153" i="6"/>
  <c r="D149" i="6"/>
  <c r="D147" i="6"/>
  <c r="E138" i="6"/>
  <c r="E136" i="6"/>
  <c r="D131" i="6"/>
  <c r="E126" i="6"/>
  <c r="D123" i="6"/>
  <c r="E118" i="6"/>
  <c r="D115" i="6"/>
  <c r="E110" i="6"/>
  <c r="D107" i="6"/>
  <c r="E102" i="6"/>
  <c r="D99" i="6"/>
  <c r="E94" i="6"/>
  <c r="D91" i="6"/>
  <c r="E86" i="6"/>
  <c r="D83" i="6"/>
  <c r="E78" i="6"/>
  <c r="D75" i="6"/>
  <c r="E70" i="6"/>
  <c r="D67" i="6"/>
  <c r="E62" i="6"/>
  <c r="D59" i="6"/>
  <c r="E54" i="6"/>
  <c r="D51" i="6"/>
  <c r="E46" i="6"/>
  <c r="D43" i="6"/>
  <c r="E38" i="6"/>
  <c r="D35" i="6"/>
  <c r="E30" i="6"/>
  <c r="D27" i="6"/>
  <c r="E22" i="6"/>
  <c r="D19" i="6"/>
  <c r="E14" i="6"/>
  <c r="D11" i="6"/>
  <c r="E6" i="6"/>
  <c r="D286" i="6"/>
  <c r="D268" i="6"/>
  <c r="E263" i="6"/>
  <c r="E258" i="6"/>
  <c r="D220" i="6"/>
  <c r="E185" i="6"/>
  <c r="D159" i="6"/>
  <c r="D158" i="6"/>
  <c r="E157" i="6"/>
  <c r="E154" i="6"/>
  <c r="D138" i="6"/>
  <c r="D136" i="6"/>
  <c r="E134" i="6"/>
  <c r="E129" i="6"/>
  <c r="D126" i="6"/>
  <c r="E121" i="6"/>
  <c r="D118" i="6"/>
  <c r="E113" i="6"/>
  <c r="D110" i="6"/>
  <c r="E105" i="6"/>
  <c r="D102" i="6"/>
  <c r="E97" i="6"/>
  <c r="D94" i="6"/>
  <c r="E89" i="6"/>
  <c r="D86" i="6"/>
  <c r="E81" i="6"/>
  <c r="D78" i="6"/>
  <c r="E73" i="6"/>
  <c r="D70" i="6"/>
  <c r="E65" i="6"/>
  <c r="D62" i="6"/>
  <c r="E57" i="6"/>
  <c r="D54" i="6"/>
  <c r="E49" i="6"/>
  <c r="D46" i="6"/>
  <c r="E41" i="6"/>
  <c r="D38" i="6"/>
  <c r="E33" i="6"/>
  <c r="D30" i="6"/>
  <c r="E25" i="6"/>
  <c r="D22" i="6"/>
  <c r="E17" i="6"/>
  <c r="D14" i="6"/>
  <c r="E9" i="6"/>
  <c r="D6" i="6"/>
  <c r="E209" i="6"/>
  <c r="D180" i="6"/>
  <c r="D157" i="6"/>
  <c r="E156" i="6"/>
  <c r="E155" i="6"/>
  <c r="D154" i="6"/>
  <c r="E146" i="6"/>
  <c r="E144" i="6"/>
  <c r="E142" i="6"/>
  <c r="D134" i="6"/>
  <c r="E132" i="6"/>
  <c r="D129" i="6"/>
  <c r="E124" i="6"/>
  <c r="D121" i="6"/>
  <c r="E116" i="6"/>
  <c r="D113" i="6"/>
  <c r="E108" i="6"/>
  <c r="D105" i="6"/>
  <c r="E100" i="6"/>
  <c r="D97" i="6"/>
  <c r="E92" i="6"/>
  <c r="D89" i="6"/>
  <c r="E84" i="6"/>
  <c r="D81" i="6"/>
  <c r="E76" i="6"/>
  <c r="D73" i="6"/>
  <c r="E68" i="6"/>
  <c r="D65" i="6"/>
  <c r="E60" i="6"/>
  <c r="D57" i="6"/>
  <c r="E52" i="6"/>
  <c r="D49" i="6"/>
  <c r="E44" i="6"/>
  <c r="D41" i="6"/>
  <c r="E36" i="6"/>
  <c r="D33" i="6"/>
  <c r="E28" i="6"/>
  <c r="D25" i="6"/>
  <c r="E20" i="6"/>
  <c r="D17" i="6"/>
  <c r="E12" i="6"/>
  <c r="D9" i="6"/>
  <c r="E4" i="6"/>
  <c r="D275" i="6"/>
  <c r="D228" i="6"/>
  <c r="E193" i="6"/>
  <c r="E162" i="6"/>
  <c r="E130" i="6"/>
  <c r="D127" i="6"/>
  <c r="E122" i="6"/>
  <c r="D119" i="6"/>
  <c r="E114" i="6"/>
  <c r="D111" i="6"/>
  <c r="E106" i="6"/>
  <c r="D103" i="6"/>
  <c r="E98" i="6"/>
  <c r="D95" i="6"/>
  <c r="E90" i="6"/>
  <c r="D87" i="6"/>
  <c r="E82" i="6"/>
  <c r="D79" i="6"/>
  <c r="E74" i="6"/>
  <c r="D71" i="6"/>
  <c r="E66" i="6"/>
  <c r="D63" i="6"/>
  <c r="E58" i="6"/>
  <c r="D55" i="6"/>
  <c r="E50" i="6"/>
  <c r="D47" i="6"/>
  <c r="E42" i="6"/>
  <c r="D39" i="6"/>
  <c r="E34" i="6"/>
  <c r="D31" i="6"/>
  <c r="E26" i="6"/>
  <c r="D23" i="6"/>
  <c r="E18" i="6"/>
  <c r="D15" i="6"/>
  <c r="E10" i="6"/>
  <c r="D7" i="6"/>
  <c r="D245" i="6"/>
  <c r="E240" i="6"/>
  <c r="E217" i="6"/>
  <c r="D188" i="6"/>
  <c r="D164" i="6"/>
  <c r="D162" i="6"/>
  <c r="E141" i="6"/>
  <c r="E139" i="6"/>
  <c r="E137" i="6"/>
  <c r="D135" i="6"/>
  <c r="E133" i="6"/>
  <c r="D130" i="6"/>
  <c r="E125" i="6"/>
  <c r="D122" i="6"/>
  <c r="E117" i="6"/>
  <c r="D114" i="6"/>
  <c r="E109" i="6"/>
  <c r="D106" i="6"/>
  <c r="E101" i="6"/>
  <c r="D98" i="6"/>
  <c r="E93" i="6"/>
  <c r="D90" i="6"/>
  <c r="E85" i="6"/>
  <c r="D82" i="6"/>
  <c r="E77" i="6"/>
  <c r="D74" i="6"/>
  <c r="E69" i="6"/>
  <c r="D66" i="6"/>
  <c r="E61" i="6"/>
  <c r="D58" i="6"/>
  <c r="E53" i="6"/>
  <c r="D50" i="6"/>
  <c r="E45" i="6"/>
  <c r="D42" i="6"/>
  <c r="E37" i="6"/>
  <c r="D34" i="6"/>
  <c r="E29" i="6"/>
  <c r="D26" i="6"/>
  <c r="E21" i="6"/>
  <c r="D18" i="6"/>
  <c r="E13" i="6"/>
  <c r="D10" i="6"/>
  <c r="E5" i="6"/>
  <c r="D156" i="6"/>
  <c r="D141" i="6"/>
  <c r="D133" i="6"/>
  <c r="E120" i="6"/>
  <c r="D101" i="6"/>
  <c r="E88" i="6"/>
  <c r="D69" i="6"/>
  <c r="E56" i="6"/>
  <c r="D37" i="6"/>
  <c r="E24" i="6"/>
  <c r="D5" i="6"/>
  <c r="D132" i="6"/>
  <c r="E119" i="6"/>
  <c r="D100" i="6"/>
  <c r="E87" i="6"/>
  <c r="D68" i="6"/>
  <c r="E55" i="6"/>
  <c r="D36" i="6"/>
  <c r="E23" i="6"/>
  <c r="D4" i="6"/>
  <c r="D212" i="6"/>
  <c r="E177" i="6"/>
  <c r="D139" i="6"/>
  <c r="D125" i="6"/>
  <c r="E112" i="6"/>
  <c r="D93" i="6"/>
  <c r="E80" i="6"/>
  <c r="D61" i="6"/>
  <c r="E48" i="6"/>
  <c r="D29" i="6"/>
  <c r="E16" i="6"/>
  <c r="D146" i="6"/>
  <c r="D124" i="6"/>
  <c r="E111" i="6"/>
  <c r="D92" i="6"/>
  <c r="E79" i="6"/>
  <c r="D60" i="6"/>
  <c r="E47" i="6"/>
  <c r="D28" i="6"/>
  <c r="E15" i="6"/>
  <c r="D204" i="6"/>
  <c r="E169" i="6"/>
  <c r="E150" i="6"/>
  <c r="D117" i="6"/>
  <c r="E104" i="6"/>
  <c r="D85" i="6"/>
  <c r="E72" i="6"/>
  <c r="D53" i="6"/>
  <c r="E40" i="6"/>
  <c r="D21" i="6"/>
  <c r="E8" i="6"/>
  <c r="D155" i="6"/>
  <c r="D144" i="6"/>
  <c r="D116" i="6"/>
  <c r="E103" i="6"/>
  <c r="D84" i="6"/>
  <c r="E71" i="6"/>
  <c r="D52" i="6"/>
  <c r="E39" i="6"/>
  <c r="D20" i="6"/>
  <c r="E7" i="6"/>
  <c r="D235" i="6"/>
  <c r="D143" i="6"/>
  <c r="E128" i="6"/>
  <c r="D109" i="6"/>
  <c r="E96" i="6"/>
  <c r="D77" i="6"/>
  <c r="E64" i="6"/>
  <c r="D45" i="6"/>
  <c r="E32" i="6"/>
  <c r="D13" i="6"/>
  <c r="D108" i="6"/>
  <c r="E161" i="6"/>
  <c r="D151" i="6"/>
  <c r="E95" i="6"/>
  <c r="D44" i="6"/>
  <c r="D142" i="6"/>
  <c r="E31" i="6"/>
  <c r="E249" i="6"/>
  <c r="E127" i="6"/>
  <c r="D76" i="6"/>
  <c r="E63" i="6"/>
  <c r="D12" i="6"/>
  <c r="FE48" i="2"/>
  <c r="EW38" i="2"/>
  <c r="GV31" i="2"/>
  <c r="ER30" i="2"/>
  <c r="FU75" i="2" a="1"/>
  <c r="FU75" i="2" s="1"/>
  <c r="GD75" i="2" a="1"/>
  <c r="GD75" i="2" s="1"/>
  <c r="FO75" i="2" a="1"/>
  <c r="FO75" i="2" s="1"/>
  <c r="FW75" i="2" a="1"/>
  <c r="FW75" i="2" s="1"/>
  <c r="GC75" i="2" a="1"/>
  <c r="GC75" i="2" s="1"/>
  <c r="DY39" i="2"/>
  <c r="GW31" i="2"/>
  <c r="DY21" i="2"/>
  <c r="EP28" i="2"/>
  <c r="FE28" i="2"/>
  <c r="GX31" i="2"/>
  <c r="FE22" i="2"/>
  <c r="EL22" i="2"/>
  <c r="L13" i="2"/>
  <c r="Q13" i="2"/>
  <c r="EZ26" i="2"/>
  <c r="FG28" i="2"/>
  <c r="ES22" i="2"/>
  <c r="ER32" i="2"/>
  <c r="ER22" i="2"/>
  <c r="GV61" i="2"/>
  <c r="EX58" i="2"/>
  <c r="FO160" i="2" a="1"/>
  <c r="FO160" i="2" s="1"/>
  <c r="FT160" i="2" a="1"/>
  <c r="FT160" i="2" s="1"/>
  <c r="GK160" i="2" a="1"/>
  <c r="GK160" i="2" s="1"/>
  <c r="FZ160" i="2" a="1"/>
  <c r="FZ160" i="2" s="1"/>
  <c r="FX165" i="2" a="1"/>
  <c r="FX165" i="2" s="1"/>
  <c r="GH165" i="2" a="1"/>
  <c r="GH165" i="2" s="1"/>
  <c r="FY170" i="2" a="1"/>
  <c r="FY170" i="2" s="1"/>
  <c r="FP170" i="2" a="1"/>
  <c r="FP170" i="2" s="1"/>
  <c r="FU170" i="2" a="1"/>
  <c r="FU170" i="2" s="1"/>
  <c r="FW170" i="2" a="1"/>
  <c r="FW170" i="2" s="1"/>
  <c r="CK55" i="2"/>
  <c r="CC55" i="2"/>
  <c r="BU55" i="2"/>
  <c r="CJ55" i="2"/>
  <c r="CB55" i="2"/>
  <c r="BT55" i="2"/>
  <c r="CH55" i="2"/>
  <c r="BZ55" i="2"/>
  <c r="CF55" i="2"/>
  <c r="BS55" i="2"/>
  <c r="CE55" i="2"/>
  <c r="CD55" i="2"/>
  <c r="CA55" i="2"/>
  <c r="BY55" i="2"/>
  <c r="CL55" i="2"/>
  <c r="BX55" i="2"/>
  <c r="CI55" i="2"/>
  <c r="CG55" i="2"/>
  <c r="BW55" i="2"/>
  <c r="BV55" i="2"/>
  <c r="FE58" i="2"/>
  <c r="EZ56" i="2"/>
  <c r="DQ51" i="2"/>
  <c r="EL52" i="2"/>
  <c r="CH51" i="2"/>
  <c r="BZ51" i="2"/>
  <c r="CG51" i="2"/>
  <c r="BY51" i="2"/>
  <c r="CE51" i="2"/>
  <c r="BW51" i="2"/>
  <c r="CL51" i="2"/>
  <c r="CA51" i="2"/>
  <c r="CK51" i="2"/>
  <c r="BX51" i="2"/>
  <c r="CJ51" i="2"/>
  <c r="BV51" i="2"/>
  <c r="CI51" i="2"/>
  <c r="BU51" i="2"/>
  <c r="CD51" i="2"/>
  <c r="BS51" i="2"/>
  <c r="CF51" i="2"/>
  <c r="CC51" i="2"/>
  <c r="CB51" i="2"/>
  <c r="BT51" i="2"/>
  <c r="FP155" i="2" a="1"/>
  <c r="FP155" i="2" s="1"/>
  <c r="GG155" i="2" a="1"/>
  <c r="GG155" i="2" s="1"/>
  <c r="FV155" i="2" a="1"/>
  <c r="FV155" i="2" s="1"/>
  <c r="GB135" i="2" a="1"/>
  <c r="GB135" i="2" s="1"/>
  <c r="FZ135" i="2" a="1"/>
  <c r="FZ135" i="2" s="1"/>
  <c r="FR135" i="2" a="1"/>
  <c r="FR135" i="2" s="1"/>
  <c r="GI135" i="2" a="1"/>
  <c r="GI135" i="2" s="1"/>
  <c r="EO62" i="2"/>
  <c r="FG46" i="2"/>
  <c r="EY46" i="2"/>
  <c r="EQ46" i="2"/>
  <c r="GY45" i="2"/>
  <c r="EH46" i="2"/>
  <c r="EF46" i="2" s="1" a="1"/>
  <c r="EF46" i="2" s="1"/>
  <c r="EF45" i="2" s="1"/>
  <c r="GX45" i="2"/>
  <c r="GW45" i="2"/>
  <c r="GV45" i="2"/>
  <c r="GT45" i="2"/>
  <c r="FA46" i="2"/>
  <c r="EZ46" i="2"/>
  <c r="ES46" i="2"/>
  <c r="EK46" i="2"/>
  <c r="GU45" i="2"/>
  <c r="FK46" i="2"/>
  <c r="FI46" i="2"/>
  <c r="FH46" i="2"/>
  <c r="ER46" i="2"/>
  <c r="GI110" i="2" a="1"/>
  <c r="GI110" i="2" s="1"/>
  <c r="FW110" i="2" a="1"/>
  <c r="FW110" i="2" s="1"/>
  <c r="FS110" i="2" a="1"/>
  <c r="FS110" i="2" s="1"/>
  <c r="FT110" i="2" a="1"/>
  <c r="FT110" i="2" s="1"/>
  <c r="FK58" i="2"/>
  <c r="ES56" i="2"/>
  <c r="EO52" i="2"/>
  <c r="FU140" i="2" a="1"/>
  <c r="FU140" i="2" s="1"/>
  <c r="FS140" i="2" a="1"/>
  <c r="FS140" i="2" s="1"/>
  <c r="FT140" i="2" a="1"/>
  <c r="FT140" i="2" s="1"/>
  <c r="GL140" i="2" a="1"/>
  <c r="GL140" i="2" s="1"/>
  <c r="ER48" i="2"/>
  <c r="EL48" i="2"/>
  <c r="FT145" i="2" a="1"/>
  <c r="FT145" i="2" s="1"/>
  <c r="GK145" i="2" a="1"/>
  <c r="GK145" i="2" s="1"/>
  <c r="FZ145" i="2" a="1"/>
  <c r="FZ145" i="2" s="1"/>
  <c r="CF49" i="2"/>
  <c r="BX49" i="2"/>
  <c r="CE49" i="2"/>
  <c r="BW49" i="2"/>
  <c r="CG49" i="2"/>
  <c r="BU49" i="2"/>
  <c r="CD49" i="2"/>
  <c r="BT49" i="2"/>
  <c r="CC49" i="2"/>
  <c r="BS49" i="2"/>
  <c r="CL49" i="2"/>
  <c r="CB49" i="2"/>
  <c r="CJ49" i="2"/>
  <c r="BZ49" i="2"/>
  <c r="CA49" i="2"/>
  <c r="BY49" i="2"/>
  <c r="BV49" i="2"/>
  <c r="CK49" i="2"/>
  <c r="CI49" i="2"/>
  <c r="CH49" i="2"/>
  <c r="EQ50" i="2"/>
  <c r="EZ50" i="2"/>
  <c r="FP150" i="2" a="1"/>
  <c r="FP150" i="2" s="1"/>
  <c r="GG150" i="2" a="1"/>
  <c r="GG150" i="2" s="1"/>
  <c r="FV150" i="2" a="1"/>
  <c r="FV150" i="2" s="1"/>
  <c r="EU40" i="2"/>
  <c r="GF125" i="2" a="1"/>
  <c r="GF125" i="2" s="1"/>
  <c r="FP125" i="2" a="1"/>
  <c r="FP125" i="2" s="1"/>
  <c r="FZ125" i="2" a="1"/>
  <c r="FZ125" i="2" s="1"/>
  <c r="GN125" i="2" a="1"/>
  <c r="GN125" i="2" s="1"/>
  <c r="CK35" i="2"/>
  <c r="CC35" i="2"/>
  <c r="BU35" i="2"/>
  <c r="CI35" i="2"/>
  <c r="CA35" i="2"/>
  <c r="BS35" i="2"/>
  <c r="CE35" i="2"/>
  <c r="BT35" i="2"/>
  <c r="CD35" i="2"/>
  <c r="CB35" i="2"/>
  <c r="CJ35" i="2"/>
  <c r="BY35" i="2"/>
  <c r="CL35" i="2"/>
  <c r="CH35" i="2"/>
  <c r="CG35" i="2"/>
  <c r="CF35" i="2"/>
  <c r="BZ35" i="2"/>
  <c r="BX35" i="2"/>
  <c r="BV35" i="2"/>
  <c r="BW35" i="2"/>
  <c r="EI60" i="2"/>
  <c r="EN60" i="2"/>
  <c r="FA38" i="2"/>
  <c r="EO36" i="2"/>
  <c r="FS115" i="2" a="1"/>
  <c r="FS115" i="2" s="1"/>
  <c r="FP115" i="2" a="1"/>
  <c r="FP115" i="2" s="1"/>
  <c r="GG115" i="2" a="1"/>
  <c r="GG115" i="2" s="1"/>
  <c r="GP115" i="2" a="1"/>
  <c r="GP115" i="2" s="1"/>
  <c r="EV58" i="2"/>
  <c r="FG50" i="2"/>
  <c r="DR45" i="2"/>
  <c r="DQ41" i="2"/>
  <c r="EK42" i="2"/>
  <c r="FW130" i="2" a="1"/>
  <c r="FW130" i="2" s="1"/>
  <c r="FQ130" i="2" a="1"/>
  <c r="FQ130" i="2" s="1"/>
  <c r="GC130" i="2" a="1"/>
  <c r="GC130" i="2" s="1"/>
  <c r="FP130" i="2" a="1"/>
  <c r="FP130" i="2" s="1"/>
  <c r="DQ39" i="2"/>
  <c r="DX39" i="2"/>
  <c r="DR37" i="2"/>
  <c r="FR120" i="2" a="1"/>
  <c r="FR120" i="2" s="1"/>
  <c r="FP120" i="2" a="1"/>
  <c r="FP120" i="2" s="1"/>
  <c r="GB120" i="2" a="1"/>
  <c r="GB120" i="2" s="1"/>
  <c r="GC120" i="2" a="1"/>
  <c r="GC120" i="2" s="1"/>
  <c r="GQ120" i="2" a="1"/>
  <c r="GQ120" i="2" s="1"/>
  <c r="EV36" i="2"/>
  <c r="FJ30" i="2"/>
  <c r="EX30" i="2"/>
  <c r="GI100" i="2" a="1"/>
  <c r="GI100" i="2" s="1"/>
  <c r="FT100" i="2" a="1"/>
  <c r="FT100" i="2" s="1"/>
  <c r="FU100" i="2" a="1"/>
  <c r="FU100" i="2" s="1"/>
  <c r="EM24" i="2"/>
  <c r="DQ45" i="2"/>
  <c r="CE31" i="2"/>
  <c r="BW31" i="2"/>
  <c r="CI31" i="2"/>
  <c r="CA31" i="2"/>
  <c r="BS31" i="2"/>
  <c r="CD31" i="2"/>
  <c r="BT31" i="2"/>
  <c r="CC31" i="2"/>
  <c r="CL31" i="2"/>
  <c r="CB31" i="2"/>
  <c r="CF31" i="2"/>
  <c r="CK31" i="2"/>
  <c r="BZ31" i="2"/>
  <c r="CJ31" i="2"/>
  <c r="BY31" i="2"/>
  <c r="BU31" i="2"/>
  <c r="CH31" i="2"/>
  <c r="BX31" i="2"/>
  <c r="CG31" i="2"/>
  <c r="BV31" i="2"/>
  <c r="FK26" i="2"/>
  <c r="FH20" i="2"/>
  <c r="CO42" i="2"/>
  <c r="FE50" i="2"/>
  <c r="FA32" i="2"/>
  <c r="FY105" i="2" a="1"/>
  <c r="FY105" i="2" s="1"/>
  <c r="GD105" i="2" a="1"/>
  <c r="GD105" i="2" s="1"/>
  <c r="FV105" i="2" a="1"/>
  <c r="FV105" i="2" s="1"/>
  <c r="FO105" i="2" a="1"/>
  <c r="FO105" i="2" s="1"/>
  <c r="EY32" i="2"/>
  <c r="GH85" i="2" a="1"/>
  <c r="GH85" i="2" s="1"/>
  <c r="FR85" i="2" a="1"/>
  <c r="FR85" i="2" s="1"/>
  <c r="GI85" i="2" a="1"/>
  <c r="GI85" i="2" s="1"/>
  <c r="FT85" i="2" a="1"/>
  <c r="FT85" i="2" s="1"/>
  <c r="FU85" i="2" a="1"/>
  <c r="FU85" i="2" s="1"/>
  <c r="FH24" i="2"/>
  <c r="GP80" i="2" a="1"/>
  <c r="GP80" i="2" s="1"/>
  <c r="GD80" i="2" a="1"/>
  <c r="GD80" i="2" s="1"/>
  <c r="GA80" i="2" a="1"/>
  <c r="GA80" i="2" s="1"/>
  <c r="FQ80" i="2" a="1"/>
  <c r="FQ80" i="2" s="1"/>
  <c r="GY31" i="2"/>
  <c r="GT35" i="2"/>
  <c r="EV32" i="2"/>
  <c r="GP95" i="2" a="1"/>
  <c r="GP95" i="2" s="1"/>
  <c r="FS95" i="2" a="1"/>
  <c r="FS95" i="2" s="1"/>
  <c r="GJ95" i="2" a="1"/>
  <c r="GJ95" i="2" s="1"/>
  <c r="GK95" i="2" a="1"/>
  <c r="GK95" i="2" s="1"/>
  <c r="GD89" i="2" a="1"/>
  <c r="GD89" i="2" s="1"/>
  <c r="FW89" i="2" a="1"/>
  <c r="FW89" i="2" s="1"/>
  <c r="GN89" i="2" a="1"/>
  <c r="GN89" i="2" s="1"/>
  <c r="GO89" i="2" a="1"/>
  <c r="GO89" i="2" s="1"/>
  <c r="EI24" i="2"/>
  <c r="C13" i="7"/>
  <c r="C11" i="7"/>
  <c r="C9" i="7"/>
  <c r="C7" i="7"/>
  <c r="C5" i="7"/>
  <c r="B13" i="7"/>
  <c r="D13" i="7" s="1"/>
  <c r="E13" i="7" s="1"/>
  <c r="B11" i="7"/>
  <c r="D11" i="7" s="1"/>
  <c r="E11" i="7" s="1"/>
  <c r="B9" i="7"/>
  <c r="D9" i="7" s="1"/>
  <c r="E9" i="7" s="1"/>
  <c r="B7" i="7"/>
  <c r="D7" i="7" s="1"/>
  <c r="E7" i="7" s="1"/>
  <c r="B5" i="7"/>
  <c r="D5" i="7" s="1"/>
  <c r="E5" i="7" s="1"/>
  <c r="C12" i="7"/>
  <c r="C10" i="7"/>
  <c r="C8" i="7"/>
  <c r="C6" i="7"/>
  <c r="C4" i="7"/>
  <c r="B12" i="7"/>
  <c r="D12" i="7" s="1"/>
  <c r="E12" i="7" s="1"/>
  <c r="B10" i="7"/>
  <c r="D10" i="7" s="1"/>
  <c r="E10" i="7" s="1"/>
  <c r="B8" i="7"/>
  <c r="D8" i="7" s="1"/>
  <c r="E8" i="7" s="1"/>
  <c r="B6" i="7"/>
  <c r="D6" i="7" s="1"/>
  <c r="E6" i="7" s="1"/>
  <c r="B4" i="7"/>
  <c r="D4" i="7" s="1"/>
  <c r="E4" i="7" s="1"/>
  <c r="EI48" i="2"/>
  <c r="EK38" i="2"/>
  <c r="FF24" i="2"/>
  <c r="FX75" i="2" a="1"/>
  <c r="FX75" i="2" s="1"/>
  <c r="FT75" i="2" a="1"/>
  <c r="FT75" i="2" s="1"/>
  <c r="FP75" i="2" a="1"/>
  <c r="FP75" i="2" s="1"/>
  <c r="GB75" i="2" a="1"/>
  <c r="GB75" i="2" s="1"/>
  <c r="FI36" i="2"/>
  <c r="FG38" i="2"/>
  <c r="EU62" i="2"/>
  <c r="FK30" i="2"/>
  <c r="FH26" i="2"/>
  <c r="FI22" i="2"/>
  <c r="EV28" i="2"/>
  <c r="K13" i="2"/>
  <c r="J13" i="2"/>
  <c r="EX28" i="2"/>
  <c r="EY30" i="2"/>
  <c r="DX27" i="2"/>
  <c r="EZ68" i="2"/>
  <c r="EU66" i="2"/>
  <c r="EK62" i="2"/>
  <c r="AM58" i="2"/>
  <c r="AE58" i="2"/>
  <c r="W58" i="2"/>
  <c r="O58" i="2"/>
  <c r="AL58" i="2"/>
  <c r="AD58" i="2"/>
  <c r="V58" i="2"/>
  <c r="N58" i="2"/>
  <c r="AK58" i="2"/>
  <c r="AC58" i="2"/>
  <c r="U58" i="2"/>
  <c r="M58" i="2"/>
  <c r="AJ58" i="2"/>
  <c r="AB58" i="2"/>
  <c r="T58" i="2"/>
  <c r="L58" i="2"/>
  <c r="AH58" i="2"/>
  <c r="R58" i="2"/>
  <c r="AG58" i="2"/>
  <c r="Q58" i="2"/>
  <c r="EJ58" i="2"/>
  <c r="AF58" i="2"/>
  <c r="P58" i="2"/>
  <c r="AA58" i="2"/>
  <c r="K58" i="2"/>
  <c r="Z58" i="2"/>
  <c r="J58" i="2" a="1"/>
  <c r="J58" i="2" s="1"/>
  <c r="Y58" i="2"/>
  <c r="AI58" i="2"/>
  <c r="X58" i="2"/>
  <c r="S58" i="2"/>
  <c r="EP56" i="2"/>
  <c r="FE54" i="2"/>
  <c r="EZ62" i="2"/>
  <c r="EP58" i="2"/>
  <c r="FE56" i="2"/>
  <c r="GE160" i="2" a="1"/>
  <c r="GE160" i="2" s="1"/>
  <c r="FX160" i="2" a="1"/>
  <c r="FX160" i="2" s="1"/>
  <c r="GO160" i="2" a="1"/>
  <c r="GO160" i="2" s="1"/>
  <c r="GD160" i="2" a="1"/>
  <c r="GD160" i="2" s="1"/>
  <c r="FO165" i="2" a="1"/>
  <c r="FO165" i="2" s="1"/>
  <c r="GB165" i="2" a="1"/>
  <c r="GB165" i="2" s="1"/>
  <c r="FQ165" i="2" a="1"/>
  <c r="FQ165" i="2" s="1"/>
  <c r="GL165" i="2" a="1"/>
  <c r="GL165" i="2" s="1"/>
  <c r="GF170" i="2" a="1"/>
  <c r="GF170" i="2" s="1"/>
  <c r="GD170" i="2" a="1"/>
  <c r="GD170" i="2" s="1"/>
  <c r="GA170" i="2" a="1"/>
  <c r="GA170" i="2" s="1"/>
  <c r="GM110" i="2" a="1"/>
  <c r="GM110" i="2" s="1"/>
  <c r="EU58" i="2"/>
  <c r="EQ62" i="2"/>
  <c r="EL56" i="2"/>
  <c r="DY51" i="2"/>
  <c r="ET52" i="2"/>
  <c r="GI155" i="2" a="1"/>
  <c r="GI155" i="2" s="1"/>
  <c r="FT155" i="2" a="1"/>
  <c r="FT155" i="2" s="1"/>
  <c r="GK155" i="2" a="1"/>
  <c r="GK155" i="2" s="1"/>
  <c r="FZ155" i="2" a="1"/>
  <c r="FZ155" i="2" s="1"/>
  <c r="GM135" i="2" a="1"/>
  <c r="GM135" i="2" s="1"/>
  <c r="FQ135" i="2" a="1"/>
  <c r="FQ135" i="2" s="1"/>
  <c r="GC135" i="2" a="1"/>
  <c r="GC135" i="2" s="1"/>
  <c r="GN135" i="2" a="1"/>
  <c r="GN135" i="2" s="1"/>
  <c r="DX67" i="2"/>
  <c r="FB58" i="2"/>
  <c r="FK44" i="2"/>
  <c r="GC110" i="2" a="1"/>
  <c r="GC110" i="2" s="1"/>
  <c r="FY110" i="2" a="1"/>
  <c r="FY110" i="2" s="1"/>
  <c r="FX110" i="2" a="1"/>
  <c r="FX110" i="2" s="1"/>
  <c r="EO58" i="2"/>
  <c r="DX51" i="2"/>
  <c r="GI140" i="2" a="1"/>
  <c r="GI140" i="2" s="1"/>
  <c r="GG140" i="2" a="1"/>
  <c r="GG140" i="2" s="1"/>
  <c r="FW140" i="2" a="1"/>
  <c r="FW140" i="2" s="1"/>
  <c r="FX140" i="2" a="1"/>
  <c r="FX140" i="2" s="1"/>
  <c r="GP140" i="2" a="1"/>
  <c r="GP140" i="2" s="1"/>
  <c r="FI44" i="2"/>
  <c r="EZ48" i="2"/>
  <c r="ET48" i="2"/>
  <c r="CH47" i="2"/>
  <c r="BZ47" i="2"/>
  <c r="CG47" i="2"/>
  <c r="BY47" i="2"/>
  <c r="CF47" i="2"/>
  <c r="BX47" i="2"/>
  <c r="CE47" i="2"/>
  <c r="BW47" i="2"/>
  <c r="CK47" i="2"/>
  <c r="CC47" i="2"/>
  <c r="BU47" i="2"/>
  <c r="CA47" i="2"/>
  <c r="BV47" i="2"/>
  <c r="BT47" i="2"/>
  <c r="CL47" i="2"/>
  <c r="BS47" i="2"/>
  <c r="CJ47" i="2"/>
  <c r="CI47" i="2"/>
  <c r="CD47" i="2"/>
  <c r="CB47" i="2"/>
  <c r="FX145" i="2" a="1"/>
  <c r="FX145" i="2" s="1"/>
  <c r="GO145" i="2" a="1"/>
  <c r="GO145" i="2" s="1"/>
  <c r="GD145" i="2" a="1"/>
  <c r="GD145" i="2" s="1"/>
  <c r="FB46" i="2"/>
  <c r="FC50" i="2"/>
  <c r="FH50" i="2"/>
  <c r="FW150" i="2" a="1"/>
  <c r="FW150" i="2" s="1"/>
  <c r="FT150" i="2" a="1"/>
  <c r="FT150" i="2" s="1"/>
  <c r="GK150" i="2" a="1"/>
  <c r="GK150" i="2" s="1"/>
  <c r="FZ150" i="2" a="1"/>
  <c r="FZ150" i="2" s="1"/>
  <c r="FC40" i="2"/>
  <c r="FX125" i="2" a="1"/>
  <c r="FX125" i="2" s="1"/>
  <c r="FT125" i="2" a="1"/>
  <c r="FT125" i="2" s="1"/>
  <c r="FU125" i="2" a="1"/>
  <c r="FU125" i="2" s="1"/>
  <c r="GI125" i="2" a="1"/>
  <c r="GI125" i="2" s="1"/>
  <c r="FW115" i="2" a="1"/>
  <c r="FW115" i="2" s="1"/>
  <c r="ER60" i="2"/>
  <c r="EQ60" i="2"/>
  <c r="EK60" i="2"/>
  <c r="EV60" i="2"/>
  <c r="EP38" i="2"/>
  <c r="EW36" i="2"/>
  <c r="DX35" i="2"/>
  <c r="GE115" i="2" a="1"/>
  <c r="GE115" i="2" s="1"/>
  <c r="GA115" i="2" a="1"/>
  <c r="GA115" i="2" s="1"/>
  <c r="FV115" i="2" a="1"/>
  <c r="FV115" i="2" s="1"/>
  <c r="FT115" i="2" a="1"/>
  <c r="FT115" i="2" s="1"/>
  <c r="GK115" i="2" a="1"/>
  <c r="GK115" i="2" s="1"/>
  <c r="GY49" i="2"/>
  <c r="EH50" i="2"/>
  <c r="GX49" i="2"/>
  <c r="GV49" i="2"/>
  <c r="GU49" i="2"/>
  <c r="GT49" i="2"/>
  <c r="GW49" i="2"/>
  <c r="DY41" i="2"/>
  <c r="ES42" i="2"/>
  <c r="EM42" i="2"/>
  <c r="GL130" i="2" a="1"/>
  <c r="GL130" i="2" s="1"/>
  <c r="GR130" i="2" a="1"/>
  <c r="GR130" i="2" s="1"/>
  <c r="GH130" i="2" a="1"/>
  <c r="GH130" i="2" s="1"/>
  <c r="FU130" i="2" a="1"/>
  <c r="FU130" i="2" s="1"/>
  <c r="GA130" i="2" a="1"/>
  <c r="GA130" i="2" s="1"/>
  <c r="DM39" i="2"/>
  <c r="EL38" i="2"/>
  <c r="GA120" i="2" a="1"/>
  <c r="GA120" i="2" s="1"/>
  <c r="FW120" i="2" a="1"/>
  <c r="FW120" i="2" s="1"/>
  <c r="GG120" i="2" a="1"/>
  <c r="GG120" i="2" s="1"/>
  <c r="GL120" i="2" a="1"/>
  <c r="GL120" i="2" s="1"/>
  <c r="EL36" i="2"/>
  <c r="FF30" i="2"/>
  <c r="GH100" i="2" a="1"/>
  <c r="GH100" i="2" s="1"/>
  <c r="GM100" i="2" a="1"/>
  <c r="GM100" i="2" s="1"/>
  <c r="FX100" i="2" a="1"/>
  <c r="FX100" i="2" s="1"/>
  <c r="FY100" i="2" a="1"/>
  <c r="FY100" i="2" s="1"/>
  <c r="DY63" i="2"/>
  <c r="DQ53" i="2"/>
  <c r="FB26" i="2"/>
  <c r="FF22" i="2"/>
  <c r="CO21" i="2"/>
  <c r="A23" i="2"/>
  <c r="EZ20" i="2"/>
  <c r="FI32" i="2"/>
  <c r="GC105" i="2" a="1"/>
  <c r="GC105" i="2" s="1"/>
  <c r="GQ105" i="2" a="1"/>
  <c r="GQ105" i="2" s="1"/>
  <c r="FS105" i="2" a="1"/>
  <c r="FS105" i="2" s="1"/>
  <c r="FX105" i="2" a="1"/>
  <c r="FX105" i="2" s="1"/>
  <c r="EV30" i="2"/>
  <c r="GM85" i="2" a="1"/>
  <c r="GM85" i="2" s="1"/>
  <c r="FX85" i="2" a="1"/>
  <c r="FX85" i="2" s="1"/>
  <c r="FY85" i="2" a="1"/>
  <c r="FY85" i="2" s="1"/>
  <c r="FH32" i="2"/>
  <c r="EZ24" i="2"/>
  <c r="GE80" i="2" a="1"/>
  <c r="GE80" i="2" s="1"/>
  <c r="FU80" i="2" a="1"/>
  <c r="FU80" i="2" s="1"/>
  <c r="EX26" i="2"/>
  <c r="EL32" i="2"/>
  <c r="FD30" i="2"/>
  <c r="FR95" i="2" a="1"/>
  <c r="FR95" i="2" s="1"/>
  <c r="FW95" i="2" a="1"/>
  <c r="FW95" i="2" s="1"/>
  <c r="GN95" i="2" a="1"/>
  <c r="GN95" i="2" s="1"/>
  <c r="GO95" i="2" a="1"/>
  <c r="GO95" i="2" s="1"/>
  <c r="DX25" i="2"/>
  <c r="GA89" i="2" a="1"/>
  <c r="GA89" i="2" s="1"/>
  <c r="GR89" i="2" a="1"/>
  <c r="GR89" i="2" s="1"/>
  <c r="DX23" i="2"/>
  <c r="EP26" i="2"/>
  <c r="EX24" i="2"/>
  <c r="FZ75" i="2" a="1"/>
  <c r="FZ75" i="2" s="1"/>
  <c r="FV75" i="2" a="1"/>
  <c r="FV75" i="2" s="1"/>
  <c r="FQ75" i="2" a="1"/>
  <c r="FQ75" i="2" s="1"/>
  <c r="GH75" i="2" a="1"/>
  <c r="GH75" i="2" s="1"/>
  <c r="EL62" i="2"/>
  <c r="EV38" i="2"/>
  <c r="EI62" i="2"/>
  <c r="FD28" i="2"/>
  <c r="EM46" i="2"/>
  <c r="DX21" i="2"/>
  <c r="EK22" i="2"/>
  <c r="M13" i="2"/>
  <c r="ET22" i="2"/>
  <c r="AI28" i="2"/>
  <c r="AA28" i="2"/>
  <c r="S28" i="2"/>
  <c r="K28" i="2"/>
  <c r="AJ28" i="2"/>
  <c r="Z28" i="2"/>
  <c r="Q28" i="2"/>
  <c r="AH28" i="2"/>
  <c r="Y28" i="2"/>
  <c r="P28" i="2"/>
  <c r="AG28" i="2"/>
  <c r="X28" i="2"/>
  <c r="O28" i="2"/>
  <c r="AF28" i="2"/>
  <c r="W28" i="2"/>
  <c r="N28" i="2"/>
  <c r="AE28" i="2"/>
  <c r="V28" i="2"/>
  <c r="M28" i="2"/>
  <c r="AK28" i="2"/>
  <c r="R28" i="2"/>
  <c r="AM28" i="2"/>
  <c r="AD28" i="2"/>
  <c r="U28" i="2"/>
  <c r="L28" i="2"/>
  <c r="AL28" i="2"/>
  <c r="AC28" i="2"/>
  <c r="T28" i="2"/>
  <c r="J28" i="2" a="1"/>
  <c r="J28" i="2" s="1"/>
  <c r="EJ28" i="2"/>
  <c r="AB28" i="2"/>
  <c r="FA22" i="2"/>
  <c r="ES62" i="2"/>
  <c r="EX56" i="2"/>
  <c r="ER68" i="2"/>
  <c r="EM66" i="2"/>
  <c r="DX61" i="2"/>
  <c r="FG58" i="2"/>
  <c r="GV55" i="2"/>
  <c r="GU55" i="2"/>
  <c r="GT55" i="2"/>
  <c r="FD56" i="2"/>
  <c r="EN56" i="2"/>
  <c r="GX55" i="2"/>
  <c r="EY56" i="2"/>
  <c r="GW55" i="2"/>
  <c r="EH56" i="2"/>
  <c r="EV56" i="2"/>
  <c r="GY55" i="2"/>
  <c r="EW54" i="2"/>
  <c r="ER62" i="2"/>
  <c r="GW57" i="2"/>
  <c r="GV57" i="2"/>
  <c r="GU57" i="2"/>
  <c r="GT57" i="2"/>
  <c r="EK58" i="2"/>
  <c r="GY57" i="2"/>
  <c r="GX57" i="2"/>
  <c r="EH58" i="2"/>
  <c r="ES58" i="2"/>
  <c r="EW56" i="2"/>
  <c r="GA160" i="2" a="1"/>
  <c r="GA160" i="2" s="1"/>
  <c r="GB160" i="2" a="1"/>
  <c r="GB160" i="2" s="1"/>
  <c r="GH160" i="2" a="1"/>
  <c r="GH160" i="2" s="1"/>
  <c r="GI165" i="2" a="1"/>
  <c r="GI165" i="2" s="1"/>
  <c r="GF165" i="2" a="1"/>
  <c r="GF165" i="2" s="1"/>
  <c r="FU165" i="2" a="1"/>
  <c r="FU165" i="2" s="1"/>
  <c r="GP165" i="2" a="1"/>
  <c r="GP165" i="2" s="1"/>
  <c r="EZ66" i="2"/>
  <c r="FX170" i="2" a="1"/>
  <c r="FX170" i="2" s="1"/>
  <c r="GN170" i="2" a="1"/>
  <c r="GN170" i="2" s="1"/>
  <c r="GJ170" i="2" a="1"/>
  <c r="GJ170" i="2" s="1"/>
  <c r="FT170" i="2" a="1"/>
  <c r="FT170" i="2" s="1"/>
  <c r="GR170" i="2" a="1"/>
  <c r="GR170" i="2" s="1"/>
  <c r="GE170" i="2" a="1"/>
  <c r="GE170" i="2" s="1"/>
  <c r="FK56" i="2"/>
  <c r="AL56" i="2"/>
  <c r="AD56" i="2"/>
  <c r="V56" i="2"/>
  <c r="N56" i="2"/>
  <c r="AK56" i="2"/>
  <c r="AC56" i="2"/>
  <c r="U56" i="2"/>
  <c r="M56" i="2"/>
  <c r="AJ56" i="2"/>
  <c r="AB56" i="2"/>
  <c r="T56" i="2"/>
  <c r="L56" i="2"/>
  <c r="EJ56" i="2"/>
  <c r="AI56" i="2"/>
  <c r="AA56" i="2"/>
  <c r="S56" i="2"/>
  <c r="K56" i="2"/>
  <c r="AE56" i="2"/>
  <c r="O56" i="2"/>
  <c r="Z56" i="2"/>
  <c r="J56" i="2" a="1"/>
  <c r="J56" i="2" s="1"/>
  <c r="Y56" i="2"/>
  <c r="X56" i="2"/>
  <c r="AM56" i="2"/>
  <c r="W56" i="2"/>
  <c r="AH56" i="2"/>
  <c r="R56" i="2"/>
  <c r="P56" i="2"/>
  <c r="AG56" i="2"/>
  <c r="AF56" i="2"/>
  <c r="Q56" i="2"/>
  <c r="EW52" i="2"/>
  <c r="GW51" i="2"/>
  <c r="EV52" i="2"/>
  <c r="GU51" i="2"/>
  <c r="GT51" i="2"/>
  <c r="EI52" i="2"/>
  <c r="FB52" i="2"/>
  <c r="FW155" i="2" a="1"/>
  <c r="FW155" i="2" s="1"/>
  <c r="FX155" i="2" a="1"/>
  <c r="FX155" i="2" s="1"/>
  <c r="GO155" i="2" a="1"/>
  <c r="GO155" i="2" s="1"/>
  <c r="GD155" i="2" a="1"/>
  <c r="GD155" i="2" s="1"/>
  <c r="GF135" i="2" a="1"/>
  <c r="GF135" i="2" s="1"/>
  <c r="FV135" i="2" a="1"/>
  <c r="FV135" i="2" s="1"/>
  <c r="GH135" i="2" a="1"/>
  <c r="GH135" i="2" s="1"/>
  <c r="FO135" i="2" a="1"/>
  <c r="FO135" i="2" s="1"/>
  <c r="ER58" i="2"/>
  <c r="FC44" i="2"/>
  <c r="FV110" i="2" a="1"/>
  <c r="FV110" i="2" s="1"/>
  <c r="GP110" i="2" a="1"/>
  <c r="GP110" i="2" s="1"/>
  <c r="FR110" i="2" a="1"/>
  <c r="FR110" i="2" s="1"/>
  <c r="GL110" i="2" a="1"/>
  <c r="GL110" i="2" s="1"/>
  <c r="GB110" i="2" a="1"/>
  <c r="GB110" i="2" s="1"/>
  <c r="FH56" i="2"/>
  <c r="DR63" i="2"/>
  <c r="GO140" i="2" a="1"/>
  <c r="GO140" i="2" s="1"/>
  <c r="FQ140" i="2" a="1"/>
  <c r="FQ140" i="2" s="1"/>
  <c r="GM140" i="2" a="1"/>
  <c r="GM140" i="2" s="1"/>
  <c r="GB140" i="2" a="1"/>
  <c r="GB140" i="2" s="1"/>
  <c r="FA44" i="2"/>
  <c r="EZ60" i="2"/>
  <c r="EY52" i="2"/>
  <c r="FH48" i="2"/>
  <c r="DX47" i="2"/>
  <c r="FB48" i="2"/>
  <c r="FW145" i="2" a="1"/>
  <c r="FW145" i="2" s="1"/>
  <c r="GE145" i="2" a="1"/>
  <c r="GE145" i="2" s="1"/>
  <c r="GB145" i="2" a="1"/>
  <c r="GB145" i="2" s="1"/>
  <c r="GH145" i="2" a="1"/>
  <c r="GH145" i="2" s="1"/>
  <c r="FH40" i="2"/>
  <c r="FN68" i="2" a="1"/>
  <c r="FN68" i="2" s="1"/>
  <c r="FG56" i="2"/>
  <c r="EL50" i="2"/>
  <c r="EN50" i="2"/>
  <c r="EO50" i="2"/>
  <c r="EP50" i="2"/>
  <c r="DX49" i="2"/>
  <c r="GQ150" i="2" a="1"/>
  <c r="GQ150" i="2" s="1"/>
  <c r="FX150" i="2" a="1"/>
  <c r="FX150" i="2" s="1"/>
  <c r="GO150" i="2" a="1"/>
  <c r="GO150" i="2" s="1"/>
  <c r="GD150" i="2" a="1"/>
  <c r="GD150" i="2" s="1"/>
  <c r="FJ46" i="2"/>
  <c r="FK40" i="2"/>
  <c r="GK125" i="2" a="1"/>
  <c r="GK125" i="2" s="1"/>
  <c r="FS125" i="2" a="1"/>
  <c r="FS125" i="2" s="1"/>
  <c r="FY125" i="2" a="1"/>
  <c r="FY125" i="2" s="1"/>
  <c r="GD125" i="2" a="1"/>
  <c r="GD125" i="2" s="1"/>
  <c r="GR125" i="2" a="1"/>
  <c r="GR125" i="2" s="1"/>
  <c r="BY60" i="2"/>
  <c r="BX60" i="2"/>
  <c r="BW60" i="2"/>
  <c r="BV60" i="2"/>
  <c r="CB60" i="2"/>
  <c r="BT60" i="2"/>
  <c r="CA60" i="2"/>
  <c r="BZ60" i="2"/>
  <c r="BU60" i="2"/>
  <c r="BS60" i="2"/>
  <c r="EY60" i="2"/>
  <c r="ES60" i="2"/>
  <c r="EL60" i="2"/>
  <c r="EM60" i="2"/>
  <c r="FE36" i="2"/>
  <c r="EI36" i="2"/>
  <c r="FF36" i="2"/>
  <c r="EZ36" i="2"/>
  <c r="GY35" i="2"/>
  <c r="GV35" i="2"/>
  <c r="FJ36" i="2"/>
  <c r="GI115" i="2" a="1"/>
  <c r="GI115" i="2" s="1"/>
  <c r="GD115" i="2" a="1"/>
  <c r="GD115" i="2" s="1"/>
  <c r="FX115" i="2" a="1"/>
  <c r="FX115" i="2" s="1"/>
  <c r="GO115" i="2" a="1"/>
  <c r="GO115" i="2" s="1"/>
  <c r="FB56" i="2"/>
  <c r="EO46" i="2"/>
  <c r="FA42" i="2"/>
  <c r="EU42" i="2"/>
  <c r="GM130" i="2" a="1"/>
  <c r="GM130" i="2" s="1"/>
  <c r="FO130" i="2" a="1"/>
  <c r="FO130" i="2" s="1"/>
  <c r="FZ130" i="2" a="1"/>
  <c r="FZ130" i="2" s="1"/>
  <c r="GF130" i="2" a="1"/>
  <c r="GF130" i="2" s="1"/>
  <c r="DQ37" i="2"/>
  <c r="ET38" i="2"/>
  <c r="GJ120" i="2" a="1"/>
  <c r="GJ120" i="2" s="1"/>
  <c r="FV120" i="2" a="1"/>
  <c r="FV120" i="2" s="1"/>
  <c r="GF120" i="2" a="1"/>
  <c r="GF120" i="2" s="1"/>
  <c r="GP120" i="2" a="1"/>
  <c r="GP120" i="2" s="1"/>
  <c r="DY35" i="2"/>
  <c r="EQ38" i="2"/>
  <c r="GQ100" i="2" a="1"/>
  <c r="GQ100" i="2" s="1"/>
  <c r="GB100" i="2" a="1"/>
  <c r="GB100" i="2" s="1"/>
  <c r="GC100" i="2" a="1"/>
  <c r="GC100" i="2" s="1"/>
  <c r="EN30" i="2"/>
  <c r="DY43" i="2"/>
  <c r="DR53" i="2"/>
  <c r="FG52" i="2"/>
  <c r="ES26" i="2"/>
  <c r="FJ24" i="2"/>
  <c r="EX22" i="2"/>
  <c r="ER20" i="2"/>
  <c r="FC36" i="2"/>
  <c r="GB105" i="2" a="1"/>
  <c r="GB105" i="2" s="1"/>
  <c r="GG105" i="2" a="1"/>
  <c r="GG105" i="2" s="1"/>
  <c r="DX29" i="2"/>
  <c r="FI24" i="2"/>
  <c r="FE46" i="2"/>
  <c r="GD85" i="2" a="1"/>
  <c r="GD85" i="2" s="1"/>
  <c r="GQ85" i="2" a="1"/>
  <c r="GQ85" i="2" s="1"/>
  <c r="GB85" i="2" a="1"/>
  <c r="GB85" i="2" s="1"/>
  <c r="GC85" i="2" a="1"/>
  <c r="GC85" i="2" s="1"/>
  <c r="EX32" i="2"/>
  <c r="GT25" i="2"/>
  <c r="ER24" i="2"/>
  <c r="FX80" i="2" a="1"/>
  <c r="FX80" i="2" s="1"/>
  <c r="FT80" i="2" a="1"/>
  <c r="FT80" i="2" s="1"/>
  <c r="GI80" i="2" a="1"/>
  <c r="GI80" i="2" s="1"/>
  <c r="FY80" i="2" a="1"/>
  <c r="FY80" i="2" s="1"/>
  <c r="FF20" i="2"/>
  <c r="DR67" i="2"/>
  <c r="GW35" i="2"/>
  <c r="ES30" i="2"/>
  <c r="FB28" i="2"/>
  <c r="EM28" i="2"/>
  <c r="GX27" i="2"/>
  <c r="GY27" i="2"/>
  <c r="EI28" i="2"/>
  <c r="EF28" i="2" s="1" a="1"/>
  <c r="EF28" i="2" s="1"/>
  <c r="EF27" i="2" s="1"/>
  <c r="ET28" i="2"/>
  <c r="ER28" i="2"/>
  <c r="GA95" i="2" a="1"/>
  <c r="GA95" i="2" s="1"/>
  <c r="GR95" i="2" a="1"/>
  <c r="GR95" i="2" s="1"/>
  <c r="GX25" i="2"/>
  <c r="EU26" i="2"/>
  <c r="FJ26" i="2"/>
  <c r="FA26" i="2"/>
  <c r="ER26" i="2"/>
  <c r="EI26" i="2"/>
  <c r="GU25" i="2"/>
  <c r="FE26" i="2"/>
  <c r="EL26" i="2"/>
  <c r="EV26" i="2"/>
  <c r="EM26" i="2"/>
  <c r="FD26" i="2"/>
  <c r="GY25" i="2"/>
  <c r="GP89" i="2" a="1"/>
  <c r="GP89" i="2" s="1"/>
  <c r="GE89" i="2" a="1"/>
  <c r="GE89" i="2" s="1"/>
  <c r="FP89" i="2" a="1"/>
  <c r="FP89" i="2" s="1"/>
  <c r="FQ89" i="2" a="1"/>
  <c r="FQ89" i="2" s="1"/>
  <c r="DD12" i="2" a="1"/>
  <c r="DD12" i="2" s="1"/>
  <c r="DD14" i="2" a="1"/>
  <c r="DD14" i="2" s="1"/>
  <c r="GX14" i="2"/>
  <c r="FE20" i="2"/>
  <c r="DR21" i="2"/>
  <c r="EU36" i="2"/>
  <c r="EH26" i="2"/>
  <c r="EP24" i="2"/>
  <c r="FY75" i="2" a="1"/>
  <c r="FY75" i="2" s="1"/>
  <c r="FS75" i="2" a="1"/>
  <c r="FS75" i="2" s="1"/>
  <c r="GE75" i="2" a="1"/>
  <c r="GE75" i="2" s="1"/>
  <c r="GA75" i="2" a="1"/>
  <c r="GA75" i="2" s="1"/>
  <c r="GG75" i="2" a="1"/>
  <c r="GG75" i="2" s="1"/>
  <c r="GM75" i="2" a="1"/>
  <c r="GM75" i="2" s="1"/>
  <c r="EV46" i="2"/>
  <c r="FJ22" i="2"/>
  <c r="FD32" i="2"/>
  <c r="B12" i="2"/>
  <c r="N13" i="2"/>
  <c r="EW26" i="2"/>
  <c r="CO28" i="2"/>
  <c r="GW14" i="2"/>
  <c r="EN62" i="2"/>
  <c r="GY61" i="2"/>
  <c r="EV62" i="2"/>
  <c r="GX61" i="2"/>
  <c r="EO56" i="2"/>
  <c r="FS160" i="2" a="1"/>
  <c r="FS160" i="2" s="1"/>
  <c r="GF160" i="2" a="1"/>
  <c r="GF160" i="2" s="1"/>
  <c r="FQ160" i="2" a="1"/>
  <c r="FQ160" i="2" s="1"/>
  <c r="GL160" i="2" a="1"/>
  <c r="GL160" i="2" s="1"/>
  <c r="FW165" i="2" a="1"/>
  <c r="FW165" i="2" s="1"/>
  <c r="GM165" i="2" a="1"/>
  <c r="GM165" i="2" s="1"/>
  <c r="GJ165" i="2" a="1"/>
  <c r="GJ165" i="2" s="1"/>
  <c r="FY165" i="2" a="1"/>
  <c r="FY165" i="2" s="1"/>
  <c r="GQ165" i="2" a="1"/>
  <c r="GQ165" i="2" s="1"/>
  <c r="ER66" i="2"/>
  <c r="GP170" i="2" a="1"/>
  <c r="GP170" i="2" s="1"/>
  <c r="GC170" i="2" a="1"/>
  <c r="GC170" i="2" s="1"/>
  <c r="GI170" i="2" a="1"/>
  <c r="GI170" i="2" s="1"/>
  <c r="FC56" i="2"/>
  <c r="GW61" i="2"/>
  <c r="GG110" i="2" a="1"/>
  <c r="GG110" i="2" s="1"/>
  <c r="FN60" i="2" a="1"/>
  <c r="FN60" i="2" s="1"/>
  <c r="ER52" i="2"/>
  <c r="FJ52" i="2"/>
  <c r="EM52" i="2"/>
  <c r="GE155" i="2" a="1"/>
  <c r="GE155" i="2" s="1"/>
  <c r="GM155" i="2" a="1"/>
  <c r="GM155" i="2" s="1"/>
  <c r="GB155" i="2" a="1"/>
  <c r="GB155" i="2" s="1"/>
  <c r="GH155" i="2" a="1"/>
  <c r="GH155" i="2" s="1"/>
  <c r="GG135" i="2" a="1"/>
  <c r="GG135" i="2" s="1"/>
  <c r="FT135" i="2" a="1"/>
  <c r="FT135" i="2" s="1"/>
  <c r="FI56" i="2"/>
  <c r="EU44" i="2"/>
  <c r="FO110" i="2" a="1"/>
  <c r="FO110" i="2" s="1"/>
  <c r="GE110" i="2" a="1"/>
  <c r="GE110" i="2" s="1"/>
  <c r="GF110" i="2" a="1"/>
  <c r="GF110" i="2" s="1"/>
  <c r="ET56" i="2"/>
  <c r="EM62" i="2"/>
  <c r="GF140" i="2" a="1"/>
  <c r="GF140" i="2" s="1"/>
  <c r="FR140" i="2" a="1"/>
  <c r="FR140" i="2" s="1"/>
  <c r="ES44" i="2"/>
  <c r="FU120" i="2" a="1"/>
  <c r="FU120" i="2" s="1"/>
  <c r="FA58" i="2"/>
  <c r="EH48" i="2"/>
  <c r="GY47" i="2"/>
  <c r="GX47" i="2"/>
  <c r="GV47" i="2"/>
  <c r="GW47" i="2"/>
  <c r="GU47" i="2"/>
  <c r="GT47" i="2"/>
  <c r="FG48" i="2"/>
  <c r="AO48" i="2"/>
  <c r="H47" i="2"/>
  <c r="EK48" i="2"/>
  <c r="FJ48" i="2"/>
  <c r="GF145" i="2" a="1"/>
  <c r="GF145" i="2" s="1"/>
  <c r="FQ145" i="2" a="1"/>
  <c r="FQ145" i="2" s="1"/>
  <c r="GL145" i="2" a="1"/>
  <c r="GL145" i="2" s="1"/>
  <c r="ET40" i="2"/>
  <c r="EJ62" i="2"/>
  <c r="EV50" i="2"/>
  <c r="EX50" i="2"/>
  <c r="EY50" i="2"/>
  <c r="FB50" i="2"/>
  <c r="EK50" i="2"/>
  <c r="FO150" i="2" a="1"/>
  <c r="FO150" i="2" s="1"/>
  <c r="FS150" i="2" a="1"/>
  <c r="FS150" i="2" s="1"/>
  <c r="GB150" i="2" a="1"/>
  <c r="GB150" i="2" s="1"/>
  <c r="GH150" i="2" a="1"/>
  <c r="GH150" i="2" s="1"/>
  <c r="EO40" i="2"/>
  <c r="GB125" i="2" a="1"/>
  <c r="GB125" i="2" s="1"/>
  <c r="GH125" i="2" a="1"/>
  <c r="GH125" i="2" s="1"/>
  <c r="GM125" i="2" a="1"/>
  <c r="GM125" i="2" s="1"/>
  <c r="DY59" i="2"/>
  <c r="FA60" i="2"/>
  <c r="ET60" i="2"/>
  <c r="EU60" i="2"/>
  <c r="EQ36" i="2"/>
  <c r="FO115" i="2" a="1"/>
  <c r="FO115" i="2" s="1"/>
  <c r="GM115" i="2" a="1"/>
  <c r="GM115" i="2" s="1"/>
  <c r="GB115" i="2" a="1"/>
  <c r="GB115" i="2" s="1"/>
  <c r="FN64" i="2" a="1"/>
  <c r="FN64" i="2" s="1"/>
  <c r="EQ56" i="2"/>
  <c r="ER42" i="2"/>
  <c r="FI42" i="2"/>
  <c r="FC42" i="2"/>
  <c r="GN130" i="2" a="1"/>
  <c r="GN130" i="2" s="1"/>
  <c r="GG130" i="2" a="1"/>
  <c r="GG130" i="2" s="1"/>
  <c r="FT130" i="2" a="1"/>
  <c r="FT130" i="2" s="1"/>
  <c r="GK130" i="2" a="1"/>
  <c r="GK130" i="2" s="1"/>
  <c r="GQ130" i="2" a="1"/>
  <c r="GQ130" i="2" s="1"/>
  <c r="DB39" i="2" a="1"/>
  <c r="DB39" i="2" s="1"/>
  <c r="DC39" i="2" a="1"/>
  <c r="DC39" i="2" s="1"/>
  <c r="DY37" i="2"/>
  <c r="FB38" i="2"/>
  <c r="GI120" i="2" a="1"/>
  <c r="GI120" i="2" s="1"/>
  <c r="FQ120" i="2" a="1"/>
  <c r="FQ120" i="2" s="1"/>
  <c r="GE120" i="2" a="1"/>
  <c r="GE120" i="2" s="1"/>
  <c r="GK120" i="2" a="1"/>
  <c r="GK120" i="2" s="1"/>
  <c r="FI38" i="2"/>
  <c r="DM35" i="2"/>
  <c r="FD46" i="2"/>
  <c r="FZ100" i="2" a="1"/>
  <c r="FZ100" i="2" s="1"/>
  <c r="FO100" i="2" a="1"/>
  <c r="FO100" i="2" s="1"/>
  <c r="GF100" i="2" a="1"/>
  <c r="GF100" i="2" s="1"/>
  <c r="GG100" i="2" a="1"/>
  <c r="GG100" i="2" s="1"/>
  <c r="DQ29" i="2"/>
  <c r="DY53" i="2"/>
  <c r="DR57" i="2"/>
  <c r="EP52" i="2"/>
  <c r="FB24" i="2"/>
  <c r="DC23" i="2" a="1"/>
  <c r="DC23" i="2" s="1"/>
  <c r="DB23" i="2" a="1"/>
  <c r="DB23" i="2" s="1"/>
  <c r="EP22" i="2"/>
  <c r="EJ20" i="2"/>
  <c r="AH20" i="2"/>
  <c r="Z20" i="2"/>
  <c r="R20" i="2"/>
  <c r="J20" i="2" a="1"/>
  <c r="J20" i="2" s="1"/>
  <c r="AG20" i="2"/>
  <c r="Y20" i="2"/>
  <c r="Q20" i="2"/>
  <c r="S20" i="2"/>
  <c r="AF20" i="2"/>
  <c r="X20" i="2"/>
  <c r="P20" i="2"/>
  <c r="AA20" i="2"/>
  <c r="AM20" i="2"/>
  <c r="AE20" i="2"/>
  <c r="W20" i="2"/>
  <c r="O20" i="2"/>
  <c r="AL20" i="2"/>
  <c r="AD20" i="2"/>
  <c r="V20" i="2"/>
  <c r="N20" i="2"/>
  <c r="AJ20" i="2"/>
  <c r="T20" i="2"/>
  <c r="L20" i="2"/>
  <c r="AI20" i="2"/>
  <c r="AK20" i="2"/>
  <c r="AC20" i="2"/>
  <c r="U20" i="2"/>
  <c r="M20" i="2"/>
  <c r="AB20" i="2"/>
  <c r="K20" i="2"/>
  <c r="FT105" i="2" a="1"/>
  <c r="FT105" i="2" s="1"/>
  <c r="FW105" i="2" a="1"/>
  <c r="FW105" i="2" s="1"/>
  <c r="GK105" i="2" a="1"/>
  <c r="GK105" i="2" s="1"/>
  <c r="GL105" i="2" a="1"/>
  <c r="GL105" i="2" s="1"/>
  <c r="GU27" i="2"/>
  <c r="FA24" i="2"/>
  <c r="GL85" i="2" a="1"/>
  <c r="GL85" i="2" s="1"/>
  <c r="FO85" i="2" a="1"/>
  <c r="FO85" i="2" s="1"/>
  <c r="GF85" i="2" a="1"/>
  <c r="GF85" i="2" s="1"/>
  <c r="GG85" i="2" a="1"/>
  <c r="GG85" i="2" s="1"/>
  <c r="EM32" i="2"/>
  <c r="FE30" i="2"/>
  <c r="GT27" i="2"/>
  <c r="H23" i="2"/>
  <c r="FR80" i="2" a="1"/>
  <c r="FR80" i="2" s="1"/>
  <c r="GB80" i="2" a="1"/>
  <c r="GB80" i="2" s="1"/>
  <c r="GM80" i="2" a="1"/>
  <c r="GM80" i="2" s="1"/>
  <c r="GC80" i="2" a="1"/>
  <c r="GC80" i="2" s="1"/>
  <c r="EX20" i="2"/>
  <c r="CQ17" i="2"/>
  <c r="CR18" i="2"/>
  <c r="C13" i="2"/>
  <c r="B13" i="2"/>
  <c r="AK54" i="2"/>
  <c r="AC54" i="2"/>
  <c r="U54" i="2"/>
  <c r="M54" i="2"/>
  <c r="AJ54" i="2"/>
  <c r="AB54" i="2"/>
  <c r="T54" i="2"/>
  <c r="L54" i="2"/>
  <c r="AH54" i="2"/>
  <c r="Z54" i="2"/>
  <c r="R54" i="2"/>
  <c r="J54" i="2" a="1"/>
  <c r="J54" i="2" s="1"/>
  <c r="EJ54" i="2"/>
  <c r="AA54" i="2"/>
  <c r="O54" i="2"/>
  <c r="AM54" i="2"/>
  <c r="Y54" i="2"/>
  <c r="N54" i="2"/>
  <c r="AL54" i="2"/>
  <c r="X54" i="2"/>
  <c r="K54" i="2"/>
  <c r="AI54" i="2"/>
  <c r="W54" i="2"/>
  <c r="AG54" i="2"/>
  <c r="V54" i="2"/>
  <c r="AF54" i="2"/>
  <c r="S54" i="2"/>
  <c r="AE54" i="2"/>
  <c r="AD54" i="2"/>
  <c r="Q54" i="2"/>
  <c r="P54" i="2"/>
  <c r="DM31" i="2"/>
  <c r="EI30" i="2"/>
  <c r="FV95" i="2" a="1"/>
  <c r="FV95" i="2" s="1"/>
  <c r="GH95" i="2" a="1"/>
  <c r="GH95" i="2" s="1"/>
  <c r="GD95" i="2" a="1"/>
  <c r="GD95" i="2" s="1"/>
  <c r="GE95" i="2" a="1"/>
  <c r="GE95" i="2" s="1"/>
  <c r="FP95" i="2" a="1"/>
  <c r="FP95" i="2" s="1"/>
  <c r="FQ95" i="2" a="1"/>
  <c r="FQ95" i="2" s="1"/>
  <c r="EQ26" i="2"/>
  <c r="GH89" i="2" a="1"/>
  <c r="GH89" i="2" s="1"/>
  <c r="GI89" i="2" a="1"/>
  <c r="GI89" i="2" s="1"/>
  <c r="FT89" i="2" a="1"/>
  <c r="FT89" i="2" s="1"/>
  <c r="FU89" i="2" a="1"/>
  <c r="FU89" i="2" s="1"/>
  <c r="FK22" i="2"/>
  <c r="EW20" i="2"/>
  <c r="GT23" i="2"/>
  <c r="GY23" i="2"/>
  <c r="GX23" i="2"/>
  <c r="EH24" i="2"/>
  <c r="GW23" i="2"/>
  <c r="GV23" i="2"/>
  <c r="GU23" i="2"/>
  <c r="GN75" i="2" a="1"/>
  <c r="GN75" i="2" s="1"/>
  <c r="GJ75" i="2" a="1"/>
  <c r="GJ75" i="2" s="1"/>
  <c r="GF75" i="2" a="1"/>
  <c r="GF75" i="2" s="1"/>
  <c r="GR75" i="2" a="1"/>
  <c r="GR75" i="2" s="1"/>
  <c r="FD48" i="2"/>
  <c r="FE24" i="2"/>
  <c r="EZ22" i="2"/>
  <c r="CO24" i="2"/>
  <c r="EK36" i="2"/>
  <c r="FG30" i="2"/>
  <c r="G13" i="2"/>
  <c r="EN26" i="2"/>
  <c r="FF28" i="2"/>
  <c r="FM85" i="2" l="1"/>
  <c r="FN85" i="2" s="1"/>
  <c r="FN24" i="2" s="1"/>
  <c r="FM150" i="2"/>
  <c r="FN150" i="2" s="1"/>
  <c r="FM110" i="2"/>
  <c r="FN110" i="2" s="1"/>
  <c r="GD90" i="2" a="1"/>
  <c r="GD90" i="2" s="1"/>
  <c r="GK90" i="2" a="1"/>
  <c r="GK90" i="2" s="1"/>
  <c r="GL90" i="2" a="1"/>
  <c r="GL90" i="2" s="1"/>
  <c r="CO36" i="2"/>
  <c r="EF54" i="2" a="1"/>
  <c r="EF54" i="2" s="1"/>
  <c r="EF53" i="2" s="1"/>
  <c r="GX17" i="2"/>
  <c r="W13" i="2" s="1"/>
  <c r="EF66" i="2" a="1"/>
  <c r="EF66" i="2" s="1"/>
  <c r="EF65" i="2" s="1"/>
  <c r="GG90" i="2" a="1"/>
  <c r="GG90" i="2" s="1"/>
  <c r="FQ90" i="2" a="1"/>
  <c r="FQ90" i="2" s="1"/>
  <c r="GJ90" i="2" a="1"/>
  <c r="GJ90" i="2" s="1"/>
  <c r="GF90" i="2" a="1"/>
  <c r="GF90" i="2" s="1"/>
  <c r="EF60" i="2" a="1"/>
  <c r="EF60" i="2" s="1"/>
  <c r="EF59" i="2" s="1"/>
  <c r="DN13" i="2" a="1"/>
  <c r="DN13" i="2" s="1"/>
  <c r="DN12" i="2" s="1"/>
  <c r="CO32" i="2"/>
  <c r="GT17" i="2"/>
  <c r="GY17" i="2"/>
  <c r="X13" i="2" s="1"/>
  <c r="DN15" i="2"/>
  <c r="DE12" i="2"/>
  <c r="DO15" i="2" s="1" a="1"/>
  <c r="DO15" i="2" s="1"/>
  <c r="AJ24" i="2"/>
  <c r="AB24" i="2"/>
  <c r="T24" i="2"/>
  <c r="L24" i="2"/>
  <c r="AI24" i="2"/>
  <c r="AA24" i="2"/>
  <c r="S24" i="2"/>
  <c r="K24" i="2"/>
  <c r="AC24" i="2"/>
  <c r="EJ24" i="2"/>
  <c r="AH24" i="2"/>
  <c r="Z24" i="2"/>
  <c r="R24" i="2"/>
  <c r="J24" i="2" a="1"/>
  <c r="J24" i="2" s="1"/>
  <c r="AK24" i="2"/>
  <c r="AG24" i="2"/>
  <c r="Y24" i="2"/>
  <c r="Q24" i="2"/>
  <c r="AF24" i="2"/>
  <c r="X24" i="2"/>
  <c r="P24" i="2"/>
  <c r="AM24" i="2"/>
  <c r="AE24" i="2"/>
  <c r="W24" i="2"/>
  <c r="O24" i="2"/>
  <c r="AL24" i="2"/>
  <c r="AD24" i="2"/>
  <c r="N24" i="2"/>
  <c r="U24" i="2"/>
  <c r="V24" i="2"/>
  <c r="M24" i="2"/>
  <c r="BU6" i="4"/>
  <c r="FM100" i="2"/>
  <c r="FN100" i="2" s="1"/>
  <c r="FN30" i="2" s="1"/>
  <c r="FP90" i="2" a="1"/>
  <c r="FP90" i="2" s="1"/>
  <c r="EF56" i="2" a="1"/>
  <c r="EF56" i="2" s="1"/>
  <c r="EF55" i="2" s="1"/>
  <c r="GR90" i="2" a="1"/>
  <c r="GR90" i="2" s="1"/>
  <c r="A25" i="2"/>
  <c r="CO23" i="2"/>
  <c r="EF50" i="2" a="1"/>
  <c r="EF50" i="2" s="1"/>
  <c r="EF49" i="2" s="1"/>
  <c r="FM160" i="2"/>
  <c r="FN160" i="2" s="1"/>
  <c r="FS90" i="2" a="1"/>
  <c r="FS90" i="2" s="1"/>
  <c r="AL30" i="2"/>
  <c r="AD30" i="2"/>
  <c r="V30" i="2"/>
  <c r="N30" i="2"/>
  <c r="EJ30" i="2"/>
  <c r="AH30" i="2"/>
  <c r="Z30" i="2"/>
  <c r="R30" i="2"/>
  <c r="J30" i="2" a="1"/>
  <c r="J30" i="2" s="1"/>
  <c r="AJ30" i="2"/>
  <c r="Y30" i="2"/>
  <c r="O30" i="2"/>
  <c r="AI30" i="2"/>
  <c r="X30" i="2"/>
  <c r="M30" i="2"/>
  <c r="AA30" i="2"/>
  <c r="AG30" i="2"/>
  <c r="W30" i="2"/>
  <c r="L30" i="2"/>
  <c r="AK30" i="2"/>
  <c r="AF30" i="2"/>
  <c r="U30" i="2"/>
  <c r="K30" i="2"/>
  <c r="AE30" i="2"/>
  <c r="T30" i="2"/>
  <c r="AC30" i="2"/>
  <c r="S30" i="2"/>
  <c r="AM30" i="2"/>
  <c r="AB30" i="2"/>
  <c r="Q30" i="2"/>
  <c r="P30" i="2"/>
  <c r="FO90" i="2" a="1"/>
  <c r="FO90" i="2" s="1"/>
  <c r="EF30" i="2" a="1"/>
  <c r="EF30" i="2" s="1"/>
  <c r="EF29" i="2" s="1"/>
  <c r="EF38" i="2" a="1"/>
  <c r="EF38" i="2" s="1"/>
  <c r="EF37" i="2" s="1"/>
  <c r="DH13" i="2" a="1"/>
  <c r="DH13" i="2" s="1"/>
  <c r="DH12" i="2" s="1"/>
  <c r="AG32" i="2"/>
  <c r="Y32" i="2"/>
  <c r="Q32" i="2"/>
  <c r="AF32" i="2"/>
  <c r="X32" i="2"/>
  <c r="P32" i="2"/>
  <c r="AK32" i="2"/>
  <c r="AC32" i="2"/>
  <c r="U32" i="2"/>
  <c r="M32" i="2"/>
  <c r="AH32" i="2"/>
  <c r="T32" i="2"/>
  <c r="EJ32" i="2"/>
  <c r="EF32" i="2" s="1" a="1"/>
  <c r="EF32" i="2" s="1"/>
  <c r="EF31" i="2" s="1"/>
  <c r="AE32" i="2"/>
  <c r="S32" i="2"/>
  <c r="V32" i="2"/>
  <c r="AD32" i="2"/>
  <c r="R32" i="2"/>
  <c r="AI32" i="2"/>
  <c r="AB32" i="2"/>
  <c r="O32" i="2"/>
  <c r="AM32" i="2"/>
  <c r="AA32" i="2"/>
  <c r="N32" i="2"/>
  <c r="AL32" i="2"/>
  <c r="Z32" i="2"/>
  <c r="L32" i="2"/>
  <c r="J32" i="2" a="1"/>
  <c r="J32" i="2" s="1"/>
  <c r="AJ32" i="2"/>
  <c r="W32" i="2"/>
  <c r="K32" i="2"/>
  <c r="FV90" i="2" a="1"/>
  <c r="FV90" i="2" s="1"/>
  <c r="GU17" i="2"/>
  <c r="T13" i="2" s="1"/>
  <c r="EF44" i="2" a="1"/>
  <c r="EF44" i="2" s="1"/>
  <c r="EF43" i="2" s="1"/>
  <c r="FM165" i="2"/>
  <c r="FN165" i="2" s="1"/>
  <c r="FM115" i="2"/>
  <c r="FN115" i="2" s="1"/>
  <c r="GE90" i="2" a="1"/>
  <c r="GE90" i="2" s="1"/>
  <c r="GA90" i="2" a="1"/>
  <c r="GA90" i="2" s="1"/>
  <c r="FM105" i="2"/>
  <c r="FN105" i="2" s="1"/>
  <c r="FZ90" i="2" a="1"/>
  <c r="FZ90" i="2" s="1"/>
  <c r="CO30" i="2"/>
  <c r="FR90" i="2" a="1"/>
  <c r="FR90" i="2" s="1"/>
  <c r="FM170" i="2"/>
  <c r="FN170" i="2" s="1"/>
  <c r="EF22" i="2" a="1"/>
  <c r="EF22" i="2" s="1"/>
  <c r="EF21" i="2" s="1"/>
  <c r="FM125" i="2"/>
  <c r="FN125" i="2" s="1"/>
  <c r="EF68" i="2" a="1"/>
  <c r="EF68" i="2" s="1"/>
  <c r="EF67" i="2" s="1"/>
  <c r="FL32" i="2"/>
  <c r="GP90" i="2" a="1"/>
  <c r="GP90" i="2" s="1"/>
  <c r="CO26" i="2"/>
  <c r="L81" i="2" a="1"/>
  <c r="L81" i="2" s="1"/>
  <c r="GV17" i="2"/>
  <c r="U13" i="2" s="1"/>
  <c r="FM80" i="2"/>
  <c r="FU90" i="2" a="1"/>
  <c r="FU90" i="2" s="1"/>
  <c r="FT90" i="2" a="1"/>
  <c r="FT90" i="2" s="1"/>
  <c r="EJ48" i="2"/>
  <c r="AI48" i="2"/>
  <c r="AA48" i="2"/>
  <c r="S48" i="2"/>
  <c r="K48" i="2"/>
  <c r="AH48" i="2"/>
  <c r="Z48" i="2"/>
  <c r="R48" i="2"/>
  <c r="J48" i="2" a="1"/>
  <c r="J48" i="2" s="1"/>
  <c r="AG48" i="2"/>
  <c r="Y48" i="2"/>
  <c r="Q48" i="2"/>
  <c r="AF48" i="2"/>
  <c r="X48" i="2"/>
  <c r="P48" i="2"/>
  <c r="AL48" i="2"/>
  <c r="AD48" i="2"/>
  <c r="V48" i="2"/>
  <c r="N48" i="2"/>
  <c r="W48" i="2"/>
  <c r="U48" i="2"/>
  <c r="AM48" i="2"/>
  <c r="T48" i="2"/>
  <c r="AK48" i="2"/>
  <c r="O48" i="2"/>
  <c r="AJ48" i="2"/>
  <c r="M48" i="2"/>
  <c r="AE48" i="2"/>
  <c r="AC48" i="2"/>
  <c r="AB48" i="2"/>
  <c r="L48" i="2"/>
  <c r="FM130" i="2"/>
  <c r="FN130" i="2" s="1"/>
  <c r="GO90" i="2" a="1"/>
  <c r="GO90" i="2" s="1"/>
  <c r="AF26" i="2"/>
  <c r="X26" i="2"/>
  <c r="P26" i="2"/>
  <c r="AK26" i="2"/>
  <c r="AB26" i="2"/>
  <c r="S26" i="2"/>
  <c r="J26" i="2" a="1"/>
  <c r="J26" i="2" s="1"/>
  <c r="EJ26" i="2"/>
  <c r="EF26" i="2" s="1" a="1"/>
  <c r="EF26" i="2" s="1"/>
  <c r="EF25" i="2" s="1"/>
  <c r="AJ26" i="2"/>
  <c r="AA26" i="2"/>
  <c r="R26" i="2"/>
  <c r="AI26" i="2"/>
  <c r="Z26" i="2"/>
  <c r="Q26" i="2"/>
  <c r="AH26" i="2"/>
  <c r="Y26" i="2"/>
  <c r="O26" i="2"/>
  <c r="AL26" i="2"/>
  <c r="AG26" i="2"/>
  <c r="W26" i="2"/>
  <c r="N26" i="2"/>
  <c r="K26" i="2"/>
  <c r="AE26" i="2"/>
  <c r="V26" i="2"/>
  <c r="M26" i="2"/>
  <c r="AC26" i="2"/>
  <c r="AM26" i="2"/>
  <c r="AD26" i="2"/>
  <c r="U26" i="2"/>
  <c r="L26" i="2"/>
  <c r="T26" i="2"/>
  <c r="BU8" i="4"/>
  <c r="FY90" i="2" a="1"/>
  <c r="FY90" i="2" s="1"/>
  <c r="DO13" i="2" a="1"/>
  <c r="DO13" i="2" s="1"/>
  <c r="DO12" i="2" s="1"/>
  <c r="DG13" i="2" a="1"/>
  <c r="DG13" i="2" s="1"/>
  <c r="DG12" i="2" s="1"/>
  <c r="EF62" i="2" a="1"/>
  <c r="EF62" i="2" s="1"/>
  <c r="EF61" i="2" s="1"/>
  <c r="DE13" i="2"/>
  <c r="GB90" i="2" a="1"/>
  <c r="GB90" i="2" s="1"/>
  <c r="GI90" i="2" a="1"/>
  <c r="GI90" i="2" s="1"/>
  <c r="CO48" i="2"/>
  <c r="EF48" i="2" a="1"/>
  <c r="EF48" i="2" s="1"/>
  <c r="EF47" i="2" s="1"/>
  <c r="FM135" i="2"/>
  <c r="FN135" i="2" s="1"/>
  <c r="EF58" i="2" a="1"/>
  <c r="EF58" i="2" s="1"/>
  <c r="EF57" i="2" s="1"/>
  <c r="GN90" i="2" a="1"/>
  <c r="GN90" i="2" s="1"/>
  <c r="FM75" i="2"/>
  <c r="FM95" i="2"/>
  <c r="AF40" i="2"/>
  <c r="X40" i="2"/>
  <c r="P40" i="2"/>
  <c r="AL40" i="2"/>
  <c r="AD40" i="2"/>
  <c r="V40" i="2"/>
  <c r="N40" i="2"/>
  <c r="AK40" i="2"/>
  <c r="AC40" i="2"/>
  <c r="U40" i="2"/>
  <c r="M40" i="2"/>
  <c r="AI40" i="2"/>
  <c r="AA40" i="2"/>
  <c r="S40" i="2"/>
  <c r="K40" i="2"/>
  <c r="EJ40" i="2"/>
  <c r="EF40" i="2" s="1" a="1"/>
  <c r="EF40" i="2" s="1"/>
  <c r="EF39" i="2" s="1"/>
  <c r="AM40" i="2"/>
  <c r="W40" i="2"/>
  <c r="AJ40" i="2"/>
  <c r="T40" i="2"/>
  <c r="AH40" i="2"/>
  <c r="R40" i="2"/>
  <c r="AG40" i="2"/>
  <c r="Q40" i="2"/>
  <c r="AE40" i="2"/>
  <c r="O40" i="2"/>
  <c r="J40" i="2" a="1"/>
  <c r="J40" i="2" s="1"/>
  <c r="AB40" i="2"/>
  <c r="Z40" i="2"/>
  <c r="L40" i="2"/>
  <c r="Y40" i="2"/>
  <c r="FM120" i="2"/>
  <c r="FN120" i="2" s="1"/>
  <c r="AI52" i="2"/>
  <c r="AA52" i="2"/>
  <c r="S52" i="2"/>
  <c r="K52" i="2"/>
  <c r="EJ52" i="2"/>
  <c r="EF52" i="2" s="1" a="1"/>
  <c r="EF52" i="2" s="1"/>
  <c r="EF51" i="2" s="1"/>
  <c r="AH52" i="2"/>
  <c r="Z52" i="2"/>
  <c r="R52" i="2"/>
  <c r="J52" i="2" a="1"/>
  <c r="J52" i="2" s="1"/>
  <c r="AF52" i="2"/>
  <c r="X52" i="2"/>
  <c r="P52" i="2"/>
  <c r="AE52" i="2"/>
  <c r="T52" i="2"/>
  <c r="AD52" i="2"/>
  <c r="Q52" i="2"/>
  <c r="AC52" i="2"/>
  <c r="O52" i="2"/>
  <c r="AM52" i="2"/>
  <c r="AB52" i="2"/>
  <c r="N52" i="2"/>
  <c r="AK52" i="2"/>
  <c r="W52" i="2"/>
  <c r="L52" i="2"/>
  <c r="Y52" i="2"/>
  <c r="V52" i="2"/>
  <c r="U52" i="2"/>
  <c r="M52" i="2"/>
  <c r="AL52" i="2"/>
  <c r="AJ52" i="2"/>
  <c r="AG52" i="2"/>
  <c r="FX90" i="2" a="1"/>
  <c r="FX90" i="2" s="1"/>
  <c r="AO13" i="2"/>
  <c r="J30" i="10" s="1"/>
  <c r="GC90" i="2" a="1"/>
  <c r="GC90" i="2" s="1"/>
  <c r="GW17" i="2"/>
  <c r="V13" i="2" s="1"/>
  <c r="EF24" i="2" a="1"/>
  <c r="EF24" i="2" s="1"/>
  <c r="EF23" i="2" s="1"/>
  <c r="GH90" i="2" a="1"/>
  <c r="GH90" i="2" s="1"/>
  <c r="DE14" i="2"/>
  <c r="FW90" i="2" a="1"/>
  <c r="FW90" i="2" s="1"/>
  <c r="CO40" i="2"/>
  <c r="FM145" i="2"/>
  <c r="FN145" i="2" s="1"/>
  <c r="FM155" i="2"/>
  <c r="FN155" i="2" s="1"/>
  <c r="CO52" i="2"/>
  <c r="GM90" i="2" a="1"/>
  <c r="GM90" i="2" s="1"/>
  <c r="EF42" i="2" a="1"/>
  <c r="EF42" i="2" s="1"/>
  <c r="EF41" i="2" s="1"/>
  <c r="AM36" i="2"/>
  <c r="AE36" i="2"/>
  <c r="W36" i="2"/>
  <c r="O36" i="2"/>
  <c r="AK36" i="2"/>
  <c r="AC36" i="2"/>
  <c r="U36" i="2"/>
  <c r="M36" i="2"/>
  <c r="AB36" i="2"/>
  <c r="R36" i="2"/>
  <c r="AL36" i="2"/>
  <c r="AA36" i="2"/>
  <c r="Q36" i="2"/>
  <c r="AJ36" i="2"/>
  <c r="Z36" i="2"/>
  <c r="P36" i="2"/>
  <c r="AH36" i="2"/>
  <c r="X36" i="2"/>
  <c r="L36" i="2"/>
  <c r="Y36" i="2"/>
  <c r="V36" i="2"/>
  <c r="EJ36" i="2"/>
  <c r="EF36" i="2" s="1" a="1"/>
  <c r="EF36" i="2" s="1"/>
  <c r="EF35" i="2" s="1"/>
  <c r="T36" i="2"/>
  <c r="S36" i="2"/>
  <c r="AI36" i="2"/>
  <c r="N36" i="2"/>
  <c r="AG36" i="2"/>
  <c r="K36" i="2"/>
  <c r="AD36" i="2"/>
  <c r="AF36" i="2"/>
  <c r="J36" i="2" a="1"/>
  <c r="J36" i="2" s="1"/>
  <c r="FM140" i="2"/>
  <c r="FN140" i="2" s="1"/>
  <c r="GQ90" i="2" a="1"/>
  <c r="GQ90" i="2" s="1"/>
  <c r="EF20" i="2" a="1"/>
  <c r="EF20" i="2" s="1"/>
  <c r="J30" i="3" l="1"/>
  <c r="FM24" i="2"/>
  <c r="FM30" i="2"/>
  <c r="DW63" i="2"/>
  <c r="DV63" i="2"/>
  <c r="DS31" i="2"/>
  <c r="DV49" i="2"/>
  <c r="DU37" i="2"/>
  <c r="DS35" i="2"/>
  <c r="DU31" i="2"/>
  <c r="DU41" i="2"/>
  <c r="DU39" i="2"/>
  <c r="DU49" i="2"/>
  <c r="DU67" i="2"/>
  <c r="DU61" i="2"/>
  <c r="DW21" i="2"/>
  <c r="DT21" i="2"/>
  <c r="DT27" i="2"/>
  <c r="DT29" i="2"/>
  <c r="DW35" i="2"/>
  <c r="DT61" i="2"/>
  <c r="FN75" i="2"/>
  <c r="FN20" i="2" s="1"/>
  <c r="FM20" i="2"/>
  <c r="FL34" i="2"/>
  <c r="FN32" i="2"/>
  <c r="FM32" i="2"/>
  <c r="FM90" i="2"/>
  <c r="DS39" i="2"/>
  <c r="DU59" i="2"/>
  <c r="DS59" i="2"/>
  <c r="DU27" i="2"/>
  <c r="DU21" i="2"/>
  <c r="DS33" i="2"/>
  <c r="DS45" i="2"/>
  <c r="DU33" i="2"/>
  <c r="DS53" i="2"/>
  <c r="DW55" i="2"/>
  <c r="DW59" i="2"/>
  <c r="DT51" i="2"/>
  <c r="DT31" i="2"/>
  <c r="DT45" i="2"/>
  <c r="DW43" i="2"/>
  <c r="DV19" i="2"/>
  <c r="DV35" i="2"/>
  <c r="DS49" i="2"/>
  <c r="DU25" i="2"/>
  <c r="DV33" i="2"/>
  <c r="DV41" i="2"/>
  <c r="DU45" i="2"/>
  <c r="DU55" i="2"/>
  <c r="DU57" i="2"/>
  <c r="DT65" i="2"/>
  <c r="DT41" i="2"/>
  <c r="DW47" i="2"/>
  <c r="DT19" i="2"/>
  <c r="DW51" i="2"/>
  <c r="DW65" i="2"/>
  <c r="FN80" i="2"/>
  <c r="FN22" i="2" s="1"/>
  <c r="FM22" i="2"/>
  <c r="DU29" i="2"/>
  <c r="DS37" i="2"/>
  <c r="DV39" i="2"/>
  <c r="DU19" i="2"/>
  <c r="DV37" i="2"/>
  <c r="DS43" i="2"/>
  <c r="DU65" i="2"/>
  <c r="DU43" i="2"/>
  <c r="DV67" i="2"/>
  <c r="DW23" i="2"/>
  <c r="DW31" i="2"/>
  <c r="DW57" i="2"/>
  <c r="DW25" i="2"/>
  <c r="DT53" i="2"/>
  <c r="DT67" i="2"/>
  <c r="DS51" i="2"/>
  <c r="DV31" i="2"/>
  <c r="DS21" i="2"/>
  <c r="DV21" i="2"/>
  <c r="DU47" i="2"/>
  <c r="DS67" i="2"/>
  <c r="DV43" i="2"/>
  <c r="DV57" i="2"/>
  <c r="DT55" i="2"/>
  <c r="DW45" i="2"/>
  <c r="DT47" i="2"/>
  <c r="DT33" i="2"/>
  <c r="DW33" i="2"/>
  <c r="DW61" i="2"/>
  <c r="EF19" i="2"/>
  <c r="DV14" i="2" s="1"/>
  <c r="EF15" i="2"/>
  <c r="DV55" i="2"/>
  <c r="DS47" i="2"/>
  <c r="DS23" i="2"/>
  <c r="DS19" i="2"/>
  <c r="DV25" i="2"/>
  <c r="DU35" i="2"/>
  <c r="DV47" i="2"/>
  <c r="DS55" i="2"/>
  <c r="DU51" i="2"/>
  <c r="DU63" i="2"/>
  <c r="GV15" i="2"/>
  <c r="S13" i="2"/>
  <c r="DT39" i="2"/>
  <c r="DW49" i="2"/>
  <c r="DW39" i="2"/>
  <c r="DT25" i="2"/>
  <c r="DT37" i="2"/>
  <c r="DT63" i="2"/>
  <c r="CO25" i="2"/>
  <c r="A27" i="2"/>
  <c r="DV59" i="2"/>
  <c r="DV29" i="2"/>
  <c r="DU23" i="2"/>
  <c r="DV27" i="2"/>
  <c r="DS41" i="2"/>
  <c r="DS25" i="2"/>
  <c r="DS61" i="2"/>
  <c r="DV61" i="2"/>
  <c r="DS63" i="2"/>
  <c r="DU53" i="2"/>
  <c r="DW29" i="2"/>
  <c r="DW19" i="2"/>
  <c r="DT59" i="2"/>
  <c r="DW41" i="2"/>
  <c r="DT35" i="2"/>
  <c r="DW53" i="2"/>
  <c r="DW67" i="2"/>
  <c r="FN95" i="2"/>
  <c r="FN28" i="2" s="1"/>
  <c r="FM28" i="2"/>
  <c r="DV53" i="2"/>
  <c r="DV23" i="2"/>
  <c r="DS65" i="2"/>
  <c r="DS29" i="2"/>
  <c r="DV45" i="2"/>
  <c r="DS27" i="2"/>
  <c r="DS57" i="2"/>
  <c r="DV65" i="2"/>
  <c r="DV51" i="2"/>
  <c r="DT43" i="2"/>
  <c r="DT49" i="2"/>
  <c r="DT23" i="2"/>
  <c r="DW27" i="2"/>
  <c r="DW37" i="2"/>
  <c r="DT57" i="2"/>
  <c r="DI13" i="2" l="1" a="1"/>
  <c r="DI13" i="2" s="1"/>
  <c r="DI12" i="2" s="1"/>
  <c r="DL13" i="2" a="1"/>
  <c r="DL13" i="2" s="1"/>
  <c r="DL12" i="2" s="1"/>
  <c r="FN90" i="2"/>
  <c r="FN26" i="2" s="1"/>
  <c r="FM26" i="2"/>
  <c r="DM13" i="2" a="1"/>
  <c r="DM13" i="2" s="1"/>
  <c r="DM12" i="2" s="1"/>
  <c r="FM34" i="2"/>
  <c r="FL36" i="2"/>
  <c r="FN34" i="2"/>
  <c r="A29" i="2"/>
  <c r="CO27" i="2"/>
  <c r="DK13" i="2" a="1"/>
  <c r="DK13" i="2" s="1"/>
  <c r="DK12" i="2" s="1"/>
  <c r="DJ13" i="2" a="1"/>
  <c r="DJ13" i="2" s="1"/>
  <c r="DJ12" i="2" s="1"/>
  <c r="FM36" i="2" l="1"/>
  <c r="FN36" i="2"/>
  <c r="FL38" i="2"/>
  <c r="A31" i="2"/>
  <c r="CO29" i="2"/>
  <c r="CO31" i="2" l="1"/>
  <c r="A33" i="2"/>
  <c r="FL40" i="2"/>
  <c r="FN38" i="2"/>
  <c r="FM38" i="2"/>
  <c r="FN40" i="2" l="1"/>
  <c r="FL42" i="2"/>
  <c r="FM40" i="2"/>
  <c r="A35" i="2"/>
  <c r="CO33" i="2"/>
  <c r="CO35" i="2" l="1"/>
  <c r="A37" i="2"/>
  <c r="FL44" i="2"/>
  <c r="FN42" i="2"/>
  <c r="FM42" i="2"/>
  <c r="FL46" i="2" l="1"/>
  <c r="FN44" i="2"/>
  <c r="FM44" i="2"/>
  <c r="A39" i="2"/>
  <c r="CO37" i="2"/>
  <c r="A41" i="2" l="1"/>
  <c r="CO39" i="2"/>
  <c r="FL48" i="2"/>
  <c r="FN46" i="2"/>
  <c r="FM46" i="2"/>
  <c r="FM48" i="2" l="1"/>
  <c r="FL50" i="2"/>
  <c r="FN48" i="2"/>
  <c r="A43" i="2"/>
  <c r="CO41" i="2"/>
  <c r="CO43" i="2" l="1"/>
  <c r="A45" i="2"/>
  <c r="FN50" i="2"/>
  <c r="FM50" i="2"/>
  <c r="FL52" i="2"/>
  <c r="CO45" i="2" l="1"/>
  <c r="A47" i="2"/>
  <c r="FN52" i="2"/>
  <c r="FL54" i="2"/>
  <c r="FM52" i="2"/>
  <c r="FL56" i="2" l="1"/>
  <c r="FN54" i="2"/>
  <c r="FM54" i="2"/>
  <c r="A49" i="2"/>
  <c r="CO47" i="2"/>
  <c r="FL58" i="2" l="1"/>
  <c r="FN56" i="2"/>
  <c r="FM56" i="2"/>
  <c r="CO49" i="2"/>
  <c r="A51" i="2"/>
  <c r="A53" i="2" l="1"/>
  <c r="CO51" i="2"/>
  <c r="FM58" i="2"/>
  <c r="FN58" i="2"/>
  <c r="FN15" i="2" s="1"/>
  <c r="CO53" i="2" l="1"/>
  <c r="A55" i="2"/>
  <c r="A57" i="2" l="1"/>
  <c r="CO55" i="2"/>
  <c r="A59" i="2" l="1"/>
  <c r="CO57" i="2"/>
  <c r="A61" i="2" l="1"/>
  <c r="CO59" i="2"/>
  <c r="CO61" i="2" l="1"/>
  <c r="A63" i="2"/>
  <c r="CO63" i="2" l="1"/>
  <c r="A65" i="2"/>
  <c r="A67" i="2" l="1"/>
  <c r="CO65" i="2"/>
  <c r="A69" i="2" l="1"/>
  <c r="CO67" i="2"/>
</calcChain>
</file>

<file path=xl/sharedStrings.xml><?xml version="1.0" encoding="utf-8"?>
<sst xmlns="http://schemas.openxmlformats.org/spreadsheetml/2006/main" count="5683" uniqueCount="2353">
  <si>
    <t>COACH CARD</t>
  </si>
  <si>
    <t>Base mark</t>
  </si>
  <si>
    <t>12y/Youth safety limits (Team/Combo)</t>
  </si>
  <si>
    <t>Acro?</t>
  </si>
  <si>
    <t>Yo</t>
  </si>
  <si>
    <t>Active</t>
  </si>
  <si>
    <t>v. 6.8</t>
  </si>
  <si>
    <t>Solo?</t>
  </si>
  <si>
    <t>H</t>
  </si>
  <si>
    <t>A</t>
  </si>
  <si>
    <t>Prelim:</t>
  </si>
  <si>
    <t>Final:</t>
  </si>
  <si>
    <t>Bonus?</t>
  </si>
  <si>
    <t>PA</t>
  </si>
  <si>
    <t>B</t>
  </si>
  <si>
    <t>Competition:</t>
  </si>
  <si>
    <t>Neptun Artswim 2 feb</t>
  </si>
  <si>
    <t>Theme:</t>
  </si>
  <si>
    <t>Can-can/Balett</t>
  </si>
  <si>
    <t>Duet</t>
  </si>
  <si>
    <t>C</t>
  </si>
  <si>
    <t>Age group:</t>
  </si>
  <si>
    <t>12U</t>
  </si>
  <si>
    <t>Y</t>
  </si>
  <si>
    <t>Group 1/2</t>
  </si>
  <si>
    <t>P</t>
  </si>
  <si>
    <t>Event:</t>
  </si>
  <si>
    <t>Team</t>
  </si>
  <si>
    <t>N</t>
  </si>
  <si>
    <t>Technical</t>
  </si>
  <si>
    <t>Name of Competitor(s):</t>
  </si>
  <si>
    <t>Amelia, Elin, Stella, Felia, Lisa, Dorothea</t>
  </si>
  <si>
    <t>ChoHY</t>
  </si>
  <si>
    <t>Transition</t>
  </si>
  <si>
    <t>Technical Required Element</t>
  </si>
  <si>
    <t>Hybrid - Free</t>
  </si>
  <si>
    <t>Hybrid - Thrust + 2 connections</t>
  </si>
  <si>
    <t>Hybrid - Solo</t>
  </si>
  <si>
    <t>Hybrid - Duet</t>
  </si>
  <si>
    <t>Hybrid - All Team swimmers</t>
  </si>
  <si>
    <t>Hybrid - min 4 swimmers (no DD)</t>
  </si>
  <si>
    <t>Hybrid - Cadence</t>
  </si>
  <si>
    <t>Transition - Surface Connection</t>
  </si>
  <si>
    <t>Trans.</t>
  </si>
  <si>
    <t>TRE</t>
  </si>
  <si>
    <t>Hybrid</t>
  </si>
  <si>
    <t>H.Thrust</t>
  </si>
  <si>
    <t>H.Solo</t>
  </si>
  <si>
    <t>H.Duet</t>
  </si>
  <si>
    <t>H.Team All</t>
  </si>
  <si>
    <t>H.Team 4</t>
  </si>
  <si>
    <t>H.Cadence</t>
  </si>
  <si>
    <t>Conn.M</t>
  </si>
  <si>
    <t>Acrobatic - Check</t>
  </si>
  <si>
    <t>Saftey limit</t>
  </si>
  <si>
    <t>Check</t>
  </si>
  <si>
    <t>Acro check in Acrobatics</t>
  </si>
  <si>
    <t>Elements to use</t>
  </si>
  <si>
    <t>Used elements</t>
  </si>
  <si>
    <t>Routine total:</t>
  </si>
  <si>
    <t>To many?</t>
  </si>
  <si>
    <t>TRE-1</t>
  </si>
  <si>
    <t>TRE-2</t>
  </si>
  <si>
    <t>TRE-3</t>
  </si>
  <si>
    <t>TRE-4</t>
  </si>
  <si>
    <t>TRE-5</t>
  </si>
  <si>
    <t>Total time:</t>
  </si>
  <si>
    <t>ELEMENTS IN ORDER OF PERFORMANCE</t>
  </si>
  <si>
    <t>All families present?</t>
  </si>
  <si>
    <t>Base Mark
or
No DD</t>
  </si>
  <si>
    <t xml:space="preserve"> (Green) = A value has to be inserted</t>
  </si>
  <si>
    <t xml:space="preserve"> (Gray) = No entry in this cell</t>
  </si>
  <si>
    <r>
      <rPr>
        <b/>
        <sz val="10"/>
        <color theme="1"/>
        <rFont val="Arial"/>
      </rPr>
      <t xml:space="preserve"> (</t>
    </r>
    <r>
      <rPr>
        <b/>
        <sz val="10"/>
        <color rgb="FFFF0000"/>
        <rFont val="Arial"/>
      </rPr>
      <t>Red</t>
    </r>
    <r>
      <rPr>
        <b/>
        <sz val="10"/>
        <color theme="1"/>
        <rFont val="Arial"/>
      </rPr>
      <t>) = Something is wrong - check rules</t>
    </r>
  </si>
  <si>
    <t>Total</t>
  </si>
  <si>
    <t>Cons_</t>
  </si>
  <si>
    <t>Conx_</t>
  </si>
  <si>
    <t>Dirx_</t>
  </si>
  <si>
    <t>Pos1_</t>
  </si>
  <si>
    <t>Pos2_</t>
  </si>
  <si>
    <t>RotB_</t>
  </si>
  <si>
    <t>RotP_</t>
  </si>
  <si>
    <t>AcroBonus_</t>
  </si>
  <si>
    <t>Team Acro repeats</t>
  </si>
  <si>
    <t>Amount Hybrid families</t>
  </si>
  <si>
    <t>Hyb.Req-check</t>
  </si>
  <si>
    <t>Time start</t>
  </si>
  <si>
    <t>Time end</t>
  </si>
  <si>
    <t>Last
(X)</t>
  </si>
  <si>
    <t>Part</t>
  </si>
  <si>
    <t>Element
number</t>
  </si>
  <si>
    <t>DECLARED DIFFICULTY</t>
  </si>
  <si>
    <t>Sum</t>
  </si>
  <si>
    <t>Correct
part?</t>
  </si>
  <si>
    <t>Drop down formulas for each DD-cell</t>
  </si>
  <si>
    <t>Acro check</t>
  </si>
  <si>
    <t>No choise for this Acro type</t>
  </si>
  <si>
    <t>Minimum Declaration Requirements</t>
  </si>
  <si>
    <t>Bonus
check</t>
  </si>
  <si>
    <t>Pair
Acro</t>
  </si>
  <si>
    <t>Group A</t>
  </si>
  <si>
    <t>Group B</t>
  </si>
  <si>
    <t>Group C</t>
  </si>
  <si>
    <t>Group P</t>
  </si>
  <si>
    <t>Acrobatic
routine</t>
  </si>
  <si>
    <t>Hybrid
Family</t>
  </si>
  <si>
    <t>Hybrid check</t>
  </si>
  <si>
    <t>Hybrid
Teqnique</t>
  </si>
  <si>
    <t>TRE check</t>
  </si>
  <si>
    <t>Min</t>
  </si>
  <si>
    <t>Sec</t>
  </si>
  <si>
    <t>Cons</t>
  </si>
  <si>
    <t>Conn</t>
  </si>
  <si>
    <t>Dir</t>
  </si>
  <si>
    <t>Pos1</t>
  </si>
  <si>
    <t>Pos2</t>
  </si>
  <si>
    <t>RotB</t>
  </si>
  <si>
    <t>RotP</t>
  </si>
  <si>
    <t>Bonus1</t>
  </si>
  <si>
    <t>Bonus2</t>
  </si>
  <si>
    <t>Pos1&lt;&gt;Pos2</t>
  </si>
  <si>
    <t>Conx</t>
  </si>
  <si>
    <t>Dirx</t>
  </si>
  <si>
    <t>Bon1</t>
  </si>
  <si>
    <t>Bon2</t>
  </si>
  <si>
    <t>(Pos1)</t>
  </si>
  <si>
    <t>(Pos2)</t>
  </si>
  <si>
    <t>Group</t>
  </si>
  <si>
    <t>To many</t>
  </si>
  <si>
    <t>&gt;5 (&gt;1)</t>
  </si>
  <si>
    <t>&gt;3</t>
  </si>
  <si>
    <t>T</t>
  </si>
  <si>
    <t>S</t>
  </si>
  <si>
    <t>R</t>
  </si>
  <si>
    <t>F</t>
  </si>
  <si>
    <t>Trans</t>
  </si>
  <si>
    <t>HYB1</t>
  </si>
  <si>
    <t>X</t>
  </si>
  <si>
    <t>ACRO1</t>
  </si>
  <si>
    <t>r1</t>
  </si>
  <si>
    <t>r2</t>
  </si>
  <si>
    <t>r5</t>
  </si>
  <si>
    <t>R6</t>
  </si>
  <si>
    <t>r9</t>
  </si>
  <si>
    <t>t1</t>
  </si>
  <si>
    <t>t2</t>
  </si>
  <si>
    <t>t3</t>
  </si>
  <si>
    <t>t4</t>
  </si>
  <si>
    <t>R34</t>
  </si>
  <si>
    <t>t7</t>
  </si>
  <si>
    <t>t9</t>
  </si>
  <si>
    <t>f1</t>
  </si>
  <si>
    <t>f2</t>
  </si>
  <si>
    <t>Elem.1</t>
  </si>
  <si>
    <t>Elem.2</t>
  </si>
  <si>
    <t>Elem.3</t>
  </si>
  <si>
    <t>Elem.4</t>
  </si>
  <si>
    <t>Elem.5</t>
  </si>
  <si>
    <t>Elem.6</t>
  </si>
  <si>
    <t>Elem.7</t>
  </si>
  <si>
    <t>Elem.8</t>
  </si>
  <si>
    <t>Elem.9</t>
  </si>
  <si>
    <t>H/T/A</t>
  </si>
  <si>
    <t>B.M.</t>
  </si>
  <si>
    <t>Value</t>
  </si>
  <si>
    <t>Technical:</t>
  </si>
  <si>
    <t/>
  </si>
  <si>
    <t>Elem.10</t>
  </si>
  <si>
    <t>Elem.11</t>
  </si>
  <si>
    <t>Free:</t>
  </si>
  <si>
    <t>Version history:</t>
  </si>
  <si>
    <t>v 3.8</t>
  </si>
  <si>
    <t>Red marking now on difficulty code if manually written code is not in WAQ-list. Adaption to new rules from WAQ: New names on events. Specification on ages (m/f) on age groups. Wrong number of elements on Youth Mixed Duet.</t>
  </si>
  <si>
    <t>v 3.9</t>
  </si>
  <si>
    <t>Time start/end did mot work on the last rows in the generator above. Now also flashing red if chosen DD does not give you any value (=wrong DD code)</t>
  </si>
  <si>
    <t>v 4.0</t>
  </si>
  <si>
    <t>Session boxes did not get marking with X in the Print-sheet.</t>
  </si>
  <si>
    <t>v 4.1</t>
  </si>
  <si>
    <t>The green copy row didn't give 0.1 in BM on AcroPar from v 3.8. This was though corrected in the scoring program, but now also correct in CC.</t>
  </si>
  <si>
    <t>v 5.0</t>
  </si>
  <si>
    <t>Adaptation to new WAQ-rules regarding apnea and multiple R5-9 or T5-9. Also some design changes on the Print-sheet.</t>
  </si>
  <si>
    <t>v 5.1</t>
  </si>
  <si>
    <t>Change of colour to orange with multiple R5-9 or T5-9. Also changing other errors to red background and black text (more visable).</t>
  </si>
  <si>
    <t>v 5.2</t>
  </si>
  <si>
    <t>Bug fix - When expanding the DD input area with 2 columns, I made a mistake on the gree copy field. Now corrected.</t>
  </si>
  <si>
    <t>v 5.3</t>
  </si>
  <si>
    <t>Possibility to disengage the apnea warning + the R5/T5+ warnings. Bug fix on some warning as well. Some missing acro codes are inserted (+ln)</t>
  </si>
  <si>
    <t>v 5.4</t>
  </si>
  <si>
    <t>New approved DD values inserted. Now possible to insert + in AcroC when 2 different featured swimmers make 2 positions.</t>
  </si>
  <si>
    <t>v 6.0</t>
  </si>
  <si>
    <t>Adjusted according to new rules. Apnea removed.</t>
  </si>
  <si>
    <t>v 6.1</t>
  </si>
  <si>
    <t>Check on Acro groups (max 2 of same + minimum 1 of each). Check on "Theme" for Acrobatic. Clearer warning when exceeding time limit.</t>
  </si>
  <si>
    <t>v 6.2</t>
  </si>
  <si>
    <t>Multiple SuConn now possible directly after each other</t>
  </si>
  <si>
    <t>v 6.3</t>
  </si>
  <si>
    <t>Updated tables from WA after LEN-clinic</t>
  </si>
  <si>
    <t>v 6.4</t>
  </si>
  <si>
    <t>Updated value on TRE womens duets no 3. Changed minimum team hybrids in Free Combination</t>
  </si>
  <si>
    <t>v 6.5</t>
  </si>
  <si>
    <t>Hybrid with no DD - fixed problems with filling in after box 1 + take away bonus choices. Combo - No bonus choices now in Hybrid Solo/Duet. Mixed Tech Duet - Now fixed to only 3 boxes with family T+C+C, red if not. Teams - PC up to 15 in bonus.</t>
  </si>
  <si>
    <t>v 6.7</t>
  </si>
  <si>
    <t>Extended number of columns to put in element codes to 30. Turned the Print out to landscape view. Inserted what kind of team acrobatic is used on the printout. Fixed hybrid error warnings for factored hybrids. Inserted acro family letter infront of codes on the printout.</t>
  </si>
  <si>
    <t>v 6.8</t>
  </si>
  <si>
    <t>If Hybrid is ChoHy, then BM=0. Error in row 28, some formulas was deleted by mistake.</t>
  </si>
  <si>
    <t>Women Solo Technical</t>
  </si>
  <si>
    <t>Male Solo Technical</t>
  </si>
  <si>
    <t>Women Duet Technical</t>
  </si>
  <si>
    <t>Mixed Duet Technical</t>
  </si>
  <si>
    <t>Women Solo Free</t>
  </si>
  <si>
    <t>Male Solo Free</t>
  </si>
  <si>
    <t>Women Duet Free</t>
  </si>
  <si>
    <t>Mixed Duet Free</t>
  </si>
  <si>
    <t>Open Team Technical</t>
  </si>
  <si>
    <t>Open Team Free</t>
  </si>
  <si>
    <t>Open Team Acrobatic</t>
  </si>
  <si>
    <t>Open Free Combination</t>
  </si>
  <si>
    <t>Acrobatic</t>
  </si>
  <si>
    <t>Events</t>
  </si>
  <si>
    <t>Age Group</t>
  </si>
  <si>
    <t>Parts</t>
  </si>
  <si>
    <t>Time</t>
  </si>
  <si>
    <t>Event / Age group</t>
  </si>
  <si>
    <t>Hybrids</t>
  </si>
  <si>
    <t>Conn.Hybrid</t>
  </si>
  <si>
    <t>Thrust Hyb</t>
  </si>
  <si>
    <t>720 hyb</t>
  </si>
  <si>
    <t>Solo hyb</t>
  </si>
  <si>
    <t>Duet hyb</t>
  </si>
  <si>
    <t>Team hyb All</t>
  </si>
  <si>
    <t>Conn.Mov.</t>
  </si>
  <si>
    <t>Team hyb 4</t>
  </si>
  <si>
    <t>Cadence.hyb</t>
  </si>
  <si>
    <t>Variant</t>
  </si>
  <si>
    <t>S/D/M/T</t>
  </si>
  <si>
    <t>Team AJ/AW</t>
  </si>
  <si>
    <t>Team BS/BL</t>
  </si>
  <si>
    <t>Team CO/CT/CC</t>
  </si>
  <si>
    <t>Team PP/PF</t>
  </si>
  <si>
    <t>DD-J</t>
  </si>
  <si>
    <t>DD-K</t>
  </si>
  <si>
    <t>DD-L</t>
  </si>
  <si>
    <t>DD-M</t>
  </si>
  <si>
    <t>DD-N</t>
  </si>
  <si>
    <t>DD-O</t>
  </si>
  <si>
    <t>DD-P</t>
  </si>
  <si>
    <t>DD-Q</t>
  </si>
  <si>
    <t>DD-R</t>
  </si>
  <si>
    <t>Afghanistan - AFG</t>
  </si>
  <si>
    <t>Afghanistan</t>
  </si>
  <si>
    <t>AFG</t>
  </si>
  <si>
    <t>A-code</t>
  </si>
  <si>
    <t>A-value</t>
  </si>
  <si>
    <t>B-code</t>
  </si>
  <si>
    <t>B-value</t>
  </si>
  <si>
    <t>C-code</t>
  </si>
  <si>
    <t>C-value</t>
  </si>
  <si>
    <t>P-code</t>
  </si>
  <si>
    <t>P-value</t>
  </si>
  <si>
    <t>Albania - ALB</t>
  </si>
  <si>
    <t>Albania</t>
  </si>
  <si>
    <t>ALB</t>
  </si>
  <si>
    <t>12 and under</t>
  </si>
  <si>
    <t>Women Solo Free / 12 and under</t>
  </si>
  <si>
    <t>Solo</t>
  </si>
  <si>
    <t>AJ</t>
  </si>
  <si>
    <t>BS</t>
  </si>
  <si>
    <t>CO</t>
  </si>
  <si>
    <t>PP</t>
  </si>
  <si>
    <t>Algeria - ALG</t>
  </si>
  <si>
    <t>Algeria</t>
  </si>
  <si>
    <t>ALG</t>
  </si>
  <si>
    <t>Youth 13-15 (F) / 13-16 (M)</t>
  </si>
  <si>
    <t>Male Solo Free / 12 and under</t>
  </si>
  <si>
    <t>AW</t>
  </si>
  <si>
    <t>BL</t>
  </si>
  <si>
    <t>CT</t>
  </si>
  <si>
    <t>PF</t>
  </si>
  <si>
    <t>American Samoa - ASA</t>
  </si>
  <si>
    <t>American Samoa</t>
  </si>
  <si>
    <t>ASA</t>
  </si>
  <si>
    <t>Junior 15-19 (F) / 15-20 (M)</t>
  </si>
  <si>
    <t>Women Duet Free / 12 and under</t>
  </si>
  <si>
    <t>CC</t>
  </si>
  <si>
    <t>Andorra - AND</t>
  </si>
  <si>
    <t>Andorra</t>
  </si>
  <si>
    <t>AND</t>
  </si>
  <si>
    <t>Seniors 15 -&gt;</t>
  </si>
  <si>
    <t>Mixed Duet Free / 12 and under</t>
  </si>
  <si>
    <t>Mixed</t>
  </si>
  <si>
    <t>Angola - ANG</t>
  </si>
  <si>
    <t>Angola</t>
  </si>
  <si>
    <t>ANG</t>
  </si>
  <si>
    <t>Masters 25 -&gt;</t>
  </si>
  <si>
    <t>Open Team Free / 12 and under</t>
  </si>
  <si>
    <t>Anguilla - AGU</t>
  </si>
  <si>
    <t>Anguilla</t>
  </si>
  <si>
    <t>AGU</t>
  </si>
  <si>
    <t>Open Free Combination / 12 and under</t>
  </si>
  <si>
    <t>Antigua and Barbuda - ANT</t>
  </si>
  <si>
    <t>Antigua and Barbuda</t>
  </si>
  <si>
    <t>ANT</t>
  </si>
  <si>
    <t>Women Solo Free / Youth 13-15 (F) / 13-16 (M)</t>
  </si>
  <si>
    <t>Argentina - ARG</t>
  </si>
  <si>
    <t>Argentina</t>
  </si>
  <si>
    <t>ARG</t>
  </si>
  <si>
    <t>Male Solo Free / Youth 13-15 (F) / 13-16 (M)</t>
  </si>
  <si>
    <t>Surf</t>
  </si>
  <si>
    <t>St</t>
  </si>
  <si>
    <t>Thr~St</t>
  </si>
  <si>
    <t>Armenia - ARM</t>
  </si>
  <si>
    <t>Armenia</t>
  </si>
  <si>
    <t>ARM</t>
  </si>
  <si>
    <t>Women Duet Free / Youth 13-15 (F) / 13-16 (M)</t>
  </si>
  <si>
    <t>Thr</t>
  </si>
  <si>
    <t>st</t>
  </si>
  <si>
    <t>‘~St&gt;</t>
  </si>
  <si>
    <t>p</t>
  </si>
  <si>
    <t>Aruba - ARU</t>
  </si>
  <si>
    <t>Aruba</t>
  </si>
  <si>
    <t>ARU</t>
  </si>
  <si>
    <t>Mixed Duet Free / Youth 13-15 (F) / 13-16 (M)</t>
  </si>
  <si>
    <t>Shou</t>
  </si>
  <si>
    <t>StH</t>
  </si>
  <si>
    <t>'&gt;StSh&gt;</t>
  </si>
  <si>
    <t>Knees</t>
  </si>
  <si>
    <t>Australia - AUS</t>
  </si>
  <si>
    <t>Australia</t>
  </si>
  <si>
    <t>AUS</t>
  </si>
  <si>
    <t>Open Team Free / Youth 13-15 (F) / 13-16 (M)</t>
  </si>
  <si>
    <t>Sho</t>
  </si>
  <si>
    <t>stH</t>
  </si>
  <si>
    <t>‘&gt;Stsh</t>
  </si>
  <si>
    <t>Austria - AUT</t>
  </si>
  <si>
    <t>Austria</t>
  </si>
  <si>
    <t>AUT</t>
  </si>
  <si>
    <t>Open Free Combination / Youth 13-15 (F) / 13-16 (M)</t>
  </si>
  <si>
    <t>Hand</t>
  </si>
  <si>
    <t>StH’</t>
  </si>
  <si>
    <t>‘~St</t>
  </si>
  <si>
    <t>DB</t>
  </si>
  <si>
    <t>Azerbaijan - AZE</t>
  </si>
  <si>
    <t>Azerbaijan</t>
  </si>
  <si>
    <t>AZE</t>
  </si>
  <si>
    <t>Women Solo Technical / Junior 15-19 (F) / 15-20 (M)</t>
  </si>
  <si>
    <t>Feet</t>
  </si>
  <si>
    <t>StH’’</t>
  </si>
  <si>
    <t>‘~St*</t>
  </si>
  <si>
    <t>a</t>
  </si>
  <si>
    <t>Bahamas - BAH</t>
  </si>
  <si>
    <t>Bahamas</t>
  </si>
  <si>
    <t>BAH</t>
  </si>
  <si>
    <t>Women Solo Free / Junior 15-19 (F) / 15-20 (M)</t>
  </si>
  <si>
    <t>Sq</t>
  </si>
  <si>
    <t>StHt</t>
  </si>
  <si>
    <t>‘&gt;StH&gt;</t>
  </si>
  <si>
    <t>Chariot</t>
  </si>
  <si>
    <t>Bahrain - BRN</t>
  </si>
  <si>
    <t>Bahrain</t>
  </si>
  <si>
    <t>BRN</t>
  </si>
  <si>
    <t>Male Solo Technical / Junior 15-19 (F) / 15-20 (M)</t>
  </si>
  <si>
    <t>2Form</t>
  </si>
  <si>
    <t>St’</t>
  </si>
  <si>
    <t>‘&gt;’H&gt;</t>
  </si>
  <si>
    <t>Box</t>
  </si>
  <si>
    <t>Bangladesh - BAN</t>
  </si>
  <si>
    <t>Bangladesh</t>
  </si>
  <si>
    <t>BAN</t>
  </si>
  <si>
    <t>Male Solo Free / Junior 15-19 (F) / 15-20 (M)</t>
  </si>
  <si>
    <t>2Sup’</t>
  </si>
  <si>
    <t>St’’Hp</t>
  </si>
  <si>
    <t>‘&gt;’&gt;</t>
  </si>
  <si>
    <t>2SupB</t>
  </si>
  <si>
    <t>Barbados - BAR</t>
  </si>
  <si>
    <t>Barbados</t>
  </si>
  <si>
    <t>BAR</t>
  </si>
  <si>
    <t>Women Duet Technical / Junior 15-19 (F) / 15-20 (M)</t>
  </si>
  <si>
    <t>Tripl</t>
  </si>
  <si>
    <t>St’’Hc</t>
  </si>
  <si>
    <t>Thr&gt;PP&gt;</t>
  </si>
  <si>
    <t>2SupBB</t>
  </si>
  <si>
    <t>Belarus - BLR</t>
  </si>
  <si>
    <t>Belarus</t>
  </si>
  <si>
    <t>BLR</t>
  </si>
  <si>
    <t>Women Duet Free / Junior 15-19 (F) / 15-20 (M)</t>
  </si>
  <si>
    <t>3Pair</t>
  </si>
  <si>
    <t>St’’</t>
  </si>
  <si>
    <t>‘&gt;P&gt;</t>
  </si>
  <si>
    <t>2Sup</t>
  </si>
  <si>
    <t>Belgium - BEL</t>
  </si>
  <si>
    <t>Belgium</t>
  </si>
  <si>
    <t>BEL</t>
  </si>
  <si>
    <t>Mixed Duet Technical / Junior 15-19 (F) / 15-20 (M)</t>
  </si>
  <si>
    <t>Thr&gt;Pb₃&gt;</t>
  </si>
  <si>
    <t>Triangle</t>
  </si>
  <si>
    <t>Belize - BIZ</t>
  </si>
  <si>
    <t>Belize</t>
  </si>
  <si>
    <t>BIZ</t>
  </si>
  <si>
    <t>Mixed Duet Free / Junior 15-19 (F) / 15-20 (M)</t>
  </si>
  <si>
    <t>surf</t>
  </si>
  <si>
    <t>2SupH</t>
  </si>
  <si>
    <t>Roll&gt;P&gt;</t>
  </si>
  <si>
    <t>Rhombus</t>
  </si>
  <si>
    <t>Benin - BEN</t>
  </si>
  <si>
    <t>Benin</t>
  </si>
  <si>
    <t>BEN</t>
  </si>
  <si>
    <t>Open Team Technical / Junior 15-19 (F) / 15-20 (M)</t>
  </si>
  <si>
    <t>feet</t>
  </si>
  <si>
    <t>2mSup</t>
  </si>
  <si>
    <t>St&gt;Stp</t>
  </si>
  <si>
    <t>Star</t>
  </si>
  <si>
    <t>Bermuda - BER</t>
  </si>
  <si>
    <t>Bermuda</t>
  </si>
  <si>
    <t>BER</t>
  </si>
  <si>
    <t>Open Team Free / Junior 15-19 (F) / 15-20 (M)</t>
  </si>
  <si>
    <t>2SupH(2)</t>
  </si>
  <si>
    <t xml:space="preserve">‘&gt;Stsh </t>
  </si>
  <si>
    <t>Star6</t>
  </si>
  <si>
    <t>Bhutan - BHU</t>
  </si>
  <si>
    <t>Bhutan</t>
  </si>
  <si>
    <t>BHU</t>
  </si>
  <si>
    <t>Acrobatic - Pair</t>
  </si>
  <si>
    <t>Open Free Combination / Junior 15-19 (F) / 15-20 (M)</t>
  </si>
  <si>
    <t>L</t>
  </si>
  <si>
    <t>Thr&gt;StH</t>
  </si>
  <si>
    <t>Star7</t>
  </si>
  <si>
    <t>Bolivia - BOL</t>
  </si>
  <si>
    <t>Bolivia</t>
  </si>
  <si>
    <t>BOL</t>
  </si>
  <si>
    <t>Open Team Acrobatic / Junior 15-19 (F) / 15-20 (M)</t>
  </si>
  <si>
    <t>Ꞁ</t>
  </si>
  <si>
    <t>‘↷L</t>
  </si>
  <si>
    <t>Bosnia and Herzegovina - BIH</t>
  </si>
  <si>
    <t>Bosnia and Herzegovina</t>
  </si>
  <si>
    <t>BIH</t>
  </si>
  <si>
    <t>Women Solo Technical / Seniors 15 -&gt;</t>
  </si>
  <si>
    <t>StH’’’</t>
  </si>
  <si>
    <t>Thr↷L</t>
  </si>
  <si>
    <t>(2)</t>
  </si>
  <si>
    <t>Botswana - BOT</t>
  </si>
  <si>
    <t>Botswana</t>
  </si>
  <si>
    <t>BOT</t>
  </si>
  <si>
    <t>Women Solo Free / Seniors 15 -&gt;</t>
  </si>
  <si>
    <t>StH’’’’</t>
  </si>
  <si>
    <t>St&gt;’H&gt;</t>
  </si>
  <si>
    <t>Compass</t>
  </si>
  <si>
    <t>Brazil - BRA</t>
  </si>
  <si>
    <t>Brazil</t>
  </si>
  <si>
    <t>BRA</t>
  </si>
  <si>
    <t>Male Solo Technical / Seniors 15 -&gt;</t>
  </si>
  <si>
    <t>Lh</t>
  </si>
  <si>
    <t>‘&gt;StSt&gt;</t>
  </si>
  <si>
    <t>hand</t>
  </si>
  <si>
    <t>British Virgin Islands - IVB</t>
  </si>
  <si>
    <t>British Virgin Islands</t>
  </si>
  <si>
    <t>IVB</t>
  </si>
  <si>
    <t>Male Solo Free / Seniors 15 -&gt;</t>
  </si>
  <si>
    <t>LM</t>
  </si>
  <si>
    <t>Thr&gt;P</t>
  </si>
  <si>
    <t>Fo</t>
  </si>
  <si>
    <t>Brunei Darussalam - BRU</t>
  </si>
  <si>
    <t>Brunei Darussalam</t>
  </si>
  <si>
    <t>BRU</t>
  </si>
  <si>
    <t>Women Duet Technical / Seniors 15 -&gt;</t>
  </si>
  <si>
    <t>Lmu</t>
  </si>
  <si>
    <t>L’</t>
  </si>
  <si>
    <t>Carp</t>
  </si>
  <si>
    <t>Bulgaria - BUL</t>
  </si>
  <si>
    <t>Bulgaria</t>
  </si>
  <si>
    <t>BUL</t>
  </si>
  <si>
    <t>Women Duet Free / Seniors 15 -&gt;</t>
  </si>
  <si>
    <t>L(2)</t>
  </si>
  <si>
    <t>Thr&gt;hand&gt;</t>
  </si>
  <si>
    <t>Carp4</t>
  </si>
  <si>
    <t>Burkina Faso - BUR</t>
  </si>
  <si>
    <t>Burkina Faso</t>
  </si>
  <si>
    <t>BUR</t>
  </si>
  <si>
    <t>Mixed Duet Technical / Seniors 15 -&gt;</t>
  </si>
  <si>
    <t>Lh(2)</t>
  </si>
  <si>
    <t>Thr&gt;base&gt;</t>
  </si>
  <si>
    <t>P4l</t>
  </si>
  <si>
    <t>Burundi - BDI</t>
  </si>
  <si>
    <t>Burundi</t>
  </si>
  <si>
    <t>BDI</t>
  </si>
  <si>
    <t>Mixed Duet Free / Seniors 15 -&gt;</t>
  </si>
  <si>
    <t>L’’</t>
  </si>
  <si>
    <t>St+Thr(2)</t>
  </si>
  <si>
    <t>2bbSup</t>
  </si>
  <si>
    <t>Cambodia - CAM</t>
  </si>
  <si>
    <t>Cambodia</t>
  </si>
  <si>
    <t>CAM</t>
  </si>
  <si>
    <t>Open Team Technical / Seniors 15 -&gt;</t>
  </si>
  <si>
    <t>LMp</t>
  </si>
  <si>
    <t>Sn</t>
  </si>
  <si>
    <t>Cameroon - CMR</t>
  </si>
  <si>
    <t>Cameroon</t>
  </si>
  <si>
    <t>CMR</t>
  </si>
  <si>
    <t>Open Team Free / Seniors 15 -&gt;</t>
  </si>
  <si>
    <t>LSurf</t>
  </si>
  <si>
    <t>SnH</t>
  </si>
  <si>
    <t>Canada - CAN</t>
  </si>
  <si>
    <t>Canada</t>
  </si>
  <si>
    <t>CAN</t>
  </si>
  <si>
    <t>Open Free Combination / Seniors 15 -&gt;</t>
  </si>
  <si>
    <t>L»</t>
  </si>
  <si>
    <t>St&gt;St&gt;</t>
  </si>
  <si>
    <t>Cape Verde - CPV</t>
  </si>
  <si>
    <t>Cape Verde</t>
  </si>
  <si>
    <t>CPV</t>
  </si>
  <si>
    <t>Open Team Acrobatic / Seniors 15 -&gt;</t>
  </si>
  <si>
    <t>2Sup»</t>
  </si>
  <si>
    <t>Cayman Islands - CAY</t>
  </si>
  <si>
    <t>Cayman Islands</t>
  </si>
  <si>
    <t>CAY</t>
  </si>
  <si>
    <t>Lh²*</t>
  </si>
  <si>
    <t>‘&gt;Stm</t>
  </si>
  <si>
    <t>Central African Republic - CAF</t>
  </si>
  <si>
    <t>Central African Republic</t>
  </si>
  <si>
    <t>CAF</t>
  </si>
  <si>
    <t>St»</t>
  </si>
  <si>
    <t>Thr~St&gt;</t>
  </si>
  <si>
    <t>Chad - CHA</t>
  </si>
  <si>
    <t>Chad</t>
  </si>
  <si>
    <t>CHA</t>
  </si>
  <si>
    <t>Trin</t>
  </si>
  <si>
    <t>&gt;HandSurf&gt;</t>
  </si>
  <si>
    <t>Chile - CHI</t>
  </si>
  <si>
    <t>Chile</t>
  </si>
  <si>
    <t>CHI</t>
  </si>
  <si>
    <t>St’’Hs</t>
  </si>
  <si>
    <t>‘&gt;L&gt;</t>
  </si>
  <si>
    <t>China - CHN</t>
  </si>
  <si>
    <t>China</t>
  </si>
  <si>
    <t>CHN</t>
  </si>
  <si>
    <t>H15:I15</t>
  </si>
  <si>
    <t>H15</t>
  </si>
  <si>
    <t>O</t>
  </si>
  <si>
    <t>Toss&gt;hand&gt;</t>
  </si>
  <si>
    <t>Chinese Taipei - TPE</t>
  </si>
  <si>
    <t>Chinese Taipei</t>
  </si>
  <si>
    <t>TPE</t>
  </si>
  <si>
    <t>I15</t>
  </si>
  <si>
    <t>Thr&gt;3head&gt;</t>
  </si>
  <si>
    <t>Colombia - COL</t>
  </si>
  <si>
    <t>Colombia</t>
  </si>
  <si>
    <t>COL</t>
  </si>
  <si>
    <t>(2)Thr &gt;hand&gt;</t>
  </si>
  <si>
    <t>Comoros - COM</t>
  </si>
  <si>
    <t>Comoros</t>
  </si>
  <si>
    <t>COM</t>
  </si>
  <si>
    <t>Thr&gt;Pb²&gt;</t>
  </si>
  <si>
    <t>Congo - CGO</t>
  </si>
  <si>
    <t>Congo</t>
  </si>
  <si>
    <t>CGO</t>
  </si>
  <si>
    <t>‘&gt;Stp</t>
  </si>
  <si>
    <t>Cook Islands - COK</t>
  </si>
  <si>
    <t>Cook Islands</t>
  </si>
  <si>
    <t>COK</t>
  </si>
  <si>
    <t>Acrobatic Airborn</t>
  </si>
  <si>
    <t>L&gt;hand</t>
  </si>
  <si>
    <t>Costa Rica - CRC</t>
  </si>
  <si>
    <t>Costa Rica</t>
  </si>
  <si>
    <t>CRC</t>
  </si>
  <si>
    <t>Acrobatic Balance</t>
  </si>
  <si>
    <t>ThrSt</t>
  </si>
  <si>
    <t>Côte d'Ivoire - CIV</t>
  </si>
  <si>
    <t>Côte d'Ivoire</t>
  </si>
  <si>
    <t>CIV</t>
  </si>
  <si>
    <t>Acrobatic Combined</t>
  </si>
  <si>
    <t>‘St&gt;</t>
  </si>
  <si>
    <t>Croatia - CRO</t>
  </si>
  <si>
    <t>Croatia</t>
  </si>
  <si>
    <t>CRO</t>
  </si>
  <si>
    <t>Acrobatic Platform</t>
  </si>
  <si>
    <t>‘St</t>
  </si>
  <si>
    <t>Cuba - CUB</t>
  </si>
  <si>
    <t>Cuba</t>
  </si>
  <si>
    <t>CUB</t>
  </si>
  <si>
    <t>ThrSt&gt;</t>
  </si>
  <si>
    <t>Curacao - CUR</t>
  </si>
  <si>
    <t>Curacao</t>
  </si>
  <si>
    <t>CUR</t>
  </si>
  <si>
    <t>St&gt;StH</t>
  </si>
  <si>
    <t>Cyprus - CYP</t>
  </si>
  <si>
    <t>Cyprus</t>
  </si>
  <si>
    <t>CYP</t>
  </si>
  <si>
    <t>StH↷L</t>
  </si>
  <si>
    <t>Czech Republic - CZE</t>
  </si>
  <si>
    <t>Czech Republic</t>
  </si>
  <si>
    <t>CZE</t>
  </si>
  <si>
    <t>‘~StH</t>
  </si>
  <si>
    <t>Democratic People's Republic of Korea - PRK</t>
  </si>
  <si>
    <t>Democratic People's Republic of Korea</t>
  </si>
  <si>
    <t>PRK</t>
  </si>
  <si>
    <t>‘&gt;PP&gt;</t>
  </si>
  <si>
    <t>Democratic Republic of the Congo - COD</t>
  </si>
  <si>
    <t>Democratic Republic of the Congo</t>
  </si>
  <si>
    <t>COD</t>
  </si>
  <si>
    <t>StH~StH</t>
  </si>
  <si>
    <t>Democratic Republic of Timor-Leste - TLS</t>
  </si>
  <si>
    <t>Democratic Republic of Timor</t>
  </si>
  <si>
    <t>TLS</t>
  </si>
  <si>
    <t>2Sup*</t>
  </si>
  <si>
    <t>Denmark - DEN</t>
  </si>
  <si>
    <t>Denmark</t>
  </si>
  <si>
    <t>DEN</t>
  </si>
  <si>
    <t>ThrH&gt;Lh</t>
  </si>
  <si>
    <t>Djibouti - DJI</t>
  </si>
  <si>
    <t>Djibouti</t>
  </si>
  <si>
    <t>DJI</t>
  </si>
  <si>
    <t>St&gt;sq</t>
  </si>
  <si>
    <t>Dominica - DMA</t>
  </si>
  <si>
    <t>Dominica</t>
  </si>
  <si>
    <t>DMA</t>
  </si>
  <si>
    <t>St+ThrH(2)</t>
  </si>
  <si>
    <t>Dominican Republic - DOM</t>
  </si>
  <si>
    <t>Dominican Republic</t>
  </si>
  <si>
    <t>DOM</t>
  </si>
  <si>
    <t>ThrH↷StH</t>
  </si>
  <si>
    <t>Ecuador - ECU</t>
  </si>
  <si>
    <t>Ecuador</t>
  </si>
  <si>
    <t>ECU</t>
  </si>
  <si>
    <t>St&gt;F1</t>
  </si>
  <si>
    <t>Egypt - EGY</t>
  </si>
  <si>
    <t>Egypt</t>
  </si>
  <si>
    <t>EGY</t>
  </si>
  <si>
    <t>St&gt;F1+P1</t>
  </si>
  <si>
    <t>El Salvador - ESA</t>
  </si>
  <si>
    <t>El Salvador</t>
  </si>
  <si>
    <t>ESA</t>
  </si>
  <si>
    <t>Equatorial Guinea - GEQ</t>
  </si>
  <si>
    <t>Equatorial Guinea</t>
  </si>
  <si>
    <t>GEQ</t>
  </si>
  <si>
    <t>Eritrea - ERI</t>
  </si>
  <si>
    <t>Eritrea</t>
  </si>
  <si>
    <t>ERI</t>
  </si>
  <si>
    <t>Up</t>
  </si>
  <si>
    <t>Forw</t>
  </si>
  <si>
    <t>Estonia - EST</t>
  </si>
  <si>
    <t>Estonia</t>
  </si>
  <si>
    <t>EST</t>
  </si>
  <si>
    <t>Back</t>
  </si>
  <si>
    <t>Eswatini - SWZ</t>
  </si>
  <si>
    <t>Eswatini</t>
  </si>
  <si>
    <t>SWZ</t>
  </si>
  <si>
    <t>FORW</t>
  </si>
  <si>
    <t>Ethiopia - ETH</t>
  </si>
  <si>
    <t>Ethiopia</t>
  </si>
  <si>
    <t>ETH</t>
  </si>
  <si>
    <t>Side</t>
  </si>
  <si>
    <t>Faroe Islands - FAR</t>
  </si>
  <si>
    <t>Faroe Islands</t>
  </si>
  <si>
    <t>FAR</t>
  </si>
  <si>
    <t>Federated States of Micronesia - FSM</t>
  </si>
  <si>
    <t>Federated States of Micronesia</t>
  </si>
  <si>
    <t>FSM</t>
  </si>
  <si>
    <t>Rev</t>
  </si>
  <si>
    <t>Fiji - FIJ</t>
  </si>
  <si>
    <t>Fiji</t>
  </si>
  <si>
    <t>FIJ</t>
  </si>
  <si>
    <t>Finland - FIN</t>
  </si>
  <si>
    <t>Finland</t>
  </si>
  <si>
    <t>FIN</t>
  </si>
  <si>
    <t>France - FRA</t>
  </si>
  <si>
    <t>France</t>
  </si>
  <si>
    <t>FRA</t>
  </si>
  <si>
    <t>Gabon - GAB</t>
  </si>
  <si>
    <t>Gabon</t>
  </si>
  <si>
    <t>GAB</t>
  </si>
  <si>
    <t>Gambia - GAM</t>
  </si>
  <si>
    <t>Gambia</t>
  </si>
  <si>
    <t>GAM</t>
  </si>
  <si>
    <t>ki</t>
  </si>
  <si>
    <t>PPx</t>
  </si>
  <si>
    <t>ps</t>
  </si>
  <si>
    <t>SiA</t>
  </si>
  <si>
    <t>2ki</t>
  </si>
  <si>
    <t>Georgia - GEO</t>
  </si>
  <si>
    <t>Georgia</t>
  </si>
  <si>
    <t>GEO</t>
  </si>
  <si>
    <t>tk</t>
  </si>
  <si>
    <t>psl</t>
  </si>
  <si>
    <t>F2A</t>
  </si>
  <si>
    <t>2tk</t>
  </si>
  <si>
    <t>Germany - GER</t>
  </si>
  <si>
    <t>Germany</t>
  </si>
  <si>
    <t>GER</t>
  </si>
  <si>
    <t>pa</t>
  </si>
  <si>
    <t>FPx</t>
  </si>
  <si>
    <t>3pA</t>
  </si>
  <si>
    <t>2pa</t>
  </si>
  <si>
    <t>Ghana - GHA</t>
  </si>
  <si>
    <t>Ghana</t>
  </si>
  <si>
    <t>GHA</t>
  </si>
  <si>
    <t>nj</t>
  </si>
  <si>
    <t>FP</t>
  </si>
  <si>
    <t>3pA/</t>
  </si>
  <si>
    <t>2nj</t>
  </si>
  <si>
    <t>Gibraltar - GIB</t>
  </si>
  <si>
    <t>Gibraltar</t>
  </si>
  <si>
    <t>GIB</t>
  </si>
  <si>
    <t>pk</t>
  </si>
  <si>
    <t>FF</t>
  </si>
  <si>
    <t>FA</t>
  </si>
  <si>
    <t>2pk</t>
  </si>
  <si>
    <t>Great Britain - GBR</t>
  </si>
  <si>
    <t>Great Britain</t>
  </si>
  <si>
    <t>GBR</t>
  </si>
  <si>
    <t>mn</t>
  </si>
  <si>
    <t>HA</t>
  </si>
  <si>
    <t>2mn</t>
  </si>
  <si>
    <t>Greece - GRE</t>
  </si>
  <si>
    <t>Greece</t>
  </si>
  <si>
    <t>GRE</t>
  </si>
  <si>
    <t>Ln</t>
  </si>
  <si>
    <t>SiSb</t>
  </si>
  <si>
    <t>Go</t>
  </si>
  <si>
    <t>2Ln</t>
  </si>
  <si>
    <t>Grenada - GRN</t>
  </si>
  <si>
    <t>Grenada</t>
  </si>
  <si>
    <t>GRN</t>
  </si>
  <si>
    <t>Ln!</t>
  </si>
  <si>
    <t>Bp</t>
  </si>
  <si>
    <t>H+L</t>
  </si>
  <si>
    <t>2Ln!</t>
  </si>
  <si>
    <t>Guam - GUM</t>
  </si>
  <si>
    <t>Guam</t>
  </si>
  <si>
    <t>GUM</t>
  </si>
  <si>
    <t>sp</t>
  </si>
  <si>
    <t>ShF</t>
  </si>
  <si>
    <t>AA</t>
  </si>
  <si>
    <t>2sp</t>
  </si>
  <si>
    <t>Guatemala - GUA</t>
  </si>
  <si>
    <t>Guatemala</t>
  </si>
  <si>
    <t>GUA</t>
  </si>
  <si>
    <t>ar</t>
  </si>
  <si>
    <t>E</t>
  </si>
  <si>
    <t>FP+FK</t>
  </si>
  <si>
    <t>2ar</t>
  </si>
  <si>
    <t>Guinea - GUI</t>
  </si>
  <si>
    <t>Guinea</t>
  </si>
  <si>
    <t>GUI</t>
  </si>
  <si>
    <t>kt</t>
  </si>
  <si>
    <t>I</t>
  </si>
  <si>
    <t>SP+K</t>
  </si>
  <si>
    <t>2kt</t>
  </si>
  <si>
    <t>Guinea-Bissau - GBS</t>
  </si>
  <si>
    <t>Guinea-Bissau</t>
  </si>
  <si>
    <t>GBS</t>
  </si>
  <si>
    <t>ma</t>
  </si>
  <si>
    <t>PH/</t>
  </si>
  <si>
    <t>AK/</t>
  </si>
  <si>
    <t>2ma</t>
  </si>
  <si>
    <t>Guyana - GUY</t>
  </si>
  <si>
    <t>Guyana</t>
  </si>
  <si>
    <t>GUY</t>
  </si>
  <si>
    <t>ja</t>
  </si>
  <si>
    <t>Li4H</t>
  </si>
  <si>
    <t>Br1K</t>
  </si>
  <si>
    <t>2ja</t>
  </si>
  <si>
    <t>Haiti - HAI</t>
  </si>
  <si>
    <t>Haiti</t>
  </si>
  <si>
    <t>HAI</t>
  </si>
  <si>
    <t>rg</t>
  </si>
  <si>
    <t>W</t>
  </si>
  <si>
    <t>3pK/</t>
  </si>
  <si>
    <t>2rg</t>
  </si>
  <si>
    <t>Honduras - HON</t>
  </si>
  <si>
    <t>Honduras</t>
  </si>
  <si>
    <t>HON</t>
  </si>
  <si>
    <t>Py</t>
  </si>
  <si>
    <t>F2Ɔb</t>
  </si>
  <si>
    <t>2ld</t>
  </si>
  <si>
    <t>Hong Kong - HKG</t>
  </si>
  <si>
    <t>Hong Kong</t>
  </si>
  <si>
    <t>HKG</t>
  </si>
  <si>
    <t>AP</t>
  </si>
  <si>
    <t>F2Ɔ+H</t>
  </si>
  <si>
    <t>2he</t>
  </si>
  <si>
    <t>Hungary - HUN</t>
  </si>
  <si>
    <t>Hungary</t>
  </si>
  <si>
    <t>HUN</t>
  </si>
  <si>
    <t>ShF*</t>
  </si>
  <si>
    <t>ld</t>
  </si>
  <si>
    <t>YY</t>
  </si>
  <si>
    <t>2cr</t>
  </si>
  <si>
    <t>Iceland - ISL</t>
  </si>
  <si>
    <t>Iceland</t>
  </si>
  <si>
    <t>ISL</t>
  </si>
  <si>
    <t>Su</t>
  </si>
  <si>
    <t>he</t>
  </si>
  <si>
    <t>SiF+FB</t>
  </si>
  <si>
    <t>2kr</t>
  </si>
  <si>
    <t>India - IND</t>
  </si>
  <si>
    <t>India</t>
  </si>
  <si>
    <t>IND</t>
  </si>
  <si>
    <t>Ta</t>
  </si>
  <si>
    <t>cr</t>
  </si>
  <si>
    <t>FA+PF</t>
  </si>
  <si>
    <t>2vs</t>
  </si>
  <si>
    <t>Indonesia - INA</t>
  </si>
  <si>
    <t>Indonesia</t>
  </si>
  <si>
    <t>INA</t>
  </si>
  <si>
    <t>SiS</t>
  </si>
  <si>
    <t>kr</t>
  </si>
  <si>
    <t>SiF+FP</t>
  </si>
  <si>
    <t>2sw</t>
  </si>
  <si>
    <t>Iraq - IRQ</t>
  </si>
  <si>
    <t>Iraq</t>
  </si>
  <si>
    <t>IRQ</t>
  </si>
  <si>
    <t>F1S</t>
  </si>
  <si>
    <t>vs</t>
  </si>
  <si>
    <t>SiF/</t>
  </si>
  <si>
    <t>2gl</t>
  </si>
  <si>
    <t>Ireland - IRL</t>
  </si>
  <si>
    <t>Ireland</t>
  </si>
  <si>
    <t>IRL</t>
  </si>
  <si>
    <t>FS</t>
  </si>
  <si>
    <t>sw</t>
  </si>
  <si>
    <t>BF+Le</t>
  </si>
  <si>
    <t>2ba</t>
  </si>
  <si>
    <t>Islamic Republic of Iran - IRI</t>
  </si>
  <si>
    <t>Islamic Republic of Iran</t>
  </si>
  <si>
    <t>IRI</t>
  </si>
  <si>
    <t>F1S/</t>
  </si>
  <si>
    <t>gl</t>
  </si>
  <si>
    <t>SP+L</t>
  </si>
  <si>
    <t>2ea</t>
  </si>
  <si>
    <t>Israel - ISR</t>
  </si>
  <si>
    <t>Israel</t>
  </si>
  <si>
    <t>ISR</t>
  </si>
  <si>
    <t>Le</t>
  </si>
  <si>
    <t>ba</t>
  </si>
  <si>
    <t>SP+KF</t>
  </si>
  <si>
    <t>2sa</t>
  </si>
  <si>
    <t>Italy - ITA</t>
  </si>
  <si>
    <t>Italy</t>
  </si>
  <si>
    <t>ITA</t>
  </si>
  <si>
    <t>Li</t>
  </si>
  <si>
    <t>ea</t>
  </si>
  <si>
    <t>F2A+PF</t>
  </si>
  <si>
    <t>2ne</t>
  </si>
  <si>
    <t>Jamaica - JAM</t>
  </si>
  <si>
    <t>Jamaica</t>
  </si>
  <si>
    <t>JAM</t>
  </si>
  <si>
    <t>Ch</t>
  </si>
  <si>
    <t>sa</t>
  </si>
  <si>
    <t>4pF/</t>
  </si>
  <si>
    <t>2ey</t>
  </si>
  <si>
    <t>Japan - JPN</t>
  </si>
  <si>
    <t>Japan</t>
  </si>
  <si>
    <t>JPN</t>
  </si>
  <si>
    <t>Tw</t>
  </si>
  <si>
    <t>ne</t>
  </si>
  <si>
    <t>SiFb/</t>
  </si>
  <si>
    <t>2ln</t>
  </si>
  <si>
    <t>Jordan - JOR</t>
  </si>
  <si>
    <t>Jordan</t>
  </si>
  <si>
    <t>JOR</t>
  </si>
  <si>
    <t>Tw*</t>
  </si>
  <si>
    <t>ey</t>
  </si>
  <si>
    <t>PF+FP</t>
  </si>
  <si>
    <t>2do</t>
  </si>
  <si>
    <t>Kazakhstan - KAZ</t>
  </si>
  <si>
    <t>Kazakhstan</t>
  </si>
  <si>
    <t>KAZ</t>
  </si>
  <si>
    <t>AV</t>
  </si>
  <si>
    <t>ln</t>
  </si>
  <si>
    <t>SF/</t>
  </si>
  <si>
    <t>2si</t>
  </si>
  <si>
    <t>Kenya - KEN</t>
  </si>
  <si>
    <t>Kenya</t>
  </si>
  <si>
    <t>KEN</t>
  </si>
  <si>
    <t>AF*</t>
  </si>
  <si>
    <t>do</t>
  </si>
  <si>
    <t xml:space="preserve">SiF/ </t>
  </si>
  <si>
    <t>2mo</t>
  </si>
  <si>
    <t>Korea - KOR</t>
  </si>
  <si>
    <t>Korea</t>
  </si>
  <si>
    <t>KOR</t>
  </si>
  <si>
    <t>SpSp</t>
  </si>
  <si>
    <t>si</t>
  </si>
  <si>
    <t>PL+LP</t>
  </si>
  <si>
    <t>2sh</t>
  </si>
  <si>
    <t>Kosovo - KOS</t>
  </si>
  <si>
    <t>Kosovo</t>
  </si>
  <si>
    <t>KOS</t>
  </si>
  <si>
    <t>SiF</t>
  </si>
  <si>
    <t>mo</t>
  </si>
  <si>
    <t>PA3*</t>
  </si>
  <si>
    <t>2spl</t>
  </si>
  <si>
    <t>Kuwait - KUW</t>
  </si>
  <si>
    <t>Kuwait</t>
  </si>
  <si>
    <t>KUW</t>
  </si>
  <si>
    <t>BBb</t>
  </si>
  <si>
    <t>sh</t>
  </si>
  <si>
    <t>4pA3*</t>
  </si>
  <si>
    <t>2pe</t>
  </si>
  <si>
    <t>Kyrgyzstan - KGZ</t>
  </si>
  <si>
    <t>Kyrgyzstan</t>
  </si>
  <si>
    <t>KGZ</t>
  </si>
  <si>
    <t>Li*</t>
  </si>
  <si>
    <t>spl</t>
  </si>
  <si>
    <t>BrH</t>
  </si>
  <si>
    <t>2cd</t>
  </si>
  <si>
    <t>Lao People's Democratic Republic - LAO</t>
  </si>
  <si>
    <t>Lao People's Democratic Republic</t>
  </si>
  <si>
    <t>LAO</t>
  </si>
  <si>
    <t>SiV</t>
  </si>
  <si>
    <t>pe</t>
  </si>
  <si>
    <t>3pH</t>
  </si>
  <si>
    <t>2sc</t>
  </si>
  <si>
    <t>Latvia - LAT</t>
  </si>
  <si>
    <t>Latvia</t>
  </si>
  <si>
    <t>LAT</t>
  </si>
  <si>
    <t>AP/</t>
  </si>
  <si>
    <t>cd</t>
  </si>
  <si>
    <t>ShH</t>
  </si>
  <si>
    <t>2pt</t>
  </si>
  <si>
    <t>Lebanon - LBN</t>
  </si>
  <si>
    <t>Lebanon</t>
  </si>
  <si>
    <t>LBN</t>
  </si>
  <si>
    <t>PH*</t>
  </si>
  <si>
    <t>sc</t>
  </si>
  <si>
    <t>F2H</t>
  </si>
  <si>
    <t>2co</t>
  </si>
  <si>
    <t>Lesotho - LES</t>
  </si>
  <si>
    <t>Lesotho</t>
  </si>
  <si>
    <t>LES</t>
  </si>
  <si>
    <t>FHP/</t>
  </si>
  <si>
    <t>pt</t>
  </si>
  <si>
    <t>AH</t>
  </si>
  <si>
    <t>2mr</t>
  </si>
  <si>
    <t>Liberia - LBR</t>
  </si>
  <si>
    <t>Liberia</t>
  </si>
  <si>
    <t>LBR</t>
  </si>
  <si>
    <t>FF*</t>
  </si>
  <si>
    <t>co</t>
  </si>
  <si>
    <t xml:space="preserve">AA </t>
  </si>
  <si>
    <t>2sb</t>
  </si>
  <si>
    <t>Libya - LBA</t>
  </si>
  <si>
    <t>Libya</t>
  </si>
  <si>
    <t>LBA</t>
  </si>
  <si>
    <t>AL/</t>
  </si>
  <si>
    <t>mr</t>
  </si>
  <si>
    <t>3pA2</t>
  </si>
  <si>
    <t>2bi</t>
  </si>
  <si>
    <t>Liechtenstein - LIE</t>
  </si>
  <si>
    <t>Liechtenstein</t>
  </si>
  <si>
    <t>LIE</t>
  </si>
  <si>
    <t>FP*</t>
  </si>
  <si>
    <t>sb</t>
  </si>
  <si>
    <t>Br1A2</t>
  </si>
  <si>
    <t>2fl</t>
  </si>
  <si>
    <t>Lithuania - LTU</t>
  </si>
  <si>
    <t>Lithuania</t>
  </si>
  <si>
    <t>LTU</t>
  </si>
  <si>
    <t>SiF*</t>
  </si>
  <si>
    <t>bi</t>
  </si>
  <si>
    <t>FA2+PF</t>
  </si>
  <si>
    <t>2so</t>
  </si>
  <si>
    <t>Luxembourg - LUX</t>
  </si>
  <si>
    <t>Luxembourg</t>
  </si>
  <si>
    <t>LUX</t>
  </si>
  <si>
    <t>AP\</t>
  </si>
  <si>
    <t>fl</t>
  </si>
  <si>
    <t>F2A2+PF</t>
  </si>
  <si>
    <t>2tu</t>
  </si>
  <si>
    <t>Macau - MAC</t>
  </si>
  <si>
    <t>Macau</t>
  </si>
  <si>
    <t>MAC</t>
  </si>
  <si>
    <t>SF+FB</t>
  </si>
  <si>
    <t>so</t>
  </si>
  <si>
    <t>FB2+PF+KF</t>
  </si>
  <si>
    <t>2se</t>
  </si>
  <si>
    <t>Madagascar - MAD</t>
  </si>
  <si>
    <t>Madagascar</t>
  </si>
  <si>
    <t>MAD</t>
  </si>
  <si>
    <t>Px1P</t>
  </si>
  <si>
    <t>tu</t>
  </si>
  <si>
    <t>F2B2+PF+PF</t>
  </si>
  <si>
    <t>2pi</t>
  </si>
  <si>
    <t>Malawi - MAW</t>
  </si>
  <si>
    <t>Malawi</t>
  </si>
  <si>
    <t>MAW</t>
  </si>
  <si>
    <t>SiF1</t>
  </si>
  <si>
    <t>se</t>
  </si>
  <si>
    <t>F2A2</t>
  </si>
  <si>
    <t>2ro</t>
  </si>
  <si>
    <t>Malaysia - MAS</t>
  </si>
  <si>
    <t>Malaysia</t>
  </si>
  <si>
    <t>MAS</t>
  </si>
  <si>
    <t>1P1P</t>
  </si>
  <si>
    <t>pi</t>
  </si>
  <si>
    <t>4pA2</t>
  </si>
  <si>
    <t>2lp</t>
  </si>
  <si>
    <t>Maldives - MDV</t>
  </si>
  <si>
    <t>Maldives</t>
  </si>
  <si>
    <t>MDV</t>
  </si>
  <si>
    <t>ro</t>
  </si>
  <si>
    <t xml:space="preserve">3pA2 </t>
  </si>
  <si>
    <t>2bo</t>
  </si>
  <si>
    <t>Mali - MLI</t>
  </si>
  <si>
    <t>Mali</t>
  </si>
  <si>
    <t>MLI</t>
  </si>
  <si>
    <t>lp</t>
  </si>
  <si>
    <t>FSh</t>
  </si>
  <si>
    <t>2bb</t>
  </si>
  <si>
    <t>Malta - MLT</t>
  </si>
  <si>
    <t>Malta</t>
  </si>
  <si>
    <t>MLT</t>
  </si>
  <si>
    <t>bo</t>
  </si>
  <si>
    <t>SiSh</t>
  </si>
  <si>
    <t>2ig</t>
  </si>
  <si>
    <t>Marshall Islands - MHL</t>
  </si>
  <si>
    <t>Marshall Islands</t>
  </si>
  <si>
    <t>MHL</t>
  </si>
  <si>
    <t>bb</t>
  </si>
  <si>
    <t>2LSh</t>
  </si>
  <si>
    <t>2kn</t>
  </si>
  <si>
    <t>Mauritania - MTN</t>
  </si>
  <si>
    <t>Mauritania</t>
  </si>
  <si>
    <t>MTN</t>
  </si>
  <si>
    <t>ig</t>
  </si>
  <si>
    <t>F1H</t>
  </si>
  <si>
    <t>2wi</t>
  </si>
  <si>
    <t>Mauritius - MRI</t>
  </si>
  <si>
    <t>Mauritius</t>
  </si>
  <si>
    <t>MRI</t>
  </si>
  <si>
    <t>kn</t>
  </si>
  <si>
    <t>FK+&gt;FK1</t>
  </si>
  <si>
    <t>2be</t>
  </si>
  <si>
    <t>Mexico - MEX</t>
  </si>
  <si>
    <t>Mexico</t>
  </si>
  <si>
    <t>MEX</t>
  </si>
  <si>
    <t>wi</t>
  </si>
  <si>
    <t>PK+KP</t>
  </si>
  <si>
    <t>2to</t>
  </si>
  <si>
    <t>Moldova - MDA</t>
  </si>
  <si>
    <t>Moldova</t>
  </si>
  <si>
    <t>MDA</t>
  </si>
  <si>
    <t>be</t>
  </si>
  <si>
    <t>2ow</t>
  </si>
  <si>
    <t>Monaco - MON</t>
  </si>
  <si>
    <t>Monaco</t>
  </si>
  <si>
    <t>MON</t>
  </si>
  <si>
    <t>to</t>
  </si>
  <si>
    <t>2br</t>
  </si>
  <si>
    <t>Mongolia - MGL</t>
  </si>
  <si>
    <t>Mongolia</t>
  </si>
  <si>
    <t>MGL</t>
  </si>
  <si>
    <t>ow</t>
  </si>
  <si>
    <t>2dr</t>
  </si>
  <si>
    <t>Montenegro - MNE</t>
  </si>
  <si>
    <t>Montenegro</t>
  </si>
  <si>
    <t>MNE</t>
  </si>
  <si>
    <t>br</t>
  </si>
  <si>
    <t>2qu</t>
  </si>
  <si>
    <t>Morocco - MAR</t>
  </si>
  <si>
    <t>Morocco</t>
  </si>
  <si>
    <t>MAR</t>
  </si>
  <si>
    <t>dr</t>
  </si>
  <si>
    <t>Mozambique - MOZ</t>
  </si>
  <si>
    <t>Mozambique</t>
  </si>
  <si>
    <t>MOZ</t>
  </si>
  <si>
    <t>qu</t>
  </si>
  <si>
    <t>Myanmar - MYA</t>
  </si>
  <si>
    <t>Myanmar</t>
  </si>
  <si>
    <t>MYA</t>
  </si>
  <si>
    <t>Namibia - NAM</t>
  </si>
  <si>
    <t>Namibia</t>
  </si>
  <si>
    <t>NAM</t>
  </si>
  <si>
    <t>ps+</t>
  </si>
  <si>
    <t>Nepal - NEP</t>
  </si>
  <si>
    <t>Nepal</t>
  </si>
  <si>
    <t>NEP</t>
  </si>
  <si>
    <t>psl+</t>
  </si>
  <si>
    <t>Netherlands - NED</t>
  </si>
  <si>
    <t>Netherlands</t>
  </si>
  <si>
    <t>NED</t>
  </si>
  <si>
    <t>ki+</t>
  </si>
  <si>
    <t>New Zealand - NZL</t>
  </si>
  <si>
    <t>New Zealand</t>
  </si>
  <si>
    <t>NZL</t>
  </si>
  <si>
    <t>tk+</t>
  </si>
  <si>
    <t>Nicaragua - NCA</t>
  </si>
  <si>
    <t>Nicaragua</t>
  </si>
  <si>
    <t>NCA</t>
  </si>
  <si>
    <t>pa+</t>
  </si>
  <si>
    <t>Niger - NIG</t>
  </si>
  <si>
    <t>Niger</t>
  </si>
  <si>
    <t>NIG</t>
  </si>
  <si>
    <t>nj+</t>
  </si>
  <si>
    <t>Nigeria - NGR</t>
  </si>
  <si>
    <t>Nigeria</t>
  </si>
  <si>
    <t>NGR</t>
  </si>
  <si>
    <t>pk+</t>
  </si>
  <si>
    <t>North Macedonia - MKD</t>
  </si>
  <si>
    <t>North Macedonia</t>
  </si>
  <si>
    <t>MKD</t>
  </si>
  <si>
    <t>mn+</t>
  </si>
  <si>
    <t>Northern Mariana Islands - NMA</t>
  </si>
  <si>
    <t>Northern Mariana Islands</t>
  </si>
  <si>
    <t>NMA</t>
  </si>
  <si>
    <t>Ln+</t>
  </si>
  <si>
    <t>Norway - NOR</t>
  </si>
  <si>
    <t>Norway</t>
  </si>
  <si>
    <t>NOR</t>
  </si>
  <si>
    <t>Ln!+</t>
  </si>
  <si>
    <t>Oman - OMA</t>
  </si>
  <si>
    <t>Oman</t>
  </si>
  <si>
    <t>OMA</t>
  </si>
  <si>
    <t>sp+</t>
  </si>
  <si>
    <t>Pakistan - PAK</t>
  </si>
  <si>
    <t>Pakistan</t>
  </si>
  <si>
    <t>PAK</t>
  </si>
  <si>
    <t>ar+</t>
  </si>
  <si>
    <t>Palau - PLW</t>
  </si>
  <si>
    <t>Palau</t>
  </si>
  <si>
    <t>PLW</t>
  </si>
  <si>
    <t>kt+</t>
  </si>
  <si>
    <t>Palestine - PLE</t>
  </si>
  <si>
    <t>Palestine</t>
  </si>
  <si>
    <t>PLE</t>
  </si>
  <si>
    <t>ma+</t>
  </si>
  <si>
    <t>Panama - PAN</t>
  </si>
  <si>
    <t>Panama</t>
  </si>
  <si>
    <t>PAN</t>
  </si>
  <si>
    <t>ja+</t>
  </si>
  <si>
    <t>Papua New Guinea - PNG</t>
  </si>
  <si>
    <t>Papua New Guinea</t>
  </si>
  <si>
    <t>PNG</t>
  </si>
  <si>
    <t>rg+</t>
  </si>
  <si>
    <t>Paraguay - PAR</t>
  </si>
  <si>
    <t>Paraguay</t>
  </si>
  <si>
    <t>PAR</t>
  </si>
  <si>
    <t>ld+</t>
  </si>
  <si>
    <t>Peru - PER</t>
  </si>
  <si>
    <t>Peru</t>
  </si>
  <si>
    <t>PER</t>
  </si>
  <si>
    <t>he+</t>
  </si>
  <si>
    <t>Philippines - PHI</t>
  </si>
  <si>
    <t>Philippines</t>
  </si>
  <si>
    <t>PHI</t>
  </si>
  <si>
    <t>cr+</t>
  </si>
  <si>
    <t>Poland - POL</t>
  </si>
  <si>
    <t>Poland</t>
  </si>
  <si>
    <t>POL</t>
  </si>
  <si>
    <t>kr+</t>
  </si>
  <si>
    <t>Portugal - POR</t>
  </si>
  <si>
    <t>Portugal</t>
  </si>
  <si>
    <t>POR</t>
  </si>
  <si>
    <t>vs+</t>
  </si>
  <si>
    <t>Puerto Rico - PUR</t>
  </si>
  <si>
    <t>Puerto Rico</t>
  </si>
  <si>
    <t>PUR</t>
  </si>
  <si>
    <t>sw+</t>
  </si>
  <si>
    <t>Qatar - QAT</t>
  </si>
  <si>
    <t>Qatar</t>
  </si>
  <si>
    <t>QAT</t>
  </si>
  <si>
    <t>gl+</t>
  </si>
  <si>
    <t>Romania - ROU</t>
  </si>
  <si>
    <t>Romania</t>
  </si>
  <si>
    <t>ROU</t>
  </si>
  <si>
    <t>ba+</t>
  </si>
  <si>
    <t>Russia - RUS</t>
  </si>
  <si>
    <t>Russia</t>
  </si>
  <si>
    <t>RUS</t>
  </si>
  <si>
    <t>ea+</t>
  </si>
  <si>
    <t>Rwanda - RWA</t>
  </si>
  <si>
    <t>Rwanda</t>
  </si>
  <si>
    <t>RWA</t>
  </si>
  <si>
    <t>sa+</t>
  </si>
  <si>
    <t>Saint Lucia - LCA</t>
  </si>
  <si>
    <t>Saint Lucia</t>
  </si>
  <si>
    <t>LCA</t>
  </si>
  <si>
    <t>ne+</t>
  </si>
  <si>
    <t>Samoa - SAM</t>
  </si>
  <si>
    <t>Samoa</t>
  </si>
  <si>
    <t>SAM</t>
  </si>
  <si>
    <t>ey+</t>
  </si>
  <si>
    <t>San Marino - SMR</t>
  </si>
  <si>
    <t>San Marino</t>
  </si>
  <si>
    <t>SMR</t>
  </si>
  <si>
    <t>ln+</t>
  </si>
  <si>
    <t>Saudi Arabia - KSA</t>
  </si>
  <si>
    <t>Saudi Arabia</t>
  </si>
  <si>
    <t>KSA</t>
  </si>
  <si>
    <t>do+</t>
  </si>
  <si>
    <t>Senegal - SEN</t>
  </si>
  <si>
    <t>Senegal</t>
  </si>
  <si>
    <t>SEN</t>
  </si>
  <si>
    <t>si+</t>
  </si>
  <si>
    <t>Serbia - SRB</t>
  </si>
  <si>
    <t>Serbia</t>
  </si>
  <si>
    <t>SRB</t>
  </si>
  <si>
    <t>mo+</t>
  </si>
  <si>
    <t>Seychelles - SEY</t>
  </si>
  <si>
    <t>Seychelles</t>
  </si>
  <si>
    <t>SEY</t>
  </si>
  <si>
    <t>sh+</t>
  </si>
  <si>
    <t>Sierra Leone - SLE</t>
  </si>
  <si>
    <t>Sierra Leone</t>
  </si>
  <si>
    <t>SLE</t>
  </si>
  <si>
    <t>spl+</t>
  </si>
  <si>
    <t>Singapore - SGP</t>
  </si>
  <si>
    <t>Singapore</t>
  </si>
  <si>
    <t>SGP</t>
  </si>
  <si>
    <t>pe+</t>
  </si>
  <si>
    <t>Sint Maarten - MAA</t>
  </si>
  <si>
    <t>Sint Maarten</t>
  </si>
  <si>
    <t>MAA</t>
  </si>
  <si>
    <t>cd+</t>
  </si>
  <si>
    <t>Slovakia - SVK</t>
  </si>
  <si>
    <t>Slovakia</t>
  </si>
  <si>
    <t>SVK</t>
  </si>
  <si>
    <t>sc+</t>
  </si>
  <si>
    <t>Slovenia - SLO</t>
  </si>
  <si>
    <t>Slovenia</t>
  </si>
  <si>
    <t>SLO</t>
  </si>
  <si>
    <t>pt+</t>
  </si>
  <si>
    <t>Solomon Islands - SOL</t>
  </si>
  <si>
    <t>Solomon Islands</t>
  </si>
  <si>
    <t>SOL</t>
  </si>
  <si>
    <t>co+</t>
  </si>
  <si>
    <t>Somalia - SOM</t>
  </si>
  <si>
    <t>Somalia</t>
  </si>
  <si>
    <t>SOM</t>
  </si>
  <si>
    <t>mr+</t>
  </si>
  <si>
    <t>South Africa - RSA</t>
  </si>
  <si>
    <t>South Africa</t>
  </si>
  <si>
    <t>RSA</t>
  </si>
  <si>
    <t>sb+</t>
  </si>
  <si>
    <t>Spain - ESP</t>
  </si>
  <si>
    <t>Spain</t>
  </si>
  <si>
    <t>ESP</t>
  </si>
  <si>
    <t>bi+</t>
  </si>
  <si>
    <t>Sri Lanka - SRI</t>
  </si>
  <si>
    <t>Sri Lanka</t>
  </si>
  <si>
    <t>SRI</t>
  </si>
  <si>
    <t>fl+</t>
  </si>
  <si>
    <t>St. Kitts and Nevis - SKN</t>
  </si>
  <si>
    <t>St. Kitts and Nevis</t>
  </si>
  <si>
    <t>SKN</t>
  </si>
  <si>
    <t>so+</t>
  </si>
  <si>
    <t>fg</t>
  </si>
  <si>
    <t>St. Vincent and Grenadines - VIN</t>
  </si>
  <si>
    <t>St. Vincent and Grenadines</t>
  </si>
  <si>
    <t>VIN</t>
  </si>
  <si>
    <t>tu+</t>
  </si>
  <si>
    <t>Sudan - SUD</t>
  </si>
  <si>
    <t>Sudan</t>
  </si>
  <si>
    <t>SUD</t>
  </si>
  <si>
    <t>se+</t>
  </si>
  <si>
    <t>Suriname - SUR</t>
  </si>
  <si>
    <t>Suriname</t>
  </si>
  <si>
    <t>SUR</t>
  </si>
  <si>
    <t>pi+</t>
  </si>
  <si>
    <t>Sweden - SWE</t>
  </si>
  <si>
    <t>Sweden</t>
  </si>
  <si>
    <t>SWE</t>
  </si>
  <si>
    <t>ro+</t>
  </si>
  <si>
    <t>Switzerland - SUI</t>
  </si>
  <si>
    <t>Switzerland</t>
  </si>
  <si>
    <t>SUI</t>
  </si>
  <si>
    <t>lp+</t>
  </si>
  <si>
    <t>Syrian Arab Republic - SYR</t>
  </si>
  <si>
    <t>Syrian Arab Republic</t>
  </si>
  <si>
    <t>SYR</t>
  </si>
  <si>
    <t>bo+</t>
  </si>
  <si>
    <t>Tajikistan - TJK</t>
  </si>
  <si>
    <t>Tajikistan</t>
  </si>
  <si>
    <t>TJK</t>
  </si>
  <si>
    <t>bb+</t>
  </si>
  <si>
    <t>Tanzania - TAN</t>
  </si>
  <si>
    <t>Tanzania</t>
  </si>
  <si>
    <t>TAN</t>
  </si>
  <si>
    <t>ig+</t>
  </si>
  <si>
    <t>Thailand - THA</t>
  </si>
  <si>
    <t>Thailand</t>
  </si>
  <si>
    <t>THA</t>
  </si>
  <si>
    <t>kn+</t>
  </si>
  <si>
    <t>Togo - TOG</t>
  </si>
  <si>
    <t>Togo</t>
  </si>
  <si>
    <t>TOG</t>
  </si>
  <si>
    <t>wi+</t>
  </si>
  <si>
    <t>Tonga - TGA</t>
  </si>
  <si>
    <t>Tonga</t>
  </si>
  <si>
    <t>TGA</t>
  </si>
  <si>
    <t>be+</t>
  </si>
  <si>
    <t>Trinidad and Tobago - TTO</t>
  </si>
  <si>
    <t>Trinidad and Tobago</t>
  </si>
  <si>
    <t>TTO</t>
  </si>
  <si>
    <t>to+</t>
  </si>
  <si>
    <t>Tunisia - TUN</t>
  </si>
  <si>
    <t>Tunisia</t>
  </si>
  <si>
    <t>TUN</t>
  </si>
  <si>
    <t>ow+</t>
  </si>
  <si>
    <t>Türkiye - TUR</t>
  </si>
  <si>
    <t>Türkiye</t>
  </si>
  <si>
    <t>TUR</t>
  </si>
  <si>
    <t>br+</t>
  </si>
  <si>
    <t>Turkmenistan - TKM</t>
  </si>
  <si>
    <t>Turkmenistan</t>
  </si>
  <si>
    <t>TKM</t>
  </si>
  <si>
    <t>dr+</t>
  </si>
  <si>
    <t>Turks and Caicos Islands - TCN</t>
  </si>
  <si>
    <t>Turks and Caicos Islands</t>
  </si>
  <si>
    <t>TCN</t>
  </si>
  <si>
    <t>qu+</t>
  </si>
  <si>
    <t>Uganda - UGA</t>
  </si>
  <si>
    <t>Uganda</t>
  </si>
  <si>
    <t>UGA</t>
  </si>
  <si>
    <t>Ukraine - UKR</t>
  </si>
  <si>
    <t>Ukraine</t>
  </si>
  <si>
    <t>UKR</t>
  </si>
  <si>
    <t>United Arab Emirates - UAE</t>
  </si>
  <si>
    <t>United Arab Emirates</t>
  </si>
  <si>
    <t>UAE</t>
  </si>
  <si>
    <t>United States of America - USA</t>
  </si>
  <si>
    <t>United States of America</t>
  </si>
  <si>
    <t>USA</t>
  </si>
  <si>
    <t>Uruguay - URU</t>
  </si>
  <si>
    <t>Uruguay</t>
  </si>
  <si>
    <t>URU</t>
  </si>
  <si>
    <t>Uzbekistan - UZB</t>
  </si>
  <si>
    <t>Uzbekistan</t>
  </si>
  <si>
    <t>UZB</t>
  </si>
  <si>
    <t>Vanuatu - VAN</t>
  </si>
  <si>
    <t>Vanuatu</t>
  </si>
  <si>
    <t>VAN</t>
  </si>
  <si>
    <t>Venezuela - VEN</t>
  </si>
  <si>
    <t>Venezuela</t>
  </si>
  <si>
    <t>VEN</t>
  </si>
  <si>
    <t>Vietnam - VIE</t>
  </si>
  <si>
    <t>Vietnam</t>
  </si>
  <si>
    <t>VIE</t>
  </si>
  <si>
    <t>Virgin Islands, US - ISV</t>
  </si>
  <si>
    <t>Virgin Islands, US</t>
  </si>
  <si>
    <t>ISV</t>
  </si>
  <si>
    <t>Yemen - YEM</t>
  </si>
  <si>
    <t>Yemen</t>
  </si>
  <si>
    <t>YEM</t>
  </si>
  <si>
    <t>Zambia - ZAM</t>
  </si>
  <si>
    <t>Zambia</t>
  </si>
  <si>
    <t>ZAM</t>
  </si>
  <si>
    <t>Zimbabwe - ZIM</t>
  </si>
  <si>
    <t>Zimbabwe</t>
  </si>
  <si>
    <t>ZIM</t>
  </si>
  <si>
    <t>r/L</t>
  </si>
  <si>
    <t>r0,5</t>
  </si>
  <si>
    <t>R/</t>
  </si>
  <si>
    <t>r0,5!</t>
  </si>
  <si>
    <t>R/*</t>
  </si>
  <si>
    <t>R0,5</t>
  </si>
  <si>
    <t>R/l</t>
  </si>
  <si>
    <t>r0,5*</t>
  </si>
  <si>
    <t>r1!</t>
  </si>
  <si>
    <t>r1,5</t>
  </si>
  <si>
    <t>R0,5*</t>
  </si>
  <si>
    <t>r0,5L</t>
  </si>
  <si>
    <t>r1,5!</t>
  </si>
  <si>
    <t>R0,5h</t>
  </si>
  <si>
    <t>R0,5l</t>
  </si>
  <si>
    <t>R1</t>
  </si>
  <si>
    <t>r1*</t>
  </si>
  <si>
    <t>R1*</t>
  </si>
  <si>
    <t>R1h</t>
  </si>
  <si>
    <t>r1L</t>
  </si>
  <si>
    <t>R1,5</t>
  </si>
  <si>
    <t>r1,5*</t>
  </si>
  <si>
    <t>r2*</t>
  </si>
  <si>
    <t>r2!</t>
  </si>
  <si>
    <t>r0,5!1</t>
  </si>
  <si>
    <t>T0,5</t>
  </si>
  <si>
    <t>T1</t>
  </si>
  <si>
    <t>T1,5</t>
  </si>
  <si>
    <t>T2</t>
  </si>
  <si>
    <t>t0,5</t>
  </si>
  <si>
    <t>t1,5</t>
  </si>
  <si>
    <t>s0,5</t>
  </si>
  <si>
    <t>S0,5</t>
  </si>
  <si>
    <t>s1</t>
  </si>
  <si>
    <t>s1,5</t>
  </si>
  <si>
    <t>s2</t>
  </si>
  <si>
    <t>s2,5</t>
  </si>
  <si>
    <t>f1,5</t>
  </si>
  <si>
    <t>s3</t>
  </si>
  <si>
    <t>h</t>
  </si>
  <si>
    <t>d</t>
  </si>
  <si>
    <t>dt0,5</t>
  </si>
  <si>
    <t>dt1</t>
  </si>
  <si>
    <t>dt1,5</t>
  </si>
  <si>
    <t>c</t>
  </si>
  <si>
    <t>s1t0,5</t>
  </si>
  <si>
    <t>s1t1</t>
  </si>
  <si>
    <t>s1t1,5</t>
  </si>
  <si>
    <t>s1t2</t>
  </si>
  <si>
    <t>s1,5t0,5</t>
  </si>
  <si>
    <t>S0,5t0,5</t>
  </si>
  <si>
    <t>s1,5t1</t>
  </si>
  <si>
    <t>s2t0,5</t>
  </si>
  <si>
    <t>s2t1</t>
  </si>
  <si>
    <t>s1t2,5</t>
  </si>
  <si>
    <t>hhs1</t>
  </si>
  <si>
    <t>s1,5t1,5</t>
  </si>
  <si>
    <t>s1t3</t>
  </si>
  <si>
    <t>u1</t>
  </si>
  <si>
    <t>w1</t>
  </si>
  <si>
    <t>y1</t>
  </si>
  <si>
    <t>j1</t>
  </si>
  <si>
    <t>u2</t>
  </si>
  <si>
    <t>w2</t>
  </si>
  <si>
    <t>y2</t>
  </si>
  <si>
    <t>j2</t>
  </si>
  <si>
    <t>u3</t>
  </si>
  <si>
    <t>w3</t>
  </si>
  <si>
    <t>y3</t>
  </si>
  <si>
    <t>j3</t>
  </si>
  <si>
    <t>u4</t>
  </si>
  <si>
    <t>w4</t>
  </si>
  <si>
    <t>y4</t>
  </si>
  <si>
    <t>j4</t>
  </si>
  <si>
    <t>u5</t>
  </si>
  <si>
    <t>w5</t>
  </si>
  <si>
    <t>y5</t>
  </si>
  <si>
    <t>j5</t>
  </si>
  <si>
    <t>u6</t>
  </si>
  <si>
    <t>w6</t>
  </si>
  <si>
    <t>y6</t>
  </si>
  <si>
    <t>j6</t>
  </si>
  <si>
    <t>u7</t>
  </si>
  <si>
    <t>w7</t>
  </si>
  <si>
    <t>y7</t>
  </si>
  <si>
    <t>j7</t>
  </si>
  <si>
    <t>u8</t>
  </si>
  <si>
    <t>w8</t>
  </si>
  <si>
    <t>y8</t>
  </si>
  <si>
    <t>j8</t>
  </si>
  <si>
    <t>u9</t>
  </si>
  <si>
    <t>w9</t>
  </si>
  <si>
    <t>y9</t>
  </si>
  <si>
    <t>j9</t>
  </si>
  <si>
    <t>u10</t>
  </si>
  <si>
    <t>w10</t>
  </si>
  <si>
    <t>y10</t>
  </si>
  <si>
    <t>j10</t>
  </si>
  <si>
    <t>u11</t>
  </si>
  <si>
    <t>w11</t>
  </si>
  <si>
    <t>y11</t>
  </si>
  <si>
    <t>j11</t>
  </si>
  <si>
    <t>u12</t>
  </si>
  <si>
    <t>w12</t>
  </si>
  <si>
    <t>y12</t>
  </si>
  <si>
    <t>j12</t>
  </si>
  <si>
    <t>u13</t>
  </si>
  <si>
    <t>w13</t>
  </si>
  <si>
    <t>y13</t>
  </si>
  <si>
    <t>j13</t>
  </si>
  <si>
    <t>u14</t>
  </si>
  <si>
    <t>w14</t>
  </si>
  <si>
    <t>y14</t>
  </si>
  <si>
    <t>j14</t>
  </si>
  <si>
    <t>u15</t>
  </si>
  <si>
    <t>w15</t>
  </si>
  <si>
    <t>y15</t>
  </si>
  <si>
    <t>j15</t>
  </si>
  <si>
    <t>u16</t>
  </si>
  <si>
    <t>y16</t>
  </si>
  <si>
    <t>j16</t>
  </si>
  <si>
    <t>y17</t>
  </si>
  <si>
    <t>j17</t>
  </si>
  <si>
    <t>y18</t>
  </si>
  <si>
    <t>j18</t>
  </si>
  <si>
    <t>y19</t>
  </si>
  <si>
    <t>j19</t>
  </si>
  <si>
    <t>y20</t>
  </si>
  <si>
    <t>j20</t>
  </si>
  <si>
    <t>y21</t>
  </si>
  <si>
    <t>j21</t>
  </si>
  <si>
    <t>j22</t>
  </si>
  <si>
    <t>j23</t>
  </si>
  <si>
    <t>j24</t>
  </si>
  <si>
    <t>j25</t>
  </si>
  <si>
    <t>j26</t>
  </si>
  <si>
    <t>j27</t>
  </si>
  <si>
    <t>j28</t>
  </si>
  <si>
    <t>j29</t>
  </si>
  <si>
    <t>Connstruction</t>
  </si>
  <si>
    <t>GROUP A</t>
  </si>
  <si>
    <t>GROUP B</t>
  </si>
  <si>
    <t>GROUP C</t>
  </si>
  <si>
    <t>GROUP P</t>
  </si>
  <si>
    <t>Pair Acro</t>
  </si>
  <si>
    <t>Code</t>
  </si>
  <si>
    <t>DD</t>
  </si>
  <si>
    <t>L-code</t>
  </si>
  <si>
    <t>L-value</t>
  </si>
  <si>
    <t>Thr&gt;St</t>
  </si>
  <si>
    <t>L!»</t>
  </si>
  <si>
    <t>2SupU</t>
  </si>
  <si>
    <t>Thr&gt;Pair</t>
  </si>
  <si>
    <t>2SupD</t>
  </si>
  <si>
    <t>Thr&gt;FF</t>
  </si>
  <si>
    <t>Lf»</t>
  </si>
  <si>
    <t>2SupM</t>
  </si>
  <si>
    <t>Thr&gt;F</t>
  </si>
  <si>
    <t>L!f»</t>
  </si>
  <si>
    <t>2SupD2F</t>
  </si>
  <si>
    <t>Thr^Lh</t>
  </si>
  <si>
    <t>2S</t>
  </si>
  <si>
    <t>L!r0.5»</t>
  </si>
  <si>
    <t>Thr^2F</t>
  </si>
  <si>
    <t>Flower</t>
  </si>
  <si>
    <t>L!</t>
  </si>
  <si>
    <t>L2F+</t>
  </si>
  <si>
    <t>L+spot</t>
  </si>
  <si>
    <t>L!r1»</t>
  </si>
  <si>
    <t>St&gt;</t>
  </si>
  <si>
    <t>P4</t>
  </si>
  <si>
    <t>L!fr0.5»</t>
  </si>
  <si>
    <t>LH</t>
  </si>
  <si>
    <t>Thr+Thr</t>
  </si>
  <si>
    <t>Lr0.5</t>
  </si>
  <si>
    <t>Lh2F</t>
  </si>
  <si>
    <t>SL&gt;</t>
  </si>
  <si>
    <t>Thr&gt;L</t>
  </si>
  <si>
    <t>L!r0.5</t>
  </si>
  <si>
    <t>Thr&gt;head&gt;</t>
  </si>
  <si>
    <t>Lfr0.5</t>
  </si>
  <si>
    <t>2Sup+</t>
  </si>
  <si>
    <t>L!f</t>
  </si>
  <si>
    <t>Thr&gt;Sq</t>
  </si>
  <si>
    <t>SL!&gt;</t>
  </si>
  <si>
    <t>Thr&gt;St2</t>
  </si>
  <si>
    <t>Lr1</t>
  </si>
  <si>
    <t>J</t>
  </si>
  <si>
    <t>W!»</t>
  </si>
  <si>
    <t>L!r1</t>
  </si>
  <si>
    <t>L!fr0.5</t>
  </si>
  <si>
    <t>SL!f&gt;</t>
  </si>
  <si>
    <t>SL!r0.5&gt;</t>
  </si>
  <si>
    <t>SL!r1&gt;</t>
  </si>
  <si>
    <t>Jr0.5</t>
  </si>
  <si>
    <t>Jf</t>
  </si>
  <si>
    <t>W!d</t>
  </si>
  <si>
    <t>L!fr1</t>
  </si>
  <si>
    <t>SL!fr0.5&gt;</t>
  </si>
  <si>
    <t>SL!fr1&gt;</t>
  </si>
  <si>
    <t>W!r0.5</t>
  </si>
  <si>
    <t>Connection</t>
  </si>
  <si>
    <t>W!f</t>
  </si>
  <si>
    <t>Jd</t>
  </si>
  <si>
    <t>W!s0.5</t>
  </si>
  <si>
    <t>W!fr0.5</t>
  </si>
  <si>
    <t>N/A</t>
  </si>
  <si>
    <t>Jpd</t>
  </si>
  <si>
    <t>1P1F</t>
  </si>
  <si>
    <t>W!r1</t>
  </si>
  <si>
    <t>FAb</t>
  </si>
  <si>
    <t>W!fr1</t>
  </si>
  <si>
    <t>Js0.5t0.5</t>
  </si>
  <si>
    <t>1FA</t>
  </si>
  <si>
    <t>W!s0.5t0.5</t>
  </si>
  <si>
    <t>Js1B</t>
  </si>
  <si>
    <t>W!fr1.5</t>
  </si>
  <si>
    <t>FF/</t>
  </si>
  <si>
    <t>3pK</t>
  </si>
  <si>
    <t>JBs1t0.5</t>
  </si>
  <si>
    <t>3pb</t>
  </si>
  <si>
    <t>Jfs1B</t>
  </si>
  <si>
    <t>Js1F</t>
  </si>
  <si>
    <t>Js1B+f</t>
  </si>
  <si>
    <t>SiF+Pb</t>
  </si>
  <si>
    <t>Js1B+pf</t>
  </si>
  <si>
    <t>ShF+P</t>
  </si>
  <si>
    <t>W!s1F</t>
  </si>
  <si>
    <t>L/SiF+P</t>
  </si>
  <si>
    <t>JsF1B</t>
  </si>
  <si>
    <t>LiH</t>
  </si>
  <si>
    <t>4p</t>
  </si>
  <si>
    <t>2pA</t>
  </si>
  <si>
    <t>4pAb</t>
  </si>
  <si>
    <t>Bb</t>
  </si>
  <si>
    <t>&gt;F1P</t>
  </si>
  <si>
    <t>Tow</t>
  </si>
  <si>
    <t>3pBb</t>
  </si>
  <si>
    <t>3pB+b</t>
  </si>
  <si>
    <t>&gt;1P1P/</t>
  </si>
  <si>
    <t>1Fxs/</t>
  </si>
  <si>
    <t>LayF</t>
  </si>
  <si>
    <t>On2b</t>
  </si>
  <si>
    <t>2b/</t>
  </si>
  <si>
    <t>1FH+1FP</t>
  </si>
  <si>
    <t>S+</t>
  </si>
  <si>
    <t>1F1P</t>
  </si>
  <si>
    <t>1F1F</t>
  </si>
  <si>
    <t>Direction</t>
  </si>
  <si>
    <t>Bln</t>
  </si>
  <si>
    <t>Position 1</t>
  </si>
  <si>
    <t>Variation</t>
  </si>
  <si>
    <t>sd</t>
  </si>
  <si>
    <t>hp</t>
  </si>
  <si>
    <t>Position 2</t>
  </si>
  <si>
    <t>2sd</t>
  </si>
  <si>
    <t>2hp</t>
  </si>
  <si>
    <t>Rotation Base</t>
  </si>
  <si>
    <t>r0.5</t>
  </si>
  <si>
    <t>Cr0.5</t>
  </si>
  <si>
    <t>Pr</t>
  </si>
  <si>
    <t>Cr1</t>
  </si>
  <si>
    <t>Pr0.5</t>
  </si>
  <si>
    <t>r1.5</t>
  </si>
  <si>
    <t>Cr1.5</t>
  </si>
  <si>
    <t>Pr1</t>
  </si>
  <si>
    <t>r0,5/</t>
  </si>
  <si>
    <t>Cr0.5!</t>
  </si>
  <si>
    <t>Pr/</t>
  </si>
  <si>
    <t>r1/</t>
  </si>
  <si>
    <t>Cr1!</t>
  </si>
  <si>
    <t>Pr0.5/</t>
  </si>
  <si>
    <t>r1.5/</t>
  </si>
  <si>
    <t>Cr1.5!</t>
  </si>
  <si>
    <t>Pr1/</t>
  </si>
  <si>
    <t>r0.5+</t>
  </si>
  <si>
    <t>Cr0.5L</t>
  </si>
  <si>
    <t>P0.5h</t>
  </si>
  <si>
    <t>r1+</t>
  </si>
  <si>
    <t>CP0.5</t>
  </si>
  <si>
    <t>P1h</t>
  </si>
  <si>
    <t>r1.5+</t>
  </si>
  <si>
    <t>2F0.5</t>
  </si>
  <si>
    <t>Pr//</t>
  </si>
  <si>
    <t>r2+</t>
  </si>
  <si>
    <t>2F1</t>
  </si>
  <si>
    <t>pr0.5//</t>
  </si>
  <si>
    <t>r0.5!</t>
  </si>
  <si>
    <t>Pr1//</t>
  </si>
  <si>
    <t>r1.5!</t>
  </si>
  <si>
    <t>r0.5L</t>
  </si>
  <si>
    <t>Rotation Plane</t>
  </si>
  <si>
    <t>Ct0.5</t>
  </si>
  <si>
    <t>dt0.5</t>
  </si>
  <si>
    <t>Ct1</t>
  </si>
  <si>
    <t>Ct1.5</t>
  </si>
  <si>
    <t>dt1.5</t>
  </si>
  <si>
    <t>Ct2</t>
  </si>
  <si>
    <t>dt2</t>
  </si>
  <si>
    <t>Ct2.5</t>
  </si>
  <si>
    <t>Ct3</t>
  </si>
  <si>
    <t>s1f</t>
  </si>
  <si>
    <t>Cd</t>
  </si>
  <si>
    <t>ss1</t>
  </si>
  <si>
    <t>Cdt0.5</t>
  </si>
  <si>
    <t>ss1f</t>
  </si>
  <si>
    <t>Cdt1</t>
  </si>
  <si>
    <t>s1.5</t>
  </si>
  <si>
    <t>Cdt1.5</t>
  </si>
  <si>
    <t>s1.5f</t>
  </si>
  <si>
    <t>Cs1</t>
  </si>
  <si>
    <t>s1.5o</t>
  </si>
  <si>
    <t>Css1</t>
  </si>
  <si>
    <t>s1.5fo</t>
  </si>
  <si>
    <t>Cs1.5</t>
  </si>
  <si>
    <t>Cs1.5o</t>
  </si>
  <si>
    <t>s2o</t>
  </si>
  <si>
    <t>Cf1</t>
  </si>
  <si>
    <t>s2f</t>
  </si>
  <si>
    <t>Cf1.5</t>
  </si>
  <si>
    <t>s2fo</t>
  </si>
  <si>
    <t>Cf2</t>
  </si>
  <si>
    <t>s2.5</t>
  </si>
  <si>
    <t>Cc</t>
  </si>
  <si>
    <t>s2.5f</t>
  </si>
  <si>
    <t>Cct0.5</t>
  </si>
  <si>
    <t>Cct1</t>
  </si>
  <si>
    <t>f1.5</t>
  </si>
  <si>
    <t>Cht0.5</t>
  </si>
  <si>
    <t>Cht1</t>
  </si>
  <si>
    <t>Cs0.5t0.5</t>
  </si>
  <si>
    <t>ct0.5</t>
  </si>
  <si>
    <t>Chs1t0.5</t>
  </si>
  <si>
    <t>ct1</t>
  </si>
  <si>
    <t>Cs1t1</t>
  </si>
  <si>
    <t>Cs1t1.5</t>
  </si>
  <si>
    <t>ht0.5</t>
  </si>
  <si>
    <t>Cs1t2</t>
  </si>
  <si>
    <t>ht1</t>
  </si>
  <si>
    <t>Css1t0.5</t>
  </si>
  <si>
    <t>hd</t>
  </si>
  <si>
    <t>Css1t1</t>
  </si>
  <si>
    <t>hs1</t>
  </si>
  <si>
    <t>Css1t1.5</t>
  </si>
  <si>
    <t>h0.5s1.5</t>
  </si>
  <si>
    <t>Css1t2</t>
  </si>
  <si>
    <t>h0.5s1</t>
  </si>
  <si>
    <t>Css1t2.5</t>
  </si>
  <si>
    <t>s1t0.5</t>
  </si>
  <si>
    <t>Cs1t1o</t>
  </si>
  <si>
    <t>s1t0.5f</t>
  </si>
  <si>
    <t>Cs1t1.5o</t>
  </si>
  <si>
    <t>Cs1t2o</t>
  </si>
  <si>
    <t>s1t1f</t>
  </si>
  <si>
    <t>Chs1</t>
  </si>
  <si>
    <t>s1t1.5</t>
  </si>
  <si>
    <t>s1.5t0.5</t>
  </si>
  <si>
    <t>s1.5t0.5f</t>
  </si>
  <si>
    <t>s1.5t0.5o</t>
  </si>
  <si>
    <t>s1.5t0.5fo</t>
  </si>
  <si>
    <t>s1.5t1</t>
  </si>
  <si>
    <t>s1.5t1.5</t>
  </si>
  <si>
    <t>s2t0.5</t>
  </si>
  <si>
    <t>s2t0.5f</t>
  </si>
  <si>
    <t>s2t0.5o</t>
  </si>
  <si>
    <t>s2t0.5fo</t>
  </si>
  <si>
    <t>s2t1o</t>
  </si>
  <si>
    <t>s2t1fo</t>
  </si>
  <si>
    <t>ss1t0.5</t>
  </si>
  <si>
    <t>ss1t0.5f</t>
  </si>
  <si>
    <t>ss1t1</t>
  </si>
  <si>
    <t>ss1t1f</t>
  </si>
  <si>
    <t>ss1t1.5</t>
  </si>
  <si>
    <t>ss1t2</t>
  </si>
  <si>
    <t>ss1t2.5</t>
  </si>
  <si>
    <t>ss1t3</t>
  </si>
  <si>
    <t>t0.5</t>
  </si>
  <si>
    <t>t1.5</t>
  </si>
  <si>
    <t>t2.5</t>
  </si>
  <si>
    <t>Bonus</t>
  </si>
  <si>
    <t>Dbl</t>
  </si>
  <si>
    <t>Pos3</t>
  </si>
  <si>
    <t>Jump</t>
  </si>
  <si>
    <t>Grip</t>
  </si>
  <si>
    <t>Twirl</t>
  </si>
  <si>
    <t>Jump&gt;</t>
  </si>
  <si>
    <t>UP</t>
  </si>
  <si>
    <t>RotF</t>
  </si>
  <si>
    <t>On1Foot</t>
  </si>
  <si>
    <t>CH</t>
  </si>
  <si>
    <t>Catch</t>
  </si>
  <si>
    <t>Hold</t>
  </si>
  <si>
    <t>1F&gt;1F</t>
  </si>
  <si>
    <t>Movhead</t>
  </si>
  <si>
    <t>Split</t>
  </si>
  <si>
    <t>SdUp</t>
  </si>
  <si>
    <t>Porp</t>
  </si>
  <si>
    <t>Hula</t>
  </si>
  <si>
    <t>Moon</t>
  </si>
  <si>
    <t>Slip</t>
  </si>
  <si>
    <t>Spich</t>
  </si>
  <si>
    <t>RetSq</t>
  </si>
  <si>
    <t>Wave</t>
  </si>
  <si>
    <t>Bey</t>
  </si>
  <si>
    <t>Trav</t>
  </si>
  <si>
    <t>RetPa</t>
  </si>
  <si>
    <t>Mov</t>
  </si>
  <si>
    <t>Run</t>
  </si>
  <si>
    <t>Stand</t>
  </si>
  <si>
    <t>BRun</t>
  </si>
  <si>
    <t>Dive</t>
  </si>
  <si>
    <t>Cx</t>
  </si>
  <si>
    <t>Ps1</t>
  </si>
  <si>
    <t>Ps1t0.5</t>
  </si>
  <si>
    <t>C-Roll</t>
  </si>
  <si>
    <t>Ps1op</t>
  </si>
  <si>
    <t>Turn</t>
  </si>
  <si>
    <t>Ps1t0,5o</t>
  </si>
  <si>
    <t>Ps1t1</t>
  </si>
  <si>
    <t>CH+</t>
  </si>
  <si>
    <t>Roll</t>
  </si>
  <si>
    <t>Spider</t>
  </si>
  <si>
    <t>Climb</t>
  </si>
  <si>
    <t>Fall</t>
  </si>
  <si>
    <t>FTurn</t>
  </si>
  <si>
    <t>Swim</t>
  </si>
  <si>
    <t>Arch</t>
  </si>
  <si>
    <t>Requirement</t>
  </si>
  <si>
    <t>Component and group</t>
  </si>
  <si>
    <t>Applicable</t>
  </si>
  <si>
    <t>Minimal</t>
  </si>
  <si>
    <t>AcroBonus_A_Code</t>
  </si>
  <si>
    <t>Yes</t>
  </si>
  <si>
    <t>AcroBonus_B_Code</t>
  </si>
  <si>
    <t>AcroBonus_C_Code</t>
  </si>
  <si>
    <t>AcroBonus_P_Code</t>
  </si>
  <si>
    <t>Conx_A_Code</t>
  </si>
  <si>
    <t>No</t>
  </si>
  <si>
    <t>Conx_B_Code</t>
  </si>
  <si>
    <t>Conx_C_Code</t>
  </si>
  <si>
    <t>Conx_P_Code</t>
  </si>
  <si>
    <t>Cons_A_Code</t>
  </si>
  <si>
    <t>Cons_B_Code</t>
  </si>
  <si>
    <t>Cons_C_Code</t>
  </si>
  <si>
    <t>Cons_P_Code</t>
  </si>
  <si>
    <t>Dirx_A_Code</t>
  </si>
  <si>
    <t>Dirx_B_Code</t>
  </si>
  <si>
    <t>Dirx_C_Code</t>
  </si>
  <si>
    <t>Dirx_P_Code</t>
  </si>
  <si>
    <t>Pos1_A_Code</t>
  </si>
  <si>
    <t>Pos1_B_Code</t>
  </si>
  <si>
    <t>Pos1_C_Code</t>
  </si>
  <si>
    <t>Pos1_P_Code</t>
  </si>
  <si>
    <t>Pos2_A_Code</t>
  </si>
  <si>
    <t>Pos2_B_Code</t>
  </si>
  <si>
    <t>Pos2_C_Code</t>
  </si>
  <si>
    <t>Pos2_P_Code</t>
  </si>
  <si>
    <t>RotP_A_Code</t>
  </si>
  <si>
    <t>RotP_B_Code</t>
  </si>
  <si>
    <t>RotP_C_Code</t>
  </si>
  <si>
    <t>RotP_P_Code</t>
  </si>
  <si>
    <t>RotB_A_Code</t>
  </si>
  <si>
    <t>RotB_B_Code</t>
  </si>
  <si>
    <t>RotB_C_Code</t>
  </si>
  <si>
    <t>RotB_P_Code</t>
  </si>
  <si>
    <t>Mixed Req.Hyb.</t>
  </si>
  <si>
    <t>Family</t>
  </si>
  <si>
    <t>DD code</t>
  </si>
  <si>
    <t>DD value</t>
  </si>
  <si>
    <t>Bonus code</t>
  </si>
  <si>
    <t>Bonus value</t>
  </si>
  <si>
    <t>Hyb_Code</t>
  </si>
  <si>
    <t>Hyb_Tech</t>
  </si>
  <si>
    <t>Hyb_Tech_Value</t>
  </si>
  <si>
    <t>TB</t>
  </si>
  <si>
    <t>1PC</t>
  </si>
  <si>
    <t>2PC</t>
  </si>
  <si>
    <t>T2a</t>
  </si>
  <si>
    <t>3PC</t>
  </si>
  <si>
    <t>T2b</t>
  </si>
  <si>
    <t>4PC</t>
  </si>
  <si>
    <t>T3a</t>
  </si>
  <si>
    <t>5PC</t>
  </si>
  <si>
    <t>T3b</t>
  </si>
  <si>
    <t>6PC</t>
  </si>
  <si>
    <t>T3c</t>
  </si>
  <si>
    <t>7PC</t>
  </si>
  <si>
    <t>T3d</t>
  </si>
  <si>
    <t>8PC</t>
  </si>
  <si>
    <t>T4a</t>
  </si>
  <si>
    <t>9PC</t>
  </si>
  <si>
    <t>T4b</t>
  </si>
  <si>
    <t>10PC</t>
  </si>
  <si>
    <t>T4c</t>
  </si>
  <si>
    <t>11PC</t>
  </si>
  <si>
    <t>T4d</t>
  </si>
  <si>
    <t>12PC</t>
  </si>
  <si>
    <t>T4e</t>
  </si>
  <si>
    <t>13PC</t>
  </si>
  <si>
    <t>T5a</t>
  </si>
  <si>
    <t>14PC</t>
  </si>
  <si>
    <t>T5b</t>
  </si>
  <si>
    <t>15PC</t>
  </si>
  <si>
    <t>T5c</t>
  </si>
  <si>
    <t>T5d</t>
  </si>
  <si>
    <t>T5e</t>
  </si>
  <si>
    <t>T6a</t>
  </si>
  <si>
    <t>T6b</t>
  </si>
  <si>
    <t>T6c</t>
  </si>
  <si>
    <t>T7</t>
  </si>
  <si>
    <t>T8</t>
  </si>
  <si>
    <t>T9a</t>
  </si>
  <si>
    <t>T9b</t>
  </si>
  <si>
    <t>SB</t>
  </si>
  <si>
    <t>CB</t>
  </si>
  <si>
    <t>SCB</t>
  </si>
  <si>
    <t>C1a</t>
  </si>
  <si>
    <t>SCDB</t>
  </si>
  <si>
    <t>C1b</t>
  </si>
  <si>
    <t>S1</t>
  </si>
  <si>
    <t>C2a</t>
  </si>
  <si>
    <t>SC1</t>
  </si>
  <si>
    <t>C2b</t>
  </si>
  <si>
    <t>SCD1</t>
  </si>
  <si>
    <t>C2c</t>
  </si>
  <si>
    <t>S2</t>
  </si>
  <si>
    <t>C3</t>
  </si>
  <si>
    <t>SC2</t>
  </si>
  <si>
    <t>C4</t>
  </si>
  <si>
    <t>SCD2</t>
  </si>
  <si>
    <t>C5</t>
  </si>
  <si>
    <t>S3</t>
  </si>
  <si>
    <t>C6a</t>
  </si>
  <si>
    <t>SC3</t>
  </si>
  <si>
    <t>C6b</t>
  </si>
  <si>
    <t>SCD3</t>
  </si>
  <si>
    <t>C7</t>
  </si>
  <si>
    <t>S4</t>
  </si>
  <si>
    <t>TB*0,5</t>
  </si>
  <si>
    <t>SC4</t>
  </si>
  <si>
    <t>T1*0,5</t>
  </si>
  <si>
    <t>SCD4</t>
  </si>
  <si>
    <t>T2a*0,5</t>
  </si>
  <si>
    <t>S5</t>
  </si>
  <si>
    <t>T2b*0,5</t>
  </si>
  <si>
    <t>SC5</t>
  </si>
  <si>
    <t>T3a*0,5</t>
  </si>
  <si>
    <t>SCD5</t>
  </si>
  <si>
    <t>T3b*0,5</t>
  </si>
  <si>
    <t>S6</t>
  </si>
  <si>
    <t>T3c*0,5</t>
  </si>
  <si>
    <t>SC6</t>
  </si>
  <si>
    <t>T3d*0,5</t>
  </si>
  <si>
    <t>SCD6</t>
  </si>
  <si>
    <t>T4a*0,5</t>
  </si>
  <si>
    <t>S7</t>
  </si>
  <si>
    <t>T4b*0,5</t>
  </si>
  <si>
    <t>S8</t>
  </si>
  <si>
    <t>T4c*0,5</t>
  </si>
  <si>
    <t>S9</t>
  </si>
  <si>
    <t>T4d*0,5</t>
  </si>
  <si>
    <t>S10</t>
  </si>
  <si>
    <t>T4e*0,5</t>
  </si>
  <si>
    <t>RB</t>
  </si>
  <si>
    <t>T5a*0,5</t>
  </si>
  <si>
    <t>1RB</t>
  </si>
  <si>
    <t>T5b*0,5</t>
  </si>
  <si>
    <t>2RB</t>
  </si>
  <si>
    <t>T5c*0,5</t>
  </si>
  <si>
    <t>ROB</t>
  </si>
  <si>
    <t>T5d*0,5</t>
  </si>
  <si>
    <t>RCB</t>
  </si>
  <si>
    <t>T5e*0,5</t>
  </si>
  <si>
    <t>T6a*0,5</t>
  </si>
  <si>
    <t>1R1</t>
  </si>
  <si>
    <t>T6b*0,5</t>
  </si>
  <si>
    <t>2R1</t>
  </si>
  <si>
    <t>T6c*0,5</t>
  </si>
  <si>
    <t>RD1</t>
  </si>
  <si>
    <t>T7*0,5</t>
  </si>
  <si>
    <t>RU1</t>
  </si>
  <si>
    <t>T8*0,5</t>
  </si>
  <si>
    <t>RO1</t>
  </si>
  <si>
    <t>T9a*0,5</t>
  </si>
  <si>
    <t>RC1</t>
  </si>
  <si>
    <t>T9b*0,5</t>
  </si>
  <si>
    <t>R2</t>
  </si>
  <si>
    <t>CB*0,5</t>
  </si>
  <si>
    <t>1R2</t>
  </si>
  <si>
    <t>C1a*0,5</t>
  </si>
  <si>
    <t>2R2</t>
  </si>
  <si>
    <t>C1b*0,5</t>
  </si>
  <si>
    <t>RD2</t>
  </si>
  <si>
    <t>C2a*0,5</t>
  </si>
  <si>
    <t>RU2</t>
  </si>
  <si>
    <t>C2b*0,5</t>
  </si>
  <si>
    <t>R3</t>
  </si>
  <si>
    <t>C2c*0,5</t>
  </si>
  <si>
    <t>1R3</t>
  </si>
  <si>
    <t>C3*0,5</t>
  </si>
  <si>
    <t>2R3</t>
  </si>
  <si>
    <t>C4*0,5</t>
  </si>
  <si>
    <t>RU3</t>
  </si>
  <si>
    <t>C5*0,5</t>
  </si>
  <si>
    <t>R4</t>
  </si>
  <si>
    <t>C6a*0,5</t>
  </si>
  <si>
    <t>1R4</t>
  </si>
  <si>
    <t>C6b*0,5</t>
  </si>
  <si>
    <t>2R4</t>
  </si>
  <si>
    <t>C7*0,5</t>
  </si>
  <si>
    <t>RD4</t>
  </si>
  <si>
    <t>RU4</t>
  </si>
  <si>
    <t>1R5</t>
  </si>
  <si>
    <t>2R5</t>
  </si>
  <si>
    <t>RU5</t>
  </si>
  <si>
    <t>1R6</t>
  </si>
  <si>
    <t>2R6</t>
  </si>
  <si>
    <t>RD6</t>
  </si>
  <si>
    <t>RU6</t>
  </si>
  <si>
    <t>2R7</t>
  </si>
  <si>
    <t>RU7</t>
  </si>
  <si>
    <t>2R8</t>
  </si>
  <si>
    <t>RU8</t>
  </si>
  <si>
    <t>2R9</t>
  </si>
  <si>
    <t>RU9</t>
  </si>
  <si>
    <t>2R10</t>
  </si>
  <si>
    <t>RU10</t>
  </si>
  <si>
    <t>AB</t>
  </si>
  <si>
    <t>A1a</t>
  </si>
  <si>
    <t>A1b</t>
  </si>
  <si>
    <t>A1c</t>
  </si>
  <si>
    <t>A1d</t>
  </si>
  <si>
    <t>A2a</t>
  </si>
  <si>
    <t>A2b</t>
  </si>
  <si>
    <t>A3a</t>
  </si>
  <si>
    <t>A3b</t>
  </si>
  <si>
    <t>A4a</t>
  </si>
  <si>
    <t>A4b</t>
  </si>
  <si>
    <t>A5</t>
  </si>
  <si>
    <t>A6</t>
  </si>
  <si>
    <t>A7</t>
  </si>
  <si>
    <t>A8</t>
  </si>
  <si>
    <t>FB</t>
  </si>
  <si>
    <t>F1a</t>
  </si>
  <si>
    <t>F1b</t>
  </si>
  <si>
    <t>F1c</t>
  </si>
  <si>
    <t>F2a</t>
  </si>
  <si>
    <t>F2b</t>
  </si>
  <si>
    <t>F2c</t>
  </si>
  <si>
    <t>F3a</t>
  </si>
  <si>
    <t>F3b</t>
  </si>
  <si>
    <t>F3c</t>
  </si>
  <si>
    <t>F4a</t>
  </si>
  <si>
    <t>F4b</t>
  </si>
  <si>
    <t>F4c</t>
  </si>
  <si>
    <t>F4d</t>
  </si>
  <si>
    <t>F4e</t>
  </si>
  <si>
    <t>F4f</t>
  </si>
  <si>
    <t>F5a</t>
  </si>
  <si>
    <t>F5b</t>
  </si>
  <si>
    <t>F5c</t>
  </si>
  <si>
    <t>F6a</t>
  </si>
  <si>
    <t>F6b</t>
  </si>
  <si>
    <t>F6c</t>
  </si>
  <si>
    <t>F6d</t>
  </si>
  <si>
    <t>F7</t>
  </si>
  <si>
    <t>F8a</t>
  </si>
  <si>
    <t>F8b</t>
  </si>
  <si>
    <t>F9</t>
  </si>
  <si>
    <t>F10</t>
  </si>
  <si>
    <t>CB+</t>
  </si>
  <si>
    <t>C1a+</t>
  </si>
  <si>
    <t>C1b+</t>
  </si>
  <si>
    <t>C2a+</t>
  </si>
  <si>
    <t>C2b+</t>
  </si>
  <si>
    <t>C2c+</t>
  </si>
  <si>
    <t>C3+</t>
  </si>
  <si>
    <t>C4+</t>
  </si>
  <si>
    <t>C5+</t>
  </si>
  <si>
    <t>C6a+</t>
  </si>
  <si>
    <t>C6b+</t>
  </si>
  <si>
    <t>C7+</t>
  </si>
  <si>
    <t>SB*0,5</t>
  </si>
  <si>
    <t>SCB*0,5</t>
  </si>
  <si>
    <t>SCDB*0,5</t>
  </si>
  <si>
    <t>S1*0,5</t>
  </si>
  <si>
    <t>SC1*0,5</t>
  </si>
  <si>
    <t>SCD1*0,5</t>
  </si>
  <si>
    <t>S2*0,5</t>
  </si>
  <si>
    <t>SC2*0,5</t>
  </si>
  <si>
    <t>SCD2*0,5</t>
  </si>
  <si>
    <t>S3*0,5</t>
  </si>
  <si>
    <t>SC3*0,5</t>
  </si>
  <si>
    <t>SCD3*0,5</t>
  </si>
  <si>
    <t>S4*0,5</t>
  </si>
  <si>
    <t>SC4*0,5</t>
  </si>
  <si>
    <t>SCD4*0,5</t>
  </si>
  <si>
    <t>S5*0,5</t>
  </si>
  <si>
    <t>SC5*0,5</t>
  </si>
  <si>
    <t>SCD5*0,5</t>
  </si>
  <si>
    <t>S6*0,5</t>
  </si>
  <si>
    <t>SC6*0,5</t>
  </si>
  <si>
    <t>SCD6*0,5</t>
  </si>
  <si>
    <t>S7*0,5</t>
  </si>
  <si>
    <t>S8*0,5</t>
  </si>
  <si>
    <t>S9*0,5</t>
  </si>
  <si>
    <t>S10*0,5</t>
  </si>
  <si>
    <t>RB*0,5</t>
  </si>
  <si>
    <t>1RB*0,5</t>
  </si>
  <si>
    <t>2RB*0,5</t>
  </si>
  <si>
    <t>ROB*0,5</t>
  </si>
  <si>
    <t>RCB*0,5</t>
  </si>
  <si>
    <t>R1*0,5</t>
  </si>
  <si>
    <t>1R1*0,5</t>
  </si>
  <si>
    <t>2R1*0,5</t>
  </si>
  <si>
    <t>RD1*0,5</t>
  </si>
  <si>
    <t>RU1*0,5</t>
  </si>
  <si>
    <t>RO1*0,5</t>
  </si>
  <si>
    <t>RC1*0,5</t>
  </si>
  <si>
    <t>R2*0,5</t>
  </si>
  <si>
    <t>1R2*0,5</t>
  </si>
  <si>
    <t>2R2*0,5</t>
  </si>
  <si>
    <t>RD2*0,5</t>
  </si>
  <si>
    <t>RU2*0,5</t>
  </si>
  <si>
    <t>R3*0,5</t>
  </si>
  <si>
    <t>1R3*0,5</t>
  </si>
  <si>
    <t>2R3*0,5</t>
  </si>
  <si>
    <t>RU3*0,5</t>
  </si>
  <si>
    <t>R4*0,5</t>
  </si>
  <si>
    <t>1R4*0,5</t>
  </si>
  <si>
    <t>2R4*0,5</t>
  </si>
  <si>
    <t>RD4*0,5</t>
  </si>
  <si>
    <t>RU4*0,5</t>
  </si>
  <si>
    <t>1R5*0,5</t>
  </si>
  <si>
    <t>2R5*0,5</t>
  </si>
  <si>
    <t>RU5*0,5</t>
  </si>
  <si>
    <t>1R6*0,5</t>
  </si>
  <si>
    <t>2R6*0,5</t>
  </si>
  <si>
    <t>RD6*0,5</t>
  </si>
  <si>
    <t>RU6*0,5</t>
  </si>
  <si>
    <t>2R7*0,5</t>
  </si>
  <si>
    <t>RU7*0,5</t>
  </si>
  <si>
    <t>2R8*0,5</t>
  </si>
  <si>
    <t>RU8*0,5</t>
  </si>
  <si>
    <t>2R9*0,5</t>
  </si>
  <si>
    <t>RU9*0,5</t>
  </si>
  <si>
    <t>2R10*0,5</t>
  </si>
  <si>
    <t>RU10*0,5</t>
  </si>
  <si>
    <t>AB*0,5</t>
  </si>
  <si>
    <t>A1a*0,5</t>
  </si>
  <si>
    <t>A1b*0,5</t>
  </si>
  <si>
    <t>A1c*0,5</t>
  </si>
  <si>
    <t>A1d*0,5</t>
  </si>
  <si>
    <t>A2a*0,5</t>
  </si>
  <si>
    <t>A2b*0,5</t>
  </si>
  <si>
    <t>A3a*0,5</t>
  </si>
  <si>
    <t>A3b*0,5</t>
  </si>
  <si>
    <t>A4a*0,5</t>
  </si>
  <si>
    <t>A4b*0,5</t>
  </si>
  <si>
    <t>A5*0,5</t>
  </si>
  <si>
    <t>A6*0,5</t>
  </si>
  <si>
    <t>A7*0,5</t>
  </si>
  <si>
    <t>A8*0,5</t>
  </si>
  <si>
    <t>FB*0,5</t>
  </si>
  <si>
    <t>F1a*0,5</t>
  </si>
  <si>
    <t>F1b*0,5</t>
  </si>
  <si>
    <t>F1c*0,5</t>
  </si>
  <si>
    <t>F2a*0,5</t>
  </si>
  <si>
    <t>F2b*0,5</t>
  </si>
  <si>
    <t>F2c*0,5</t>
  </si>
  <si>
    <t>F3a*0,5</t>
  </si>
  <si>
    <t>F3b*0,5</t>
  </si>
  <si>
    <t>F3c*0,5</t>
  </si>
  <si>
    <t>F4a*0,5</t>
  </si>
  <si>
    <t>F4b*0,5</t>
  </si>
  <si>
    <t>F4c*0,5</t>
  </si>
  <si>
    <t>F4d*0,5</t>
  </si>
  <si>
    <t>F4e*0,5</t>
  </si>
  <si>
    <t>F4f*0,5</t>
  </si>
  <si>
    <t>F5a*0,5</t>
  </si>
  <si>
    <t>F5b*0,5</t>
  </si>
  <si>
    <t>F5c*0,5</t>
  </si>
  <si>
    <t>F6a*0,5</t>
  </si>
  <si>
    <t>F6b*0,5</t>
  </si>
  <si>
    <t>F6c*0,5</t>
  </si>
  <si>
    <t>F6d*0,5</t>
  </si>
  <si>
    <t>F7*0,5</t>
  </si>
  <si>
    <t>F8a*0,5</t>
  </si>
  <si>
    <t>F8b*0,5</t>
  </si>
  <si>
    <t>F9*0,5</t>
  </si>
  <si>
    <t>F10*0,5</t>
  </si>
  <si>
    <t>TB*0,3</t>
  </si>
  <si>
    <t>T1*0,3</t>
  </si>
  <si>
    <t>T2a*0,3</t>
  </si>
  <si>
    <t>T2b*0,3</t>
  </si>
  <si>
    <t>T3a*0,3</t>
  </si>
  <si>
    <t>T3b*0,3</t>
  </si>
  <si>
    <t>T3c*0,3</t>
  </si>
  <si>
    <t>T3d*0,3</t>
  </si>
  <si>
    <t>T4a*0,3</t>
  </si>
  <si>
    <t>T4b*0,3</t>
  </si>
  <si>
    <t>T4c*0,3</t>
  </si>
  <si>
    <t>T4d*0,3</t>
  </si>
  <si>
    <t>T4e*0,3</t>
  </si>
  <si>
    <t>T5a*0,3</t>
  </si>
  <si>
    <t>T5b*0,3</t>
  </si>
  <si>
    <t>T5c*0,3</t>
  </si>
  <si>
    <t>T5d*0,3</t>
  </si>
  <si>
    <t>T5e*0,3</t>
  </si>
  <si>
    <t>T6a*0,3</t>
  </si>
  <si>
    <t>T6b*0,3</t>
  </si>
  <si>
    <t>T6c*0,3</t>
  </si>
  <si>
    <t>T7*0,3</t>
  </si>
  <si>
    <t>T8*0,3</t>
  </si>
  <si>
    <t>T9a*0,3</t>
  </si>
  <si>
    <t>T9b*0,3</t>
  </si>
  <si>
    <t>SB*0,3</t>
  </si>
  <si>
    <t>SCB*0,3</t>
  </si>
  <si>
    <t>SCDB*0,3</t>
  </si>
  <si>
    <t>S1*0,3</t>
  </si>
  <si>
    <t>SC1*0,3</t>
  </si>
  <si>
    <t>SCD1*0,3</t>
  </si>
  <si>
    <t>S2*0,3</t>
  </si>
  <si>
    <t>SC2*0,3</t>
  </si>
  <si>
    <t>SCD2*0,3</t>
  </si>
  <si>
    <t>S3*0,3</t>
  </si>
  <si>
    <t>SC3*0,3</t>
  </si>
  <si>
    <t>SCD3*0,3</t>
  </si>
  <si>
    <t>S4*0,3</t>
  </si>
  <si>
    <t>SC4*0,3</t>
  </si>
  <si>
    <t>SCD4*0,3</t>
  </si>
  <si>
    <t>S5*0,3</t>
  </si>
  <si>
    <t>SC5*0,3</t>
  </si>
  <si>
    <t>SCD5*0,3</t>
  </si>
  <si>
    <t>S6*0,3</t>
  </si>
  <si>
    <t>SC6*0,3</t>
  </si>
  <si>
    <t>SCD6*0,3</t>
  </si>
  <si>
    <t>S7*0,3</t>
  </si>
  <si>
    <t>S8*0,3</t>
  </si>
  <si>
    <t>S9*0,3</t>
  </si>
  <si>
    <t>S10*0,3</t>
  </si>
  <si>
    <t>RB*0,3</t>
  </si>
  <si>
    <t>1RB*0,3</t>
  </si>
  <si>
    <t>2RB*0,3</t>
  </si>
  <si>
    <t>ROB*0,3</t>
  </si>
  <si>
    <t>RCB*0,3</t>
  </si>
  <si>
    <t>R1*0,3</t>
  </si>
  <si>
    <t>1R1*0,3</t>
  </si>
  <si>
    <t>2R1*0,3</t>
  </si>
  <si>
    <t>RD1*0,3</t>
  </si>
  <si>
    <t>RU1*0,3</t>
  </si>
  <si>
    <t>RO1*0,3</t>
  </si>
  <si>
    <t>RC1*0,3</t>
  </si>
  <si>
    <t>R2*0,3</t>
  </si>
  <si>
    <t>1R2*0,3</t>
  </si>
  <si>
    <t>2R2*0,3</t>
  </si>
  <si>
    <t>RD2*0,3</t>
  </si>
  <si>
    <t>RU2*0,3</t>
  </si>
  <si>
    <t>R3*0,3</t>
  </si>
  <si>
    <t>1R3*0,3</t>
  </si>
  <si>
    <t>2R3*0,3</t>
  </si>
  <si>
    <t>RU3*0,3</t>
  </si>
  <si>
    <t>R4*0,3</t>
  </si>
  <si>
    <t>1R4*0,3</t>
  </si>
  <si>
    <t>2R4*0,3</t>
  </si>
  <si>
    <t>RD4*0,3</t>
  </si>
  <si>
    <t>RU4*0,3</t>
  </si>
  <si>
    <t>1R5*0,3</t>
  </si>
  <si>
    <t>2R5*0,3</t>
  </si>
  <si>
    <t>RU5*0,3</t>
  </si>
  <si>
    <t>1R6*0,3</t>
  </si>
  <si>
    <t>2R6*0,3</t>
  </si>
  <si>
    <t>RD6*0,3</t>
  </si>
  <si>
    <t>RU6*0,3</t>
  </si>
  <si>
    <t>2R7*0,3</t>
  </si>
  <si>
    <t>RU7*0,3</t>
  </si>
  <si>
    <t>2R8*0,3</t>
  </si>
  <si>
    <t>RU8*0,3</t>
  </si>
  <si>
    <t>2R9*0,3</t>
  </si>
  <si>
    <t>RU9*0,3</t>
  </si>
  <si>
    <t>2R10*0,3</t>
  </si>
  <si>
    <t>RU10*0,3</t>
  </si>
  <si>
    <t>AB*0,3</t>
  </si>
  <si>
    <t>A1a*0,3</t>
  </si>
  <si>
    <t>A1b*0,3</t>
  </si>
  <si>
    <t>A1c*0,3</t>
  </si>
  <si>
    <t>A1d*0,3</t>
  </si>
  <si>
    <t>A2a*0,3</t>
  </si>
  <si>
    <t>A2b*0,3</t>
  </si>
  <si>
    <t>A3a*0,3</t>
  </si>
  <si>
    <t>A3b*0,3</t>
  </si>
  <si>
    <t>A4a*0,3</t>
  </si>
  <si>
    <t>A4b*0,3</t>
  </si>
  <si>
    <t>A5*0,3</t>
  </si>
  <si>
    <t>A6*0,3</t>
  </si>
  <si>
    <t>A7*0,3</t>
  </si>
  <si>
    <t>A8*0,3</t>
  </si>
  <si>
    <t>FB*0,3</t>
  </si>
  <si>
    <t>F1a*0,3</t>
  </si>
  <si>
    <t>F1b*0,3</t>
  </si>
  <si>
    <t>F1c*0,3</t>
  </si>
  <si>
    <t>F2a*0,3</t>
  </si>
  <si>
    <t>F2b*0,3</t>
  </si>
  <si>
    <t>F2c*0,3</t>
  </si>
  <si>
    <t>F3a*0,3</t>
  </si>
  <si>
    <t>F3b*0,3</t>
  </si>
  <si>
    <t>F3c*0,3</t>
  </si>
  <si>
    <t>F4a*0,3</t>
  </si>
  <si>
    <t>F4b*0,3</t>
  </si>
  <si>
    <t>F4c*0,3</t>
  </si>
  <si>
    <t>F4d*0,3</t>
  </si>
  <si>
    <t>F4e*0,3</t>
  </si>
  <si>
    <t>F4f*0,3</t>
  </si>
  <si>
    <t>F5a*0,3</t>
  </si>
  <si>
    <t>F5b*0,3</t>
  </si>
  <si>
    <t>F5c*0,3</t>
  </si>
  <si>
    <t>F6a*0,3</t>
  </si>
  <si>
    <t>F6b*0,3</t>
  </si>
  <si>
    <t>F6c*0,3</t>
  </si>
  <si>
    <t>F6d*0,3</t>
  </si>
  <si>
    <t>F7*0,3</t>
  </si>
  <si>
    <t>F8a*0,3</t>
  </si>
  <si>
    <t>F8b*0,3</t>
  </si>
  <si>
    <t>F9*0,3</t>
  </si>
  <si>
    <t>F10*0,3</t>
  </si>
  <si>
    <t>TRE code</t>
  </si>
  <si>
    <t>TRE value</t>
  </si>
  <si>
    <t>1a</t>
  </si>
  <si>
    <t>1b</t>
  </si>
  <si>
    <t>2a</t>
  </si>
  <si>
    <t>2b</t>
  </si>
  <si>
    <t>3a</t>
  </si>
  <si>
    <t>4a</t>
  </si>
  <si>
    <t>3b</t>
  </si>
  <si>
    <t>4b</t>
  </si>
  <si>
    <t>5a</t>
  </si>
  <si>
    <t>5b</t>
  </si>
  <si>
    <t>00:00-00:17</t>
  </si>
  <si>
    <t>00:18-00:30</t>
  </si>
  <si>
    <t>Förening:</t>
  </si>
  <si>
    <t>Tävling:</t>
  </si>
  <si>
    <t>Gren:</t>
  </si>
  <si>
    <t>x</t>
  </si>
  <si>
    <t>FINAL</t>
  </si>
  <si>
    <t>Par/trio</t>
  </si>
  <si>
    <t>Lag</t>
  </si>
  <si>
    <t>Tema:</t>
  </si>
  <si>
    <t>Namn på tävlanden:</t>
  </si>
  <si>
    <t>Datum:</t>
  </si>
  <si>
    <t>Signatur:</t>
  </si>
  <si>
    <t>Startnummer:</t>
  </si>
  <si>
    <t>TID</t>
  </si>
  <si>
    <t>ELEMENT (ange 1-8)</t>
  </si>
  <si>
    <t>TYP 
(TRANS, ACRO, HYB)</t>
  </si>
  <si>
    <t>DEKLARERING</t>
  </si>
  <si>
    <t>SVÅRIGHET 
(ange 0,5)</t>
  </si>
  <si>
    <t>TRANS</t>
  </si>
  <si>
    <t>HYB</t>
  </si>
  <si>
    <t>Åre Simsällskap</t>
  </si>
  <si>
    <t>Åre mini-Cup</t>
  </si>
  <si>
    <t>Fortsättningstävling</t>
  </si>
  <si>
    <t>Clown</t>
  </si>
  <si>
    <t>Emil Karlsson, Ylva Jonsson</t>
  </si>
  <si>
    <t>ACRO</t>
  </si>
  <si>
    <t>02:15-02:30</t>
  </si>
  <si>
    <t>00:31-00:45</t>
  </si>
  <si>
    <t>00:46-00:53</t>
  </si>
  <si>
    <t>00:54-01:05</t>
  </si>
  <si>
    <t>01:06-01:16</t>
  </si>
  <si>
    <t>01:17-01:01:31</t>
  </si>
  <si>
    <t>01:32-01:45</t>
  </si>
  <si>
    <t>01:46-02:01</t>
  </si>
  <si>
    <t>02:02-02:14</t>
  </si>
  <si>
    <t>Instruktioner</t>
  </si>
  <si>
    <t>Fyll i programmets Coach Card under fliken "Print"</t>
  </si>
  <si>
    <t>Ett exempel på ifyllt Coach Card finns på flik 2</t>
  </si>
  <si>
    <t>&gt; Fyll i din förenings namn</t>
  </si>
  <si>
    <t>&gt; Fyll i tävlingens namn</t>
  </si>
  <si>
    <t>&gt; Ange tema på programmet</t>
  </si>
  <si>
    <t>&gt; Välj  gren (lag, par/trio, solo)</t>
  </si>
  <si>
    <t>&gt; Fyll i de tävlandens för- och efternamn</t>
  </si>
  <si>
    <t>Allmän info:</t>
  </si>
  <si>
    <t>Fylla i Coach Cardet:</t>
  </si>
  <si>
    <t>&gt; Skriv in "Typ", vad som görs (TRANS, ACRO eller HYB)</t>
  </si>
  <si>
    <t>Tävlingsklass:</t>
  </si>
  <si>
    <t>&gt; Dubbelkolla att all info finns med och att den stämmer</t>
  </si>
  <si>
    <t>&gt; Ange deklarering på de obligatoriska delar som ska ingå i tre av  hybriderna (T, F, AW), lämna övriga fält tomma</t>
  </si>
  <si>
    <r>
      <t xml:space="preserve">&gt; Skriv in "Tid" när programmet gör en TRANS/ACRO/HYB - </t>
    </r>
    <r>
      <rPr>
        <b/>
        <i/>
        <sz val="11"/>
        <color theme="5"/>
        <rFont val="Calibri"/>
        <family val="2"/>
        <scheme val="minor"/>
      </rPr>
      <t xml:space="preserve"> mer info i Tabell 1</t>
    </r>
  </si>
  <si>
    <t>Tabell 1 - tider</t>
  </si>
  <si>
    <t>Förtydliganden:</t>
  </si>
  <si>
    <t>Alla HYB och ACRO har svårighet 0,5</t>
  </si>
  <si>
    <t>TRANS = står för Transition (alla armrörelser, balettben, ryggsekvenser där man andas)</t>
  </si>
  <si>
    <t>HYB = står för Hybrid (de hybrider som utförs under vattnet)</t>
  </si>
  <si>
    <t>ACRO = står för akrobatisk rörelse (de kast eller lyft som utförs, både parlyft och i lag)</t>
  </si>
  <si>
    <t>03:00 (+/- 5s)</t>
  </si>
  <si>
    <t>02:30 (+/- 5s)</t>
  </si>
  <si>
    <t>02:00 (+/- 5s)</t>
  </si>
  <si>
    <t>4 HYB + 3 ACRO</t>
  </si>
  <si>
    <t>4 HYB + 1 ACRO</t>
  </si>
  <si>
    <t>4 HYB</t>
  </si>
  <si>
    <t>Tabell 2 - antal HYB/ACRO</t>
  </si>
  <si>
    <r>
      <t xml:space="preserve">&gt; Ange vilket nummer elementet har - </t>
    </r>
    <r>
      <rPr>
        <b/>
        <i/>
        <sz val="11"/>
        <color theme="5"/>
        <rFont val="Calibri"/>
        <family val="2"/>
        <scheme val="minor"/>
      </rPr>
      <t xml:space="preserve"> </t>
    </r>
    <r>
      <rPr>
        <b/>
        <i/>
        <sz val="11"/>
        <color theme="4"/>
        <rFont val="Calibri"/>
        <family val="2"/>
        <scheme val="minor"/>
      </rPr>
      <t>mer info i Tabell 2</t>
    </r>
  </si>
  <si>
    <t>Ett avdrag på 8p görs om programmet är för kort/långt</t>
  </si>
  <si>
    <t>Ett avdrag på 8p görs om programmet innehåller för få HYB/ACRO</t>
  </si>
  <si>
    <t>FÖR KONTROLLANT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</si>
</sst>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kr&quot;;[Red]\-#,##0\ &quot;kr&quot;"/>
    <numFmt numFmtId="164" formatCode="0.000"/>
    <numFmt numFmtId="165" formatCode="0.0"/>
    <numFmt numFmtId="166" formatCode="0.000#"/>
    <numFmt numFmtId="167" formatCode="00"/>
    <numFmt numFmtId="168" formatCode="0.0%"/>
    <numFmt numFmtId="169" formatCode="0.0000"/>
  </numFmts>
  <fonts count="51" x14ac:knownFonts="1">
    <font>
      <sz val="11"/>
      <color theme="1"/>
      <name val="Calibri"/>
      <scheme val="minor"/>
    </font>
    <font>
      <sz val="11"/>
      <color theme="1"/>
      <name val="Calibri"/>
      <family val="2"/>
      <scheme val="minor"/>
    </font>
    <font>
      <b/>
      <sz val="11"/>
      <color theme="1"/>
      <name val="Calibri"/>
    </font>
    <font>
      <sz val="11"/>
      <name val="Calibri"/>
    </font>
    <font>
      <sz val="11"/>
      <color theme="1"/>
      <name val="Calibri"/>
    </font>
    <font>
      <sz val="11"/>
      <color theme="1"/>
      <name val="Calibri"/>
      <scheme val="minor"/>
    </font>
    <font>
      <sz val="11"/>
      <color rgb="FFFF0000"/>
      <name val="Calibri"/>
    </font>
    <font>
      <sz val="10"/>
      <color theme="1"/>
      <name val="Arial"/>
    </font>
    <font>
      <b/>
      <sz val="28"/>
      <color theme="0"/>
      <name val="Arial"/>
    </font>
    <font>
      <sz val="10"/>
      <color rgb="FFFF0000"/>
      <name val="Arial"/>
    </font>
    <font>
      <sz val="10"/>
      <color rgb="FFFF0000"/>
      <name val="Calibri"/>
    </font>
    <font>
      <sz val="10"/>
      <color theme="0"/>
      <name val="Arial"/>
    </font>
    <font>
      <b/>
      <sz val="10"/>
      <color theme="1"/>
      <name val="Arial"/>
    </font>
    <font>
      <sz val="10"/>
      <color theme="1"/>
      <name val="Calibri"/>
    </font>
    <font>
      <b/>
      <sz val="9"/>
      <color theme="1"/>
      <name val="Arial"/>
    </font>
    <font>
      <b/>
      <sz val="10"/>
      <color theme="1"/>
      <name val="Calibri"/>
    </font>
    <font>
      <sz val="10"/>
      <color rgb="FFD8D8D8"/>
      <name val="Arial"/>
    </font>
    <font>
      <b/>
      <sz val="10"/>
      <color theme="0"/>
      <name val="Arial"/>
    </font>
    <font>
      <sz val="11"/>
      <color theme="0"/>
      <name val="Calibri"/>
    </font>
    <font>
      <sz val="10"/>
      <color theme="0"/>
      <name val="Calibri"/>
    </font>
    <font>
      <b/>
      <sz val="10"/>
      <color rgb="FFFF0000"/>
      <name val="Calibri"/>
    </font>
    <font>
      <b/>
      <sz val="18"/>
      <color theme="1"/>
      <name val="Calibri"/>
    </font>
    <font>
      <b/>
      <sz val="10"/>
      <color rgb="FFFF0000"/>
      <name val="Arial"/>
    </font>
    <font>
      <sz val="8"/>
      <color theme="1"/>
      <name val="Arial"/>
    </font>
    <font>
      <sz val="10"/>
      <color rgb="FFFFFFFF"/>
      <name val="Arial"/>
    </font>
    <font>
      <b/>
      <sz val="8"/>
      <color theme="1"/>
      <name val="Tahoma"/>
    </font>
    <font>
      <sz val="10"/>
      <color rgb="FF000000"/>
      <name val="Times New Roman"/>
    </font>
    <font>
      <sz val="10"/>
      <color rgb="FFFF0000"/>
      <name val="Times New Roman"/>
    </font>
    <font>
      <b/>
      <sz val="48"/>
      <color rgb="FF000000"/>
      <name val="Arial"/>
    </font>
    <font>
      <b/>
      <sz val="8"/>
      <color theme="1"/>
      <name val="Arial Black"/>
    </font>
    <font>
      <sz val="12"/>
      <color rgb="FF000000"/>
      <name val="Times New Roman"/>
    </font>
    <font>
      <sz val="18"/>
      <color rgb="FF000000"/>
      <name val="Times New Roman"/>
    </font>
    <font>
      <sz val="11"/>
      <color rgb="FF000000"/>
      <name val="Times New Roman"/>
    </font>
    <font>
      <sz val="11"/>
      <color theme="1"/>
      <name val="Arial"/>
    </font>
    <font>
      <sz val="12"/>
      <color theme="1"/>
      <name val="Arial"/>
    </font>
    <font>
      <b/>
      <sz val="8"/>
      <color theme="1"/>
      <name val="Arial"/>
    </font>
    <font>
      <b/>
      <sz val="48"/>
      <color rgb="FF0182C5"/>
      <name val="Calibri"/>
    </font>
    <font>
      <sz val="12"/>
      <color rgb="FF000000"/>
      <name val="Times New Roman"/>
      <family val="1"/>
    </font>
    <font>
      <b/>
      <sz val="11"/>
      <color theme="1"/>
      <name val="Calibri"/>
      <family val="2"/>
      <scheme val="minor"/>
    </font>
    <font>
      <sz val="10"/>
      <color rgb="FF000000"/>
      <name val="Times New Roman"/>
      <family val="1"/>
    </font>
    <font>
      <sz val="18"/>
      <color rgb="FF000000"/>
      <name val="Times New Roman"/>
      <family val="1"/>
    </font>
    <font>
      <b/>
      <sz val="10"/>
      <color rgb="FF000000"/>
      <name val="Times New Roman"/>
      <family val="1"/>
    </font>
    <font>
      <b/>
      <sz val="11"/>
      <name val="Calibri"/>
      <family val="2"/>
    </font>
    <font>
      <b/>
      <sz val="8"/>
      <color theme="1"/>
      <name val="Tahoma"/>
      <family val="2"/>
    </font>
    <font>
      <sz val="11"/>
      <name val="Calibri"/>
      <family val="2"/>
    </font>
    <font>
      <b/>
      <sz val="8"/>
      <color theme="1"/>
      <name val="Arial Black"/>
      <family val="2"/>
    </font>
    <font>
      <b/>
      <sz val="14"/>
      <color theme="1"/>
      <name val="Calibri"/>
      <family val="2"/>
      <scheme val="minor"/>
    </font>
    <font>
      <b/>
      <sz val="16"/>
      <color theme="1"/>
      <name val="Calibri"/>
      <family val="2"/>
      <scheme val="minor"/>
    </font>
    <font>
      <b/>
      <i/>
      <sz val="11"/>
      <color theme="5"/>
      <name val="Calibri"/>
      <family val="2"/>
      <scheme val="minor"/>
    </font>
    <font>
      <b/>
      <i/>
      <sz val="11"/>
      <color theme="4"/>
      <name val="Calibri"/>
      <family val="2"/>
      <scheme val="minor"/>
    </font>
    <font>
      <i/>
      <sz val="8"/>
      <color theme="1"/>
      <name val="Calibri"/>
      <family val="2"/>
      <scheme val="minor"/>
    </font>
  </fonts>
  <fills count="21">
    <fill>
      <patternFill patternType="none"/>
    </fill>
    <fill>
      <patternFill patternType="gray125"/>
    </fill>
    <fill>
      <patternFill patternType="solid">
        <fgColor rgb="FFD8D8D8"/>
        <bgColor rgb="FFD8D8D8"/>
      </patternFill>
    </fill>
    <fill>
      <patternFill patternType="solid">
        <fgColor rgb="FFC5E0B3"/>
        <bgColor rgb="FFC5E0B3"/>
      </patternFill>
    </fill>
    <fill>
      <patternFill patternType="solid">
        <fgColor rgb="FFBFBFBF"/>
        <bgColor rgb="FFBFBFBF"/>
      </patternFill>
    </fill>
    <fill>
      <patternFill patternType="solid">
        <fgColor rgb="FFFFA3A3"/>
        <bgColor rgb="FFFFA3A3"/>
      </patternFill>
    </fill>
    <fill>
      <patternFill patternType="solid">
        <fgColor rgb="FF8EAADB"/>
        <bgColor rgb="FF8EAADB"/>
      </patternFill>
    </fill>
    <fill>
      <patternFill patternType="solid">
        <fgColor rgb="FFFF0000"/>
        <bgColor rgb="FFFF0000"/>
      </patternFill>
    </fill>
    <fill>
      <patternFill patternType="solid">
        <fgColor rgb="FFFFE598"/>
        <bgColor rgb="FFFFE598"/>
      </patternFill>
    </fill>
    <fill>
      <patternFill patternType="solid">
        <fgColor rgb="FFFFFF00"/>
        <bgColor rgb="FFFFFF00"/>
      </patternFill>
    </fill>
    <fill>
      <patternFill patternType="solid">
        <fgColor rgb="FFF2F2F2"/>
        <bgColor rgb="FFF2F2F2"/>
      </patternFill>
    </fill>
    <fill>
      <patternFill patternType="solid">
        <fgColor rgb="FFF1F1F1"/>
        <bgColor rgb="FFF1F1F1"/>
      </patternFill>
    </fill>
    <fill>
      <patternFill patternType="solid">
        <fgColor rgb="FFFEF2CB"/>
        <bgColor rgb="FFFEF2CB"/>
      </patternFill>
    </fill>
    <fill>
      <patternFill patternType="solid">
        <fgColor rgb="FFE2EFD9"/>
        <bgColor rgb="FFE2EFD9"/>
      </patternFill>
    </fill>
    <fill>
      <patternFill patternType="solid">
        <fgColor rgb="FFD9E2F3"/>
        <bgColor rgb="FFD9E2F3"/>
      </patternFill>
    </fill>
    <fill>
      <patternFill patternType="solid">
        <fgColor rgb="FFFBE4D5"/>
        <bgColor rgb="FFFBE4D5"/>
      </patternFill>
    </fill>
    <fill>
      <patternFill patternType="solid">
        <fgColor theme="0"/>
        <bgColor theme="0"/>
      </patternFill>
    </fill>
    <fill>
      <patternFill patternType="solid">
        <fgColor rgb="FFDADADA"/>
        <bgColor rgb="FFDADADA"/>
      </patternFill>
    </fill>
    <fill>
      <patternFill patternType="solid">
        <fgColor theme="0" tint="-4.9989318521683403E-2"/>
        <bgColor indexed="64"/>
      </patternFill>
    </fill>
    <fill>
      <patternFill patternType="solid">
        <fgColor theme="5"/>
        <bgColor indexed="64"/>
      </patternFill>
    </fill>
    <fill>
      <patternFill patternType="solid">
        <fgColor theme="4"/>
        <bgColor indexed="64"/>
      </patternFill>
    </fill>
  </fills>
  <borders count="8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bottom/>
      <diagonal/>
    </border>
    <border>
      <left style="medium">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right style="thin">
        <color indexed="64"/>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bottom style="thin">
        <color rgb="FF000000"/>
      </bottom>
      <diagonal/>
    </border>
    <border>
      <left/>
      <right style="thin">
        <color indexed="64"/>
      </right>
      <top style="thin">
        <color rgb="FF000000"/>
      </top>
      <bottom/>
      <diagonal/>
    </border>
    <border>
      <left/>
      <right/>
      <top/>
      <bottom style="thin">
        <color indexed="64"/>
      </bottom>
      <diagonal/>
    </border>
  </borders>
  <cellStyleXfs count="2">
    <xf numFmtId="0" fontId="0" fillId="0" borderId="0"/>
    <xf numFmtId="0" fontId="39" fillId="0" borderId="73"/>
  </cellStyleXfs>
  <cellXfs count="320">
    <xf numFmtId="0" fontId="0" fillId="0" borderId="0" xfId="0"/>
    <xf numFmtId="0" fontId="5" fillId="0" borderId="0" xfId="0" applyFont="1"/>
    <xf numFmtId="0" fontId="7" fillId="6" borderId="4" xfId="0" applyFont="1" applyFill="1" applyBorder="1" applyAlignment="1">
      <alignment horizontal="center" vertical="center"/>
    </xf>
    <xf numFmtId="0" fontId="7" fillId="6" borderId="4" xfId="0" applyFont="1" applyFill="1" applyBorder="1" applyAlignment="1">
      <alignment vertical="center"/>
    </xf>
    <xf numFmtId="0" fontId="8" fillId="6" borderId="4" xfId="0" applyFont="1" applyFill="1" applyBorder="1" applyAlignment="1">
      <alignment horizontal="center" vertical="center"/>
    </xf>
    <xf numFmtId="0" fontId="9" fillId="0" borderId="0" xfId="0" applyFont="1" applyAlignment="1">
      <alignment vertical="center"/>
    </xf>
    <xf numFmtId="164" fontId="7" fillId="6" borderId="4" xfId="0" applyNumberFormat="1" applyFont="1" applyFill="1" applyBorder="1" applyAlignment="1">
      <alignment vertical="center"/>
    </xf>
    <xf numFmtId="164" fontId="9" fillId="7" borderId="4" xfId="0" applyNumberFormat="1" applyFont="1" applyFill="1" applyBorder="1" applyAlignment="1">
      <alignment vertical="center"/>
    </xf>
    <xf numFmtId="0" fontId="10" fillId="7" borderId="4" xfId="0" applyFont="1" applyFill="1" applyBorder="1" applyAlignment="1">
      <alignment horizontal="left" vertical="center"/>
    </xf>
    <xf numFmtId="0" fontId="9" fillId="7" borderId="4" xfId="0" applyFont="1" applyFill="1" applyBorder="1" applyAlignment="1">
      <alignment vertical="center"/>
    </xf>
    <xf numFmtId="0" fontId="9" fillId="7" borderId="4" xfId="0" applyFont="1" applyFill="1" applyBorder="1" applyAlignment="1">
      <alignment horizontal="center" vertical="center"/>
    </xf>
    <xf numFmtId="0" fontId="7" fillId="7" borderId="4" xfId="0" applyFont="1" applyFill="1" applyBorder="1" applyAlignment="1">
      <alignment vertical="center"/>
    </xf>
    <xf numFmtId="164" fontId="9" fillId="0" borderId="0" xfId="0" applyNumberFormat="1" applyFont="1" applyAlignment="1">
      <alignment vertical="center"/>
    </xf>
    <xf numFmtId="0" fontId="10" fillId="0" borderId="0" xfId="0" applyFont="1" applyAlignment="1">
      <alignment horizontal="left" vertical="center"/>
    </xf>
    <xf numFmtId="0" fontId="9" fillId="0" borderId="10"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vertical="center"/>
    </xf>
    <xf numFmtId="0" fontId="9" fillId="0" borderId="3" xfId="0" applyFont="1" applyBorder="1" applyAlignment="1">
      <alignment horizontal="center" vertical="center"/>
    </xf>
    <xf numFmtId="0" fontId="11" fillId="6" borderId="4" xfId="0" applyFont="1" applyFill="1" applyBorder="1" applyAlignment="1">
      <alignment vertical="center"/>
    </xf>
    <xf numFmtId="165" fontId="9" fillId="0" borderId="3" xfId="0" applyNumberFormat="1" applyFont="1" applyBorder="1" applyAlignment="1">
      <alignment horizontal="center" vertical="center"/>
    </xf>
    <xf numFmtId="0" fontId="13" fillId="0" borderId="17" xfId="0" applyFont="1" applyBorder="1" applyAlignment="1">
      <alignment vertical="center"/>
    </xf>
    <xf numFmtId="0" fontId="7" fillId="2" borderId="18" xfId="0" applyFont="1" applyFill="1" applyBorder="1" applyAlignment="1">
      <alignment vertical="center"/>
    </xf>
    <xf numFmtId="0" fontId="12" fillId="2" borderId="18" xfId="0" applyFont="1" applyFill="1" applyBorder="1" applyAlignment="1">
      <alignment horizontal="right" vertical="center"/>
    </xf>
    <xf numFmtId="0" fontId="7" fillId="0" borderId="3" xfId="0" applyFont="1" applyBorder="1" applyAlignment="1">
      <alignment horizontal="center" vertical="center"/>
    </xf>
    <xf numFmtId="0" fontId="14" fillId="0" borderId="19" xfId="0" applyFont="1" applyBorder="1" applyAlignment="1">
      <alignment horizontal="right" vertical="center"/>
    </xf>
    <xf numFmtId="0" fontId="15" fillId="0" borderId="20" xfId="0" applyFont="1" applyBorder="1" applyAlignment="1">
      <alignment horizontal="center" vertical="center"/>
    </xf>
    <xf numFmtId="0" fontId="14" fillId="0" borderId="21" xfId="0" applyFont="1" applyBorder="1" applyAlignment="1">
      <alignment horizontal="right" vertical="center"/>
    </xf>
    <xf numFmtId="0" fontId="13" fillId="0" borderId="12" xfId="0" applyFont="1" applyBorder="1" applyAlignment="1">
      <alignment vertical="center"/>
    </xf>
    <xf numFmtId="0" fontId="14" fillId="0" borderId="25" xfId="0" applyFont="1" applyBorder="1" applyAlignment="1">
      <alignment horizontal="right" vertical="center"/>
    </xf>
    <xf numFmtId="0" fontId="7" fillId="2" borderId="26" xfId="0" applyFont="1" applyFill="1" applyBorder="1" applyAlignment="1">
      <alignment horizontal="center" vertical="center"/>
    </xf>
    <xf numFmtId="0" fontId="7" fillId="2" borderId="27" xfId="0" applyFont="1" applyFill="1" applyBorder="1" applyAlignment="1">
      <alignment vertical="center"/>
    </xf>
    <xf numFmtId="0" fontId="7" fillId="2" borderId="27" xfId="0" applyFont="1" applyFill="1" applyBorder="1" applyAlignment="1">
      <alignment horizontal="center" vertical="center"/>
    </xf>
    <xf numFmtId="0" fontId="7" fillId="2" borderId="28" xfId="0" applyFont="1" applyFill="1" applyBorder="1" applyAlignment="1">
      <alignment vertical="center"/>
    </xf>
    <xf numFmtId="0" fontId="9" fillId="0" borderId="0" xfId="0" applyFont="1" applyAlignment="1">
      <alignment horizontal="left" vertical="center"/>
    </xf>
    <xf numFmtId="0" fontId="12" fillId="0" borderId="12" xfId="0" applyFont="1" applyBorder="1" applyAlignment="1">
      <alignment horizontal="left" vertical="center"/>
    </xf>
    <xf numFmtId="0" fontId="7" fillId="0" borderId="23" xfId="0" applyFont="1" applyBorder="1" applyAlignment="1">
      <alignment vertical="center"/>
    </xf>
    <xf numFmtId="0" fontId="7" fillId="2" borderId="29" xfId="0" applyFont="1" applyFill="1" applyBorder="1" applyAlignment="1">
      <alignment vertical="center"/>
    </xf>
    <xf numFmtId="0" fontId="7" fillId="2" borderId="30" xfId="0" applyFont="1" applyFill="1" applyBorder="1" applyAlignment="1">
      <alignment vertical="center"/>
    </xf>
    <xf numFmtId="0" fontId="16" fillId="2" borderId="30" xfId="0" applyFont="1" applyFill="1" applyBorder="1" applyAlignment="1">
      <alignment horizontal="right" vertical="center"/>
    </xf>
    <xf numFmtId="0" fontId="7" fillId="0" borderId="1" xfId="0" applyFont="1" applyBorder="1" applyAlignment="1">
      <alignment horizontal="center" vertical="center"/>
    </xf>
    <xf numFmtId="0" fontId="16" fillId="2" borderId="4" xfId="0" applyFont="1" applyFill="1" applyBorder="1" applyAlignment="1">
      <alignment horizontal="center" vertical="center"/>
    </xf>
    <xf numFmtId="0" fontId="7" fillId="2" borderId="4" xfId="0" applyFont="1" applyFill="1" applyBorder="1" applyAlignment="1">
      <alignment vertical="center"/>
    </xf>
    <xf numFmtId="0" fontId="7" fillId="2" borderId="31" xfId="0" applyFont="1" applyFill="1" applyBorder="1" applyAlignment="1">
      <alignment vertical="center"/>
    </xf>
    <xf numFmtId="0" fontId="7" fillId="0" borderId="32" xfId="0" applyFont="1" applyBorder="1" applyAlignment="1">
      <alignment vertical="center"/>
    </xf>
    <xf numFmtId="0" fontId="7" fillId="2" borderId="33" xfId="0" applyFont="1" applyFill="1" applyBorder="1" applyAlignment="1">
      <alignment vertical="center"/>
    </xf>
    <xf numFmtId="0" fontId="16" fillId="2" borderId="4" xfId="0" applyFont="1" applyFill="1" applyBorder="1" applyAlignment="1">
      <alignment horizontal="right" vertical="center"/>
    </xf>
    <xf numFmtId="0" fontId="7" fillId="0" borderId="34" xfId="0" applyFont="1" applyBorder="1" applyAlignment="1">
      <alignment horizontal="center" vertical="center"/>
    </xf>
    <xf numFmtId="0" fontId="13" fillId="0" borderId="37" xfId="0" applyFont="1" applyBorder="1" applyAlignment="1">
      <alignment vertical="center"/>
    </xf>
    <xf numFmtId="0" fontId="12" fillId="0" borderId="0" xfId="0" applyFont="1" applyAlignment="1">
      <alignment horizontal="left" vertical="center"/>
    </xf>
    <xf numFmtId="0" fontId="13"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164" fontId="7" fillId="0" borderId="0" xfId="0" applyNumberFormat="1" applyFont="1" applyAlignment="1">
      <alignment vertical="center"/>
    </xf>
    <xf numFmtId="0" fontId="10" fillId="0" borderId="0" xfId="0" applyFont="1" applyAlignment="1">
      <alignment vertical="center"/>
    </xf>
    <xf numFmtId="0" fontId="17" fillId="0" borderId="0" xfId="0" applyFont="1" applyAlignment="1">
      <alignment horizontal="left" vertical="center"/>
    </xf>
    <xf numFmtId="45" fontId="11" fillId="0" borderId="0" xfId="0" applyNumberFormat="1" applyFont="1" applyAlignment="1">
      <alignment vertical="center"/>
    </xf>
    <xf numFmtId="45" fontId="18" fillId="0" borderId="0" xfId="0" applyNumberFormat="1" applyFont="1" applyAlignment="1">
      <alignment horizontal="center"/>
    </xf>
    <xf numFmtId="0" fontId="7" fillId="0" borderId="0" xfId="0" applyFont="1" applyAlignment="1">
      <alignment horizontal="center" vertical="center"/>
    </xf>
    <xf numFmtId="0" fontId="13" fillId="0" borderId="0" xfId="0" applyFont="1" applyAlignment="1">
      <alignment horizontal="center" vertical="center" shrinkToFit="1"/>
    </xf>
    <xf numFmtId="0" fontId="13" fillId="0" borderId="0" xfId="0" applyFont="1" applyAlignment="1">
      <alignment horizontal="center" vertical="center"/>
    </xf>
    <xf numFmtId="0" fontId="7" fillId="0" borderId="10" xfId="0" applyFont="1" applyBorder="1" applyAlignment="1">
      <alignment vertical="center"/>
    </xf>
    <xf numFmtId="0" fontId="7" fillId="0" borderId="12" xfId="0" applyFont="1" applyBorder="1" applyAlignment="1">
      <alignment vertical="center"/>
    </xf>
    <xf numFmtId="0" fontId="7" fillId="0" borderId="11" xfId="0" applyFont="1" applyBorder="1" applyAlignment="1">
      <alignment vertical="center"/>
    </xf>
    <xf numFmtId="45" fontId="9" fillId="0" borderId="0" xfId="0" applyNumberFormat="1" applyFont="1" applyAlignment="1">
      <alignment vertical="center"/>
    </xf>
    <xf numFmtId="0" fontId="9" fillId="0" borderId="1" xfId="0" applyFont="1" applyBorder="1" applyAlignment="1">
      <alignment horizontal="center" vertical="center"/>
    </xf>
    <xf numFmtId="0" fontId="13" fillId="0" borderId="3" xfId="0" applyFont="1" applyBorder="1" applyAlignment="1">
      <alignment horizontal="center" vertical="center"/>
    </xf>
    <xf numFmtId="1" fontId="9" fillId="0" borderId="0" xfId="0" applyNumberFormat="1" applyFont="1" applyAlignment="1">
      <alignment vertical="center"/>
    </xf>
    <xf numFmtId="0" fontId="9" fillId="0" borderId="38" xfId="0" applyFont="1" applyBorder="1" applyAlignment="1">
      <alignment horizontal="center" vertical="center"/>
    </xf>
    <xf numFmtId="0" fontId="9" fillId="0" borderId="12" xfId="0" applyFont="1" applyBorder="1" applyAlignment="1">
      <alignment horizontal="center" vertical="center"/>
    </xf>
    <xf numFmtId="0" fontId="19" fillId="0" borderId="0" xfId="0" applyFont="1" applyAlignment="1">
      <alignment vertical="center"/>
    </xf>
    <xf numFmtId="0" fontId="17" fillId="0" borderId="3" xfId="0" applyFont="1" applyBorder="1" applyAlignment="1">
      <alignment horizontal="center" vertical="center"/>
    </xf>
    <xf numFmtId="0" fontId="15" fillId="0" borderId="0" xfId="0" applyFont="1" applyAlignment="1">
      <alignment horizontal="right" vertical="center"/>
    </xf>
    <xf numFmtId="166" fontId="2" fillId="0" borderId="39" xfId="0" applyNumberFormat="1" applyFont="1" applyBorder="1" applyAlignment="1">
      <alignment horizontal="center" vertical="center" shrinkToFit="1"/>
    </xf>
    <xf numFmtId="164" fontId="20" fillId="0" borderId="0" xfId="0" applyNumberFormat="1" applyFont="1" applyAlignment="1">
      <alignment horizontal="center" vertical="center"/>
    </xf>
    <xf numFmtId="0" fontId="9" fillId="0" borderId="11" xfId="0" applyFont="1" applyBorder="1" applyAlignment="1">
      <alignment horizontal="center" vertical="center"/>
    </xf>
    <xf numFmtId="0" fontId="12" fillId="0" borderId="0" xfId="0" applyFont="1" applyAlignment="1">
      <alignment horizontal="right" vertical="center"/>
    </xf>
    <xf numFmtId="167" fontId="12" fillId="0" borderId="0" xfId="0" applyNumberFormat="1" applyFont="1" applyAlignment="1">
      <alignment horizontal="center" vertical="center"/>
    </xf>
    <xf numFmtId="168" fontId="12" fillId="0" borderId="0" xfId="0" applyNumberFormat="1" applyFont="1" applyAlignment="1">
      <alignment horizontal="center" vertical="center"/>
    </xf>
    <xf numFmtId="168" fontId="17" fillId="0" borderId="0" xfId="0" applyNumberFormat="1" applyFont="1" applyAlignment="1">
      <alignment horizontal="center" vertical="center"/>
    </xf>
    <xf numFmtId="0" fontId="13" fillId="0" borderId="19" xfId="0" applyFont="1" applyBorder="1" applyAlignment="1">
      <alignment horizontal="right" vertical="center"/>
    </xf>
    <xf numFmtId="0" fontId="21" fillId="0" borderId="19" xfId="0" applyFont="1" applyBorder="1" applyAlignment="1">
      <alignment horizontal="center"/>
    </xf>
    <xf numFmtId="45" fontId="6" fillId="0" borderId="0" xfId="0" applyNumberFormat="1" applyFont="1" applyAlignment="1">
      <alignment horizontal="center"/>
    </xf>
    <xf numFmtId="0" fontId="12" fillId="0" borderId="40" xfId="0" applyFont="1" applyBorder="1" applyAlignment="1">
      <alignment vertical="center"/>
    </xf>
    <xf numFmtId="0" fontId="12" fillId="0" borderId="41" xfId="0" applyFont="1" applyBorder="1" applyAlignment="1">
      <alignmen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6" fillId="0" borderId="0" xfId="0" applyFont="1" applyAlignment="1">
      <alignment horizontal="center" vertical="center"/>
    </xf>
    <xf numFmtId="0" fontId="7" fillId="0" borderId="21" xfId="0" applyFont="1" applyBorder="1" applyAlignment="1">
      <alignment horizontal="center" vertical="center"/>
    </xf>
    <xf numFmtId="0" fontId="7" fillId="8" borderId="4" xfId="0" applyFont="1" applyFill="1" applyBorder="1" applyAlignment="1">
      <alignment horizontal="center" vertical="center"/>
    </xf>
    <xf numFmtId="0" fontId="7" fillId="0" borderId="44" xfId="0" applyFont="1" applyBorder="1" applyAlignment="1">
      <alignment vertical="center"/>
    </xf>
    <xf numFmtId="0" fontId="12" fillId="3" borderId="46" xfId="0" applyFont="1" applyFill="1" applyBorder="1" applyAlignment="1">
      <alignment vertical="center"/>
    </xf>
    <xf numFmtId="0" fontId="12" fillId="8" borderId="47" xfId="0" applyFont="1" applyFill="1" applyBorder="1" applyAlignment="1">
      <alignment vertical="center"/>
    </xf>
    <xf numFmtId="0" fontId="12" fillId="4" borderId="46" xfId="0" applyFont="1" applyFill="1" applyBorder="1" applyAlignment="1">
      <alignment vertical="center"/>
    </xf>
    <xf numFmtId="0" fontId="12" fillId="5" borderId="46" xfId="0" applyFont="1" applyFill="1" applyBorder="1" applyAlignment="1">
      <alignment vertical="center"/>
    </xf>
    <xf numFmtId="0" fontId="12" fillId="8" borderId="48" xfId="0" applyFont="1" applyFill="1" applyBorder="1" applyAlignment="1">
      <alignment vertical="center"/>
    </xf>
    <xf numFmtId="0" fontId="12" fillId="0" borderId="20" xfId="0" applyFont="1" applyBorder="1" applyAlignment="1">
      <alignment horizontal="center" vertical="center"/>
    </xf>
    <xf numFmtId="0" fontId="22" fillId="0" borderId="0" xfId="0" applyFont="1" applyAlignment="1">
      <alignment horizontal="center" vertical="center"/>
    </xf>
    <xf numFmtId="0" fontId="7" fillId="8" borderId="51" xfId="0" applyFont="1" applyFill="1" applyBorder="1" applyAlignment="1">
      <alignment horizontal="center" vertical="center" wrapText="1"/>
    </xf>
    <xf numFmtId="0" fontId="7" fillId="8" borderId="51" xfId="0" applyFont="1" applyFill="1" applyBorder="1" applyAlignment="1">
      <alignment horizontal="center" vertical="center"/>
    </xf>
    <xf numFmtId="0" fontId="23" fillId="0" borderId="52" xfId="0" applyFont="1" applyBorder="1" applyAlignment="1">
      <alignment horizontal="center" vertical="center" wrapText="1"/>
    </xf>
    <xf numFmtId="0" fontId="12" fillId="8" borderId="54" xfId="0" applyFont="1" applyFill="1" applyBorder="1" applyAlignment="1">
      <alignment vertical="center"/>
    </xf>
    <xf numFmtId="0" fontId="12" fillId="8" borderId="51" xfId="0" applyFont="1" applyFill="1" applyBorder="1" applyAlignment="1">
      <alignment vertical="center"/>
    </xf>
    <xf numFmtId="0" fontId="12" fillId="8" borderId="55" xfId="0" applyFont="1" applyFill="1" applyBorder="1" applyAlignment="1">
      <alignment vertical="center"/>
    </xf>
    <xf numFmtId="0" fontId="12" fillId="0" borderId="53" xfId="0" applyFont="1" applyBorder="1" applyAlignment="1">
      <alignment horizontal="center" vertical="center"/>
    </xf>
    <xf numFmtId="164" fontId="9" fillId="0" borderId="3" xfId="0" applyNumberFormat="1" applyFont="1" applyBorder="1" applyAlignment="1">
      <alignment vertical="center" wrapText="1"/>
    </xf>
    <xf numFmtId="0" fontId="9" fillId="0" borderId="3" xfId="0" applyFont="1" applyBorder="1" applyAlignment="1">
      <alignment vertical="center"/>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7" fillId="2" borderId="4"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59"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4" xfId="0" applyFont="1" applyFill="1" applyBorder="1" applyAlignment="1">
      <alignment vertical="center" shrinkToFit="1"/>
    </xf>
    <xf numFmtId="0" fontId="7" fillId="2" borderId="60" xfId="0" applyFont="1" applyFill="1" applyBorder="1" applyAlignment="1">
      <alignment vertical="center" shrinkToFit="1"/>
    </xf>
    <xf numFmtId="164" fontId="7" fillId="2" borderId="31" xfId="0" applyNumberFormat="1" applyFont="1" applyFill="1" applyBorder="1" applyAlignment="1">
      <alignment vertical="center"/>
    </xf>
    <xf numFmtId="1" fontId="9" fillId="0" borderId="3" xfId="0" applyNumberFormat="1" applyFont="1" applyBorder="1" applyAlignment="1">
      <alignment horizontal="left" vertical="center"/>
    </xf>
    <xf numFmtId="0" fontId="9" fillId="0" borderId="2" xfId="0" applyFont="1" applyBorder="1" applyAlignment="1">
      <alignment horizontal="center" vertical="center"/>
    </xf>
    <xf numFmtId="167" fontId="7" fillId="0" borderId="21" xfId="0" applyNumberFormat="1" applyFont="1" applyBorder="1" applyAlignment="1">
      <alignment horizontal="center" vertical="center"/>
    </xf>
    <xf numFmtId="167" fontId="7" fillId="0" borderId="0" xfId="0" applyNumberFormat="1" applyFont="1" applyAlignment="1">
      <alignment horizontal="center" vertical="center"/>
    </xf>
    <xf numFmtId="0" fontId="7" fillId="0" borderId="61" xfId="0" applyFont="1" applyBorder="1" applyAlignment="1">
      <alignment horizontal="center" vertical="center"/>
    </xf>
    <xf numFmtId="0" fontId="12" fillId="0" borderId="0" xfId="0" applyFont="1" applyAlignment="1">
      <alignment horizontal="center" vertical="center" shrinkToFit="1"/>
    </xf>
    <xf numFmtId="0" fontId="12" fillId="0" borderId="61" xfId="0" applyFont="1" applyBorder="1" applyAlignment="1">
      <alignment horizontal="center" vertical="center" shrinkToFit="1"/>
    </xf>
    <xf numFmtId="164" fontId="7" fillId="0" borderId="62" xfId="0" applyNumberFormat="1" applyFont="1" applyBorder="1" applyAlignment="1">
      <alignment vertical="center"/>
    </xf>
    <xf numFmtId="45" fontId="9" fillId="0" borderId="0" xfId="0" applyNumberFormat="1" applyFont="1" applyAlignment="1">
      <alignment horizontal="center" vertical="center"/>
    </xf>
    <xf numFmtId="0" fontId="24" fillId="0" borderId="0" xfId="0" applyFont="1" applyAlignment="1">
      <alignment horizontal="center" vertical="center"/>
    </xf>
    <xf numFmtId="0" fontId="17" fillId="0" borderId="0" xfId="0" applyFont="1" applyAlignment="1">
      <alignment horizontal="center" vertical="center" shrinkToFit="1"/>
    </xf>
    <xf numFmtId="0" fontId="17" fillId="0" borderId="62" xfId="0" applyFont="1" applyBorder="1" applyAlignment="1">
      <alignment horizontal="center" vertical="center"/>
    </xf>
    <xf numFmtId="166" fontId="7" fillId="0" borderId="0" xfId="0" applyNumberFormat="1" applyFont="1" applyAlignment="1">
      <alignment horizontal="center" vertical="center"/>
    </xf>
    <xf numFmtId="166" fontId="7" fillId="0" borderId="61" xfId="0" applyNumberFormat="1" applyFont="1" applyBorder="1" applyAlignment="1">
      <alignment horizontal="center" vertical="center"/>
    </xf>
    <xf numFmtId="166" fontId="12" fillId="0" borderId="62" xfId="0" applyNumberFormat="1" applyFont="1" applyBorder="1" applyAlignment="1">
      <alignment vertical="center"/>
    </xf>
    <xf numFmtId="164" fontId="22" fillId="0" borderId="0" xfId="0" applyNumberFormat="1" applyFont="1" applyAlignment="1">
      <alignment vertical="center"/>
    </xf>
    <xf numFmtId="164" fontId="12" fillId="0" borderId="0" xfId="0" applyNumberFormat="1" applyFont="1" applyAlignment="1">
      <alignment vertical="center"/>
    </xf>
    <xf numFmtId="167" fontId="24" fillId="0" borderId="0" xfId="0" applyNumberFormat="1" applyFont="1" applyAlignment="1">
      <alignment horizontal="center" vertical="center"/>
    </xf>
    <xf numFmtId="167" fontId="7" fillId="0" borderId="25" xfId="0" applyNumberFormat="1" applyFont="1" applyBorder="1" applyAlignment="1">
      <alignment horizontal="center" vertical="center"/>
    </xf>
    <xf numFmtId="167" fontId="7"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7" fillId="0" borderId="52" xfId="0" applyFont="1" applyBorder="1" applyAlignment="1">
      <alignment horizontal="center" vertical="center"/>
    </xf>
    <xf numFmtId="0" fontId="17" fillId="0" borderId="19" xfId="0" applyFont="1" applyBorder="1" applyAlignment="1">
      <alignment horizontal="center" vertical="center" shrinkToFit="1"/>
    </xf>
    <xf numFmtId="0" fontId="17" fillId="0" borderId="53" xfId="0" applyFont="1" applyBorder="1" applyAlignment="1">
      <alignment horizontal="center" vertical="center"/>
    </xf>
    <xf numFmtId="166" fontId="7" fillId="0" borderId="25" xfId="0" applyNumberFormat="1" applyFont="1" applyBorder="1" applyAlignment="1">
      <alignment horizontal="center" vertical="center"/>
    </xf>
    <xf numFmtId="166" fontId="7" fillId="0" borderId="19" xfId="0" applyNumberFormat="1" applyFont="1" applyBorder="1" applyAlignment="1">
      <alignment horizontal="center" vertical="center"/>
    </xf>
    <xf numFmtId="166" fontId="7" fillId="0" borderId="53" xfId="0" applyNumberFormat="1" applyFont="1" applyBorder="1" applyAlignment="1">
      <alignment horizontal="center" vertical="center"/>
    </xf>
    <xf numFmtId="166" fontId="7" fillId="0" borderId="52" xfId="0" applyNumberFormat="1" applyFont="1" applyBorder="1" applyAlignment="1">
      <alignment horizontal="center" vertical="center"/>
    </xf>
    <xf numFmtId="166" fontId="12" fillId="0" borderId="52" xfId="0" applyNumberFormat="1" applyFont="1" applyBorder="1" applyAlignment="1">
      <alignment vertical="center"/>
    </xf>
    <xf numFmtId="0" fontId="11" fillId="0" borderId="53" xfId="0" applyFont="1" applyBorder="1" applyAlignment="1">
      <alignment horizontal="center" vertical="center"/>
    </xf>
    <xf numFmtId="0" fontId="17" fillId="0" borderId="25" xfId="0" applyFont="1" applyBorder="1" applyAlignment="1">
      <alignment horizontal="center" vertical="center" shrinkToFit="1"/>
    </xf>
    <xf numFmtId="167" fontId="7" fillId="9" borderId="4" xfId="0" applyNumberFormat="1" applyFont="1" applyFill="1" applyBorder="1" applyAlignment="1">
      <alignment horizontal="center" vertical="center"/>
    </xf>
    <xf numFmtId="0" fontId="7" fillId="9" borderId="4" xfId="0" applyFont="1" applyFill="1" applyBorder="1" applyAlignment="1">
      <alignment horizontal="center" vertical="center"/>
    </xf>
    <xf numFmtId="0" fontId="12" fillId="0" borderId="0" xfId="0" quotePrefix="1" applyFont="1" applyAlignment="1">
      <alignment horizontal="center" vertical="center" shrinkToFit="1"/>
    </xf>
    <xf numFmtId="6" fontId="12" fillId="0" borderId="0" xfId="0" applyNumberFormat="1" applyFont="1" applyAlignment="1">
      <alignment horizontal="center" vertical="center" shrinkToFit="1"/>
    </xf>
    <xf numFmtId="0" fontId="7" fillId="9" borderId="4" xfId="0" applyFont="1" applyFill="1" applyBorder="1" applyAlignment="1">
      <alignment vertical="center"/>
    </xf>
    <xf numFmtId="0" fontId="9" fillId="9" borderId="4" xfId="0" applyFont="1" applyFill="1" applyBorder="1" applyAlignment="1">
      <alignment vertical="center"/>
    </xf>
    <xf numFmtId="0" fontId="9" fillId="9" borderId="4" xfId="0" applyFont="1" applyFill="1" applyBorder="1" applyAlignment="1">
      <alignment horizontal="center" vertical="center"/>
    </xf>
    <xf numFmtId="0" fontId="7" fillId="0" borderId="0" xfId="0" applyFont="1" applyAlignment="1">
      <alignment horizontal="right" vertical="center"/>
    </xf>
    <xf numFmtId="166" fontId="7" fillId="0" borderId="0" xfId="0" applyNumberFormat="1" applyFont="1" applyAlignment="1">
      <alignment vertical="center"/>
    </xf>
    <xf numFmtId="0" fontId="7" fillId="0" borderId="0" xfId="0" quotePrefix="1" applyFont="1" applyAlignment="1">
      <alignment vertical="center"/>
    </xf>
    <xf numFmtId="14" fontId="7" fillId="0" borderId="0" xfId="0" applyNumberFormat="1" applyFont="1" applyAlignment="1">
      <alignment horizontal="center" vertical="center"/>
    </xf>
    <xf numFmtId="0" fontId="7" fillId="0" borderId="0" xfId="0" applyFont="1" applyAlignment="1">
      <alignment horizontal="left" vertical="center"/>
    </xf>
    <xf numFmtId="0" fontId="26" fillId="0" borderId="0" xfId="0" applyFont="1" applyAlignment="1">
      <alignment horizontal="left" vertical="top"/>
    </xf>
    <xf numFmtId="0" fontId="27" fillId="0" borderId="0" xfId="0" applyFont="1" applyAlignment="1">
      <alignment horizontal="left" vertical="top"/>
    </xf>
    <xf numFmtId="0" fontId="29" fillId="0" borderId="10" xfId="0" applyFont="1" applyBorder="1" applyAlignment="1">
      <alignment horizontal="left" vertical="center" wrapText="1"/>
    </xf>
    <xf numFmtId="0" fontId="30" fillId="0" borderId="3" xfId="0" applyFont="1" applyBorder="1" applyAlignment="1">
      <alignment horizontal="center" vertical="center" wrapText="1"/>
    </xf>
    <xf numFmtId="166" fontId="30" fillId="0" borderId="11" xfId="0" applyNumberFormat="1" applyFont="1" applyBorder="1" applyAlignment="1">
      <alignment horizontal="right" vertical="center" wrapText="1"/>
    </xf>
    <xf numFmtId="0" fontId="26" fillId="11" borderId="3" xfId="0" applyFont="1" applyFill="1" applyBorder="1" applyAlignment="1">
      <alignment horizontal="left" vertical="top" wrapText="1"/>
    </xf>
    <xf numFmtId="0" fontId="30" fillId="0" borderId="69" xfId="0" applyFont="1" applyBorder="1" applyAlignment="1">
      <alignment horizontal="center" vertical="center" wrapText="1"/>
    </xf>
    <xf numFmtId="0" fontId="30" fillId="0" borderId="69" xfId="0" applyFont="1" applyBorder="1" applyAlignment="1">
      <alignment horizontal="center" vertical="center" shrinkToFit="1"/>
    </xf>
    <xf numFmtId="166" fontId="30" fillId="0" borderId="3" xfId="0" applyNumberFormat="1" applyFont="1" applyBorder="1" applyAlignment="1">
      <alignment horizontal="right" vertical="center" wrapText="1"/>
    </xf>
    <xf numFmtId="0" fontId="32" fillId="0" borderId="0" xfId="0" applyFont="1" applyAlignment="1">
      <alignment horizontal="left" vertical="top"/>
    </xf>
    <xf numFmtId="0" fontId="4" fillId="0" borderId="0" xfId="0" applyFont="1" applyAlignment="1">
      <alignment horizontal="center"/>
    </xf>
    <xf numFmtId="0" fontId="4" fillId="2" borderId="4" xfId="0" applyFont="1" applyFill="1" applyBorder="1"/>
    <xf numFmtId="1" fontId="4" fillId="0" borderId="0" xfId="0" applyNumberFormat="1" applyFont="1" applyAlignment="1">
      <alignment horizontal="center"/>
    </xf>
    <xf numFmtId="0" fontId="4" fillId="14" borderId="4" xfId="0" applyFont="1" applyFill="1" applyBorder="1"/>
    <xf numFmtId="0" fontId="4" fillId="12" borderId="4" xfId="0" applyFont="1" applyFill="1" applyBorder="1"/>
    <xf numFmtId="0" fontId="4" fillId="13" borderId="4" xfId="0" applyFont="1" applyFill="1" applyBorder="1"/>
    <xf numFmtId="0" fontId="4" fillId="15" borderId="4" xfId="0" applyFont="1" applyFill="1" applyBorder="1"/>
    <xf numFmtId="45" fontId="4" fillId="0" borderId="0" xfId="0" applyNumberFormat="1" applyFont="1" applyAlignment="1">
      <alignment horizontal="center"/>
    </xf>
    <xf numFmtId="0" fontId="33" fillId="0" borderId="0" xfId="0" applyFont="1"/>
    <xf numFmtId="0" fontId="4" fillId="14" borderId="4" xfId="0" quotePrefix="1" applyFont="1" applyFill="1" applyBorder="1"/>
    <xf numFmtId="165" fontId="4" fillId="0" borderId="0" xfId="0" applyNumberFormat="1" applyFont="1"/>
    <xf numFmtId="0" fontId="4" fillId="15" borderId="4" xfId="0" quotePrefix="1" applyFont="1" applyFill="1" applyBorder="1"/>
    <xf numFmtId="0" fontId="4" fillId="13" borderId="4" xfId="0" applyFont="1" applyFill="1" applyBorder="1" applyAlignment="1">
      <alignment horizontal="left"/>
    </xf>
    <xf numFmtId="0" fontId="4" fillId="0" borderId="0" xfId="0" applyFont="1" applyAlignment="1">
      <alignment horizontal="left"/>
    </xf>
    <xf numFmtId="6" fontId="4" fillId="13" borderId="4" xfId="0" quotePrefix="1" applyNumberFormat="1" applyFont="1" applyFill="1" applyBorder="1"/>
    <xf numFmtId="6" fontId="4" fillId="15" borderId="4" xfId="0" quotePrefix="1" applyNumberFormat="1" applyFont="1" applyFill="1" applyBorder="1"/>
    <xf numFmtId="2" fontId="4" fillId="0" borderId="0" xfId="0" applyNumberFormat="1" applyFont="1"/>
    <xf numFmtId="0" fontId="33" fillId="16" borderId="4" xfId="0" applyFont="1" applyFill="1" applyBorder="1"/>
    <xf numFmtId="0" fontId="12" fillId="17" borderId="3" xfId="0" applyFont="1" applyFill="1" applyBorder="1" applyAlignment="1">
      <alignment horizontal="center"/>
    </xf>
    <xf numFmtId="0" fontId="33" fillId="16" borderId="4" xfId="0" applyFont="1" applyFill="1" applyBorder="1" applyAlignment="1">
      <alignment horizontal="center"/>
    </xf>
    <xf numFmtId="0" fontId="35" fillId="16" borderId="3" xfId="0" applyFont="1" applyFill="1" applyBorder="1" applyAlignment="1">
      <alignment horizontal="left"/>
    </xf>
    <xf numFmtId="164" fontId="23" fillId="16" borderId="3" xfId="0" applyNumberFormat="1" applyFont="1" applyFill="1" applyBorder="1"/>
    <xf numFmtId="0" fontId="4" fillId="0" borderId="3" xfId="0" applyFont="1" applyBorder="1"/>
    <xf numFmtId="2" fontId="4" fillId="0" borderId="3" xfId="0" applyNumberFormat="1" applyFont="1" applyBorder="1"/>
    <xf numFmtId="0" fontId="33" fillId="16" borderId="3" xfId="0" applyFont="1" applyFill="1" applyBorder="1" applyAlignment="1">
      <alignment horizontal="left"/>
    </xf>
    <xf numFmtId="164" fontId="33" fillId="16" borderId="3" xfId="0" applyNumberFormat="1" applyFont="1" applyFill="1" applyBorder="1"/>
    <xf numFmtId="0" fontId="33" fillId="16" borderId="3" xfId="0" applyFont="1" applyFill="1" applyBorder="1"/>
    <xf numFmtId="0" fontId="23" fillId="16" borderId="3" xfId="0" applyFont="1" applyFill="1" applyBorder="1" applyAlignment="1">
      <alignment horizontal="left"/>
    </xf>
    <xf numFmtId="164" fontId="35" fillId="16" borderId="3" xfId="0" applyNumberFormat="1" applyFont="1" applyFill="1" applyBorder="1" applyAlignment="1">
      <alignment horizontal="center"/>
    </xf>
    <xf numFmtId="0" fontId="23" fillId="16" borderId="3" xfId="0" applyFont="1" applyFill="1" applyBorder="1" applyAlignment="1">
      <alignment horizontal="center"/>
    </xf>
    <xf numFmtId="164" fontId="23" fillId="16" borderId="3" xfId="0" applyNumberFormat="1" applyFont="1" applyFill="1" applyBorder="1" applyAlignment="1">
      <alignment horizontal="left"/>
    </xf>
    <xf numFmtId="164" fontId="35" fillId="16" borderId="3" xfId="0" applyNumberFormat="1" applyFont="1" applyFill="1" applyBorder="1" applyAlignment="1">
      <alignment horizontal="left"/>
    </xf>
    <xf numFmtId="169" fontId="23" fillId="16" borderId="3" xfId="0" applyNumberFormat="1" applyFont="1" applyFill="1" applyBorder="1" applyAlignment="1">
      <alignment horizontal="left"/>
    </xf>
    <xf numFmtId="164" fontId="4" fillId="0" borderId="0" xfId="0" applyNumberFormat="1" applyFont="1"/>
    <xf numFmtId="0" fontId="12" fillId="17" borderId="3" xfId="0" applyFont="1" applyFill="1" applyBorder="1" applyAlignment="1">
      <alignment horizontal="left" wrapText="1"/>
    </xf>
    <xf numFmtId="0" fontId="12" fillId="17" borderId="3" xfId="0" applyFont="1" applyFill="1" applyBorder="1" applyAlignment="1">
      <alignment horizontal="center" wrapText="1"/>
    </xf>
    <xf numFmtId="0" fontId="4" fillId="2" borderId="4" xfId="0" applyFont="1" applyFill="1" applyBorder="1" applyAlignment="1">
      <alignment horizontal="center"/>
    </xf>
    <xf numFmtId="165" fontId="4" fillId="0" borderId="0" xfId="0" applyNumberFormat="1" applyFont="1" applyAlignment="1">
      <alignment horizontal="center"/>
    </xf>
    <xf numFmtId="0" fontId="37"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43" fillId="10" borderId="3" xfId="0" applyFont="1" applyFill="1" applyBorder="1" applyAlignment="1">
      <alignment horizontal="center" vertical="center" wrapText="1"/>
    </xf>
    <xf numFmtId="0" fontId="43" fillId="0" borderId="11" xfId="0" applyFont="1" applyBorder="1" applyAlignment="1">
      <alignment horizontal="center" vertical="center" wrapText="1"/>
    </xf>
    <xf numFmtId="0" fontId="45" fillId="0" borderId="10" xfId="0" applyFont="1" applyBorder="1" applyAlignment="1">
      <alignment horizontal="left" vertical="center" wrapText="1"/>
    </xf>
    <xf numFmtId="0" fontId="30" fillId="0" borderId="69" xfId="0" applyFont="1" applyBorder="1" applyAlignment="1">
      <alignment vertical="center" wrapText="1"/>
    </xf>
    <xf numFmtId="0" fontId="3" fillId="0" borderId="69" xfId="0" applyFont="1" applyBorder="1"/>
    <xf numFmtId="0" fontId="46" fillId="0" borderId="0" xfId="0" applyFont="1"/>
    <xf numFmtId="0" fontId="38" fillId="0" borderId="0" xfId="0" applyFont="1"/>
    <xf numFmtId="0" fontId="47" fillId="0" borderId="0" xfId="0" applyFont="1"/>
    <xf numFmtId="0" fontId="1" fillId="0" borderId="0" xfId="0" applyFont="1"/>
    <xf numFmtId="0" fontId="1" fillId="0" borderId="78" xfId="0" applyFont="1" applyBorder="1"/>
    <xf numFmtId="0" fontId="38" fillId="19" borderId="78" xfId="0" applyFont="1" applyFill="1" applyBorder="1" applyAlignment="1">
      <alignment horizontal="center"/>
    </xf>
    <xf numFmtId="0" fontId="38" fillId="20" borderId="78" xfId="0" applyFont="1" applyFill="1" applyBorder="1" applyAlignment="1">
      <alignment horizontal="center"/>
    </xf>
    <xf numFmtId="0" fontId="50" fillId="0" borderId="79" xfId="0" applyFont="1" applyBorder="1" applyAlignment="1">
      <alignment horizontal="left" vertical="top" wrapText="1"/>
    </xf>
    <xf numFmtId="0" fontId="50" fillId="0" borderId="73" xfId="0" applyFont="1" applyBorder="1" applyAlignment="1">
      <alignment horizontal="left" vertical="top" wrapText="1"/>
    </xf>
    <xf numFmtId="0" fontId="12" fillId="0" borderId="0" xfId="0" applyFont="1" applyAlignment="1">
      <alignment horizontal="center" vertical="center"/>
    </xf>
    <xf numFmtId="0" fontId="3" fillId="0" borderId="62" xfId="0" applyFont="1" applyBorder="1"/>
    <xf numFmtId="0" fontId="12" fillId="0" borderId="45" xfId="0" applyFont="1" applyBorder="1" applyAlignment="1">
      <alignment horizontal="center" vertical="center" wrapText="1"/>
    </xf>
    <xf numFmtId="0" fontId="3" fillId="0" borderId="20" xfId="0" applyFont="1" applyBorder="1"/>
    <xf numFmtId="0" fontId="3" fillId="0" borderId="25" xfId="0" applyFont="1" applyBorder="1"/>
    <xf numFmtId="0" fontId="3" fillId="0" borderId="53" xfId="0" applyFont="1" applyBorder="1"/>
    <xf numFmtId="0" fontId="12" fillId="8" borderId="44" xfId="0" applyFont="1" applyFill="1" applyBorder="1" applyAlignment="1">
      <alignment horizontal="center" vertical="center" wrapText="1"/>
    </xf>
    <xf numFmtId="0" fontId="3" fillId="0" borderId="52" xfId="0" applyFont="1" applyBorder="1"/>
    <xf numFmtId="0" fontId="9" fillId="0" borderId="10" xfId="0" applyFont="1" applyBorder="1" applyAlignment="1">
      <alignment horizontal="center" vertical="center"/>
    </xf>
    <xf numFmtId="0" fontId="3" fillId="0" borderId="12" xfId="0" applyFont="1" applyBorder="1"/>
    <xf numFmtId="0" fontId="3" fillId="0" borderId="11" xfId="0" applyFont="1" applyBorder="1"/>
    <xf numFmtId="0" fontId="7" fillId="0" borderId="25" xfId="0" applyFont="1" applyBorder="1" applyAlignment="1">
      <alignment horizontal="center" vertical="center"/>
    </xf>
    <xf numFmtId="0" fontId="3" fillId="0" borderId="19" xfId="0" applyFont="1" applyBorder="1"/>
    <xf numFmtId="0" fontId="7" fillId="8" borderId="49" xfId="0" applyFont="1" applyFill="1" applyBorder="1" applyAlignment="1">
      <alignment horizontal="center" vertical="center"/>
    </xf>
    <xf numFmtId="0" fontId="3" fillId="0" borderId="50" xfId="0" applyFont="1" applyBorder="1"/>
    <xf numFmtId="164" fontId="9" fillId="0" borderId="56" xfId="0" applyNumberFormat="1" applyFont="1" applyBorder="1" applyAlignment="1">
      <alignment horizontal="center" vertical="center"/>
    </xf>
    <xf numFmtId="0" fontId="3" fillId="0" borderId="57" xfId="0" applyFont="1" applyBorder="1"/>
    <xf numFmtId="0" fontId="9" fillId="0" borderId="10" xfId="0" applyFont="1" applyBorder="1" applyAlignment="1">
      <alignment horizontal="center" vertical="center" wrapText="1"/>
    </xf>
    <xf numFmtId="0" fontId="9" fillId="4" borderId="5" xfId="0" applyFont="1" applyFill="1" applyBorder="1" applyAlignment="1">
      <alignment horizontal="center" vertical="center"/>
    </xf>
    <xf numFmtId="0" fontId="3" fillId="0" borderId="6" xfId="0" applyFont="1" applyBorder="1"/>
    <xf numFmtId="0" fontId="3" fillId="0" borderId="7" xfId="0" applyFont="1" applyBorder="1"/>
    <xf numFmtId="0" fontId="3" fillId="0" borderId="8" xfId="0" applyFont="1" applyBorder="1"/>
    <xf numFmtId="0" fontId="0" fillId="0" borderId="0" xfId="0"/>
    <xf numFmtId="0" fontId="3" fillId="0" borderId="9" xfId="0" applyFont="1" applyBorder="1"/>
    <xf numFmtId="0" fontId="3" fillId="0" borderId="13" xfId="0" applyFont="1" applyBorder="1"/>
    <xf numFmtId="0" fontId="3" fillId="0" borderId="14" xfId="0" applyFont="1" applyBorder="1"/>
    <xf numFmtId="0" fontId="3" fillId="0" borderId="15" xfId="0" applyFont="1" applyBorder="1"/>
    <xf numFmtId="0" fontId="12" fillId="0" borderId="23" xfId="0" applyFont="1" applyBorder="1" applyAlignment="1">
      <alignment horizontal="left" vertical="center"/>
    </xf>
    <xf numFmtId="0" fontId="13" fillId="0" borderId="10" xfId="0" applyFont="1" applyBorder="1" applyAlignment="1">
      <alignment horizontal="center" vertical="center"/>
    </xf>
    <xf numFmtId="0" fontId="9" fillId="0" borderId="10" xfId="0" applyFont="1" applyBorder="1" applyAlignment="1">
      <alignment horizontal="left" vertical="center"/>
    </xf>
    <xf numFmtId="0" fontId="7" fillId="0" borderId="23" xfId="0" applyFont="1" applyBorder="1" applyAlignment="1">
      <alignment horizontal="left" vertical="center"/>
    </xf>
    <xf numFmtId="0" fontId="3" fillId="0" borderId="24" xfId="0" applyFont="1" applyBorder="1"/>
    <xf numFmtId="0" fontId="7" fillId="0" borderId="10" xfId="0" applyFont="1" applyBorder="1" applyAlignment="1">
      <alignment horizontal="left" vertical="center"/>
    </xf>
    <xf numFmtId="0" fontId="12" fillId="0" borderId="35" xfId="0" applyFont="1" applyBorder="1" applyAlignment="1">
      <alignment horizontal="left" vertical="center"/>
    </xf>
    <xf numFmtId="0" fontId="3" fillId="0" borderId="36" xfId="0" applyFont="1" applyBorder="1"/>
    <xf numFmtId="0" fontId="7" fillId="0" borderId="35" xfId="0" applyFont="1" applyBorder="1" applyAlignment="1">
      <alignment horizontal="left" vertical="center"/>
    </xf>
    <xf numFmtId="0" fontId="3" fillId="0" borderId="37" xfId="0" applyFont="1" applyBorder="1"/>
    <xf numFmtId="0" fontId="9" fillId="0" borderId="0" xfId="0" applyFont="1" applyAlignment="1">
      <alignment horizontal="left" vertical="center"/>
    </xf>
    <xf numFmtId="0" fontId="8" fillId="6" borderId="5" xfId="0" applyFont="1" applyFill="1" applyBorder="1" applyAlignment="1">
      <alignment horizontal="center" vertical="center"/>
    </xf>
    <xf numFmtId="0" fontId="12" fillId="0" borderId="16" xfId="0" applyFont="1" applyBorder="1" applyAlignment="1">
      <alignment horizontal="left" vertical="center"/>
    </xf>
    <xf numFmtId="0" fontId="3" fillId="0" borderId="17" xfId="0" applyFont="1" applyBorder="1"/>
    <xf numFmtId="0" fontId="7" fillId="0" borderId="16" xfId="0" applyFont="1" applyBorder="1" applyAlignment="1">
      <alignment horizontal="left" vertical="center"/>
    </xf>
    <xf numFmtId="0" fontId="13" fillId="2" borderId="16" xfId="0" applyFont="1" applyFill="1" applyBorder="1" applyAlignment="1">
      <alignment horizontal="center" vertical="center"/>
    </xf>
    <xf numFmtId="0" fontId="3" fillId="0" borderId="22" xfId="0" applyFont="1" applyBorder="1"/>
    <xf numFmtId="14" fontId="7" fillId="0" borderId="0" xfId="0" applyNumberFormat="1" applyFont="1" applyAlignment="1">
      <alignment horizontal="center" vertical="center"/>
    </xf>
    <xf numFmtId="0" fontId="0" fillId="0" borderId="0" xfId="0" applyAlignment="1">
      <alignment horizontal="center"/>
    </xf>
    <xf numFmtId="0" fontId="46" fillId="0" borderId="82" xfId="0" applyFont="1" applyBorder="1" applyAlignment="1">
      <alignment horizontal="left"/>
    </xf>
    <xf numFmtId="0" fontId="30" fillId="0" borderId="26"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26" xfId="0" applyFont="1" applyBorder="1" applyAlignment="1">
      <alignment horizontal="left" vertical="center" shrinkToFit="1"/>
    </xf>
    <xf numFmtId="0" fontId="3" fillId="0" borderId="75" xfId="0" applyFont="1" applyBorder="1"/>
    <xf numFmtId="0" fontId="3" fillId="0" borderId="76" xfId="0" applyFont="1" applyBorder="1"/>
    <xf numFmtId="0" fontId="0" fillId="0" borderId="69" xfId="0" applyBorder="1" applyAlignment="1">
      <alignment horizontal="center"/>
    </xf>
    <xf numFmtId="0" fontId="37" fillId="0" borderId="26" xfId="0" applyFont="1" applyBorder="1" applyAlignment="1">
      <alignment horizontal="center" vertical="center" wrapText="1"/>
    </xf>
    <xf numFmtId="0" fontId="40" fillId="0" borderId="26" xfId="0" applyFont="1" applyBorder="1" applyAlignment="1">
      <alignment horizontal="left" vertical="center" shrinkToFit="1"/>
    </xf>
    <xf numFmtId="0" fontId="44" fillId="0" borderId="75" xfId="0" applyFont="1" applyBorder="1"/>
    <xf numFmtId="0" fontId="44" fillId="0" borderId="76" xfId="0" applyFont="1" applyBorder="1"/>
    <xf numFmtId="0" fontId="25" fillId="0" borderId="10" xfId="0" applyFont="1" applyBorder="1" applyAlignment="1">
      <alignment horizontal="right" vertical="top" wrapText="1"/>
    </xf>
    <xf numFmtId="0" fontId="40" fillId="0" borderId="26" xfId="0" applyFont="1" applyBorder="1" applyAlignment="1">
      <alignment horizontal="left" vertical="top"/>
    </xf>
    <xf numFmtId="0" fontId="40" fillId="0" borderId="75" xfId="0" applyFont="1" applyBorder="1" applyAlignment="1">
      <alignment horizontal="left" vertical="top"/>
    </xf>
    <xf numFmtId="0" fontId="25" fillId="18" borderId="26" xfId="0" applyFont="1" applyFill="1" applyBorder="1" applyAlignment="1">
      <alignment horizontal="center" vertical="center" wrapText="1"/>
    </xf>
    <xf numFmtId="0" fontId="25" fillId="18" borderId="75" xfId="0" applyFont="1" applyFill="1" applyBorder="1" applyAlignment="1">
      <alignment horizontal="center" vertical="center" wrapText="1"/>
    </xf>
    <xf numFmtId="0" fontId="25" fillId="18" borderId="11" xfId="0" applyFont="1" applyFill="1" applyBorder="1" applyAlignment="1">
      <alignment horizontal="center" vertical="center" wrapText="1"/>
    </xf>
    <xf numFmtId="0" fontId="43" fillId="0" borderId="26" xfId="0" applyFont="1" applyBorder="1" applyAlignment="1">
      <alignment horizontal="center" vertical="center" wrapText="1"/>
    </xf>
    <xf numFmtId="0" fontId="43" fillId="0" borderId="11" xfId="0" applyFont="1" applyBorder="1" applyAlignment="1">
      <alignment horizontal="center" vertical="center" wrapText="1"/>
    </xf>
    <xf numFmtId="0" fontId="25" fillId="0" borderId="68" xfId="0" applyFont="1" applyBorder="1" applyAlignment="1">
      <alignment horizontal="right" vertical="top" wrapText="1"/>
    </xf>
    <xf numFmtId="0" fontId="25" fillId="0" borderId="70" xfId="0" applyFont="1" applyBorder="1" applyAlignment="1">
      <alignment horizontal="right" vertical="top" wrapText="1"/>
    </xf>
    <xf numFmtId="0" fontId="25" fillId="0" borderId="65" xfId="0" applyFont="1" applyBorder="1" applyAlignment="1">
      <alignment horizontal="right" vertical="top" wrapText="1"/>
    </xf>
    <xf numFmtId="0" fontId="25" fillId="0" borderId="71" xfId="0" applyFont="1" applyBorder="1" applyAlignment="1">
      <alignment horizontal="right" vertical="top" wrapText="1"/>
    </xf>
    <xf numFmtId="0" fontId="25" fillId="0" borderId="56" xfId="0" applyFont="1" applyBorder="1" applyAlignment="1">
      <alignment horizontal="right" vertical="top" wrapText="1"/>
    </xf>
    <xf numFmtId="0" fontId="25" fillId="0" borderId="67" xfId="0" applyFont="1" applyBorder="1" applyAlignment="1">
      <alignment horizontal="right" vertical="top" wrapText="1"/>
    </xf>
    <xf numFmtId="0" fontId="25" fillId="0" borderId="26" xfId="0" applyFont="1" applyBorder="1" applyAlignment="1">
      <alignment horizontal="left" vertical="center" wrapText="1"/>
    </xf>
    <xf numFmtId="0" fontId="25" fillId="0" borderId="11" xfId="0" applyFont="1" applyBorder="1" applyAlignment="1">
      <alignment horizontal="left" vertical="center" wrapText="1"/>
    </xf>
    <xf numFmtId="0" fontId="29" fillId="0" borderId="69"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73" xfId="0" applyFont="1" applyBorder="1" applyAlignment="1">
      <alignment horizontal="center" vertical="center" wrapText="1"/>
    </xf>
    <xf numFmtId="0" fontId="29" fillId="0" borderId="77"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80" xfId="0" applyFont="1" applyBorder="1" applyAlignment="1">
      <alignment horizontal="center" vertical="center" wrapText="1"/>
    </xf>
    <xf numFmtId="0" fontId="25" fillId="0" borderId="10" xfId="0" applyFont="1" applyBorder="1" applyAlignment="1">
      <alignment horizontal="left" vertical="center" wrapText="1"/>
    </xf>
    <xf numFmtId="0" fontId="36" fillId="0" borderId="73" xfId="0" applyFont="1" applyBorder="1" applyAlignment="1">
      <alignment horizontal="center" vertical="center"/>
    </xf>
    <xf numFmtId="0" fontId="36" fillId="0" borderId="77" xfId="0" applyFont="1" applyBorder="1" applyAlignment="1">
      <alignment horizontal="center" vertical="center"/>
    </xf>
    <xf numFmtId="0" fontId="40" fillId="0" borderId="11" xfId="0" applyFont="1" applyBorder="1" applyAlignment="1">
      <alignment horizontal="left" vertical="top"/>
    </xf>
    <xf numFmtId="0" fontId="41" fillId="10" borderId="63" xfId="0" applyFont="1" applyFill="1" applyBorder="1" applyAlignment="1">
      <alignment horizontal="center" vertical="top" wrapText="1"/>
    </xf>
    <xf numFmtId="0" fontId="42" fillId="0" borderId="64" xfId="0" applyFont="1" applyBorder="1"/>
    <xf numFmtId="0" fontId="28" fillId="10" borderId="65" xfId="0" applyFont="1" applyFill="1" applyBorder="1" applyAlignment="1">
      <alignment horizontal="center" vertical="center" shrinkToFit="1"/>
    </xf>
    <xf numFmtId="0" fontId="3" fillId="0" borderId="66" xfId="0" applyFont="1" applyBorder="1"/>
    <xf numFmtId="0" fontId="3" fillId="0" borderId="56" xfId="0" applyFont="1" applyBorder="1"/>
    <xf numFmtId="0" fontId="3" fillId="0" borderId="67" xfId="0" applyFont="1" applyBorder="1"/>
    <xf numFmtId="0" fontId="43" fillId="0" borderId="10" xfId="0" applyFont="1" applyBorder="1" applyAlignment="1">
      <alignment horizontal="right" vertical="top" wrapText="1"/>
    </xf>
    <xf numFmtId="0" fontId="4" fillId="0" borderId="0" xfId="0" applyFont="1" applyAlignment="1">
      <alignment horizontal="center"/>
    </xf>
    <xf numFmtId="0" fontId="4" fillId="12" borderId="72" xfId="0" applyFont="1" applyFill="1" applyBorder="1" applyAlignment="1">
      <alignment horizontal="center"/>
    </xf>
    <xf numFmtId="0" fontId="3" fillId="0" borderId="73" xfId="0" applyFont="1" applyBorder="1"/>
    <xf numFmtId="0" fontId="4" fillId="13" borderId="72" xfId="0" applyFont="1" applyFill="1" applyBorder="1" applyAlignment="1">
      <alignment horizontal="center"/>
    </xf>
    <xf numFmtId="0" fontId="4" fillId="15" borderId="72" xfId="0" applyFont="1" applyFill="1" applyBorder="1" applyAlignment="1">
      <alignment horizontal="center"/>
    </xf>
    <xf numFmtId="0" fontId="34" fillId="16" borderId="10" xfId="0" applyFont="1" applyFill="1" applyBorder="1" applyAlignment="1">
      <alignment horizontal="center"/>
    </xf>
    <xf numFmtId="0" fontId="34" fillId="16" borderId="74" xfId="0" applyFont="1" applyFill="1" applyBorder="1" applyAlignment="1">
      <alignment horizontal="center"/>
    </xf>
  </cellXfs>
  <cellStyles count="2">
    <cellStyle name="Normal" xfId="0" builtinId="0"/>
    <cellStyle name="Normal 3" xfId="1" xr:uid="{BAFC318D-3825-4DAF-AA76-B90E587CB5C8}"/>
  </cellStyles>
  <dxfs count="264">
    <dxf>
      <font>
        <b/>
      </font>
      <fill>
        <patternFill patternType="solid">
          <fgColor rgb="FFD8D8D8"/>
          <bgColor rgb="FFD8D8D8"/>
        </patternFill>
      </fill>
    </dxf>
    <dxf>
      <fill>
        <patternFill patternType="solid">
          <fgColor rgb="FFD8D8D8"/>
          <bgColor rgb="FFD8D8D8"/>
        </patternFill>
      </fill>
    </dxf>
    <dxf>
      <font>
        <color theme="0"/>
      </font>
      <fill>
        <patternFill patternType="solid">
          <fgColor theme="1"/>
          <bgColor theme="1"/>
        </patternFill>
      </fill>
    </dxf>
    <dxf>
      <font>
        <b/>
      </font>
      <fill>
        <patternFill patternType="solid">
          <fgColor rgb="FFD8D8D8"/>
          <bgColor rgb="FFD8D8D8"/>
        </patternFill>
      </fill>
    </dxf>
    <dxf>
      <fill>
        <patternFill patternType="solid">
          <fgColor rgb="FFD8D8D8"/>
          <bgColor rgb="FFD8D8D8"/>
        </patternFill>
      </fill>
    </dxf>
    <dxf>
      <font>
        <color theme="0"/>
      </font>
      <fill>
        <patternFill patternType="solid">
          <fgColor theme="1"/>
          <bgColor theme="1"/>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none"/>
      </fill>
    </dxf>
    <dxf>
      <font>
        <color theme="0"/>
      </font>
      <fill>
        <patternFill patternType="solid">
          <fgColor rgb="FFFF0000"/>
          <bgColor rgb="FFFF0000"/>
        </patternFill>
      </fill>
    </dxf>
    <dxf>
      <fill>
        <patternFill patternType="solid">
          <fgColor rgb="FFFFB9B9"/>
          <bgColor rgb="FFFFB9B9"/>
        </patternFill>
      </fill>
    </dxf>
    <dxf>
      <fill>
        <patternFill patternType="solid">
          <fgColor rgb="FFC5E0B3"/>
          <bgColor rgb="FFC5E0B3"/>
        </patternFill>
      </fill>
    </dxf>
    <dxf>
      <font>
        <color theme="0"/>
      </font>
      <fill>
        <patternFill patternType="solid">
          <fgColor rgb="FFFF0000"/>
          <bgColor rgb="FFFF0000"/>
        </patternFill>
      </fill>
    </dxf>
    <dxf>
      <font>
        <color theme="0"/>
      </font>
      <fill>
        <patternFill patternType="none"/>
      </fill>
    </dxf>
    <dxf>
      <fill>
        <patternFill patternType="solid">
          <fgColor rgb="FFFFB9B9"/>
          <bgColor rgb="FFFFB9B9"/>
        </patternFill>
      </fill>
    </dxf>
    <dxf>
      <fill>
        <patternFill patternType="solid">
          <fgColor rgb="FFC5E0B3"/>
          <bgColor rgb="FFC5E0B3"/>
        </patternFill>
      </fill>
    </dxf>
    <dxf>
      <font>
        <b/>
      </font>
      <fill>
        <patternFill patternType="solid">
          <fgColor rgb="FFFFA3A3"/>
          <bgColor rgb="FFFFA3A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b/>
        <color rgb="FFFF0000"/>
      </font>
      <fill>
        <patternFill patternType="solid">
          <fgColor rgb="FFD8D8D8"/>
          <bgColor rgb="FFD8D8D8"/>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ont>
        <color theme="0"/>
      </font>
      <fill>
        <patternFill patternType="solid">
          <fgColor rgb="FFFF0000"/>
          <bgColor rgb="FFFF0000"/>
        </patternFill>
      </fill>
    </dxf>
    <dxf>
      <font>
        <color theme="0"/>
      </font>
      <fill>
        <patternFill patternType="none"/>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C000"/>
          <bgColor rgb="FFFFC000"/>
        </patternFill>
      </fill>
    </dxf>
    <dxf>
      <font>
        <b/>
      </font>
      <fill>
        <patternFill patternType="solid">
          <fgColor rgb="FF92D050"/>
          <bgColor rgb="FF92D050"/>
        </patternFill>
      </fill>
    </dxf>
    <dxf>
      <fill>
        <patternFill patternType="none"/>
      </fill>
      <border>
        <right style="thin">
          <color rgb="FF000000"/>
        </right>
      </border>
    </dxf>
    <dxf>
      <fill>
        <patternFill patternType="none"/>
      </fill>
      <border>
        <left style="thin">
          <color rgb="FF000000"/>
        </left>
      </border>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b/>
        <color theme="0"/>
      </font>
      <fill>
        <patternFill patternType="solid">
          <fgColor rgb="FFFF0000"/>
          <bgColor rgb="FFFF0000"/>
        </patternFill>
      </fill>
    </dxf>
    <dxf>
      <fill>
        <patternFill patternType="none"/>
      </fill>
      <border>
        <left style="thin">
          <color rgb="FF000000"/>
        </left>
        <right style="thin">
          <color rgb="FF000000"/>
        </right>
        <top style="thin">
          <color rgb="FF000000"/>
        </top>
        <bottom style="thin">
          <color rgb="FF000000"/>
        </bottom>
      </border>
    </dxf>
    <dxf>
      <font>
        <color theme="0"/>
      </font>
      <fill>
        <patternFill patternType="none"/>
      </fill>
    </dxf>
    <dxf>
      <font>
        <color theme="1"/>
      </font>
      <fill>
        <patternFill patternType="solid">
          <fgColor rgb="FFA8D08D"/>
          <bgColor rgb="FFA8D08D"/>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A3A3"/>
          <bgColor rgb="FFFFA3A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A3A3"/>
          <bgColor rgb="FFFFA3A3"/>
        </patternFill>
      </fill>
    </dxf>
    <dxf>
      <fill>
        <patternFill patternType="solid">
          <fgColor rgb="FFD8D8D8"/>
          <bgColor rgb="FFD8D8D8"/>
        </patternFill>
      </fill>
    </dxf>
    <dxf>
      <fill>
        <patternFill patternType="solid">
          <fgColor rgb="FFFFA3A3"/>
          <bgColor rgb="FFFFA3A3"/>
        </patternFill>
      </fill>
    </dxf>
    <dxf>
      <font>
        <b/>
      </font>
      <fill>
        <patternFill patternType="solid">
          <fgColor rgb="FFFFA3A3"/>
          <bgColor rgb="FFFFA3A3"/>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ont>
        <color theme="0"/>
      </font>
      <fill>
        <patternFill patternType="solid">
          <fgColor rgb="FFFF0000"/>
          <bgColor rgb="FFFF0000"/>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color rgb="FFD8D8D8"/>
      </font>
      <fill>
        <patternFill patternType="solid">
          <fgColor rgb="FFD8D8D8"/>
          <bgColor rgb="FFD8D8D8"/>
        </patternFill>
      </fill>
    </dxf>
    <dxf>
      <font>
        <color rgb="FFD8D8D8"/>
      </font>
      <fill>
        <patternFill patternType="solid">
          <fgColor rgb="FFD8D8D8"/>
          <bgColor rgb="FFD8D8D8"/>
        </patternFill>
      </fill>
    </dxf>
    <dxf>
      <font>
        <color rgb="FFD8D8D8"/>
      </font>
      <fill>
        <patternFill patternType="solid">
          <fgColor rgb="FFD8D8D8"/>
          <bgColor rgb="FFD8D8D8"/>
        </patternFill>
      </fill>
    </dxf>
    <dxf>
      <fill>
        <patternFill patternType="none"/>
      </fill>
    </dxf>
    <dxf>
      <font>
        <b/>
        <color rgb="FFFF0000"/>
      </font>
      <fill>
        <patternFill patternType="solid">
          <fgColor rgb="FFD8D8D8"/>
          <bgColor rgb="FFD8D8D8"/>
        </patternFill>
      </fill>
    </dxf>
    <dxf>
      <fill>
        <patternFill patternType="solid">
          <fgColor rgb="FFC5E0B3"/>
          <bgColor rgb="FFC5E0B3"/>
        </patternFill>
      </fill>
    </dxf>
    <dxf>
      <font>
        <color theme="0"/>
      </font>
      <fill>
        <patternFill patternType="solid">
          <fgColor rgb="FFFF0000"/>
          <bgColor rgb="FFFF0000"/>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b/>
      </font>
      <fill>
        <patternFill patternType="solid">
          <fgColor rgb="FFFFA3A3"/>
          <bgColor rgb="FFFFA3A3"/>
        </patternFill>
      </fill>
    </dxf>
    <dxf>
      <font>
        <color theme="1"/>
      </font>
      <fill>
        <patternFill patternType="none"/>
      </fill>
    </dxf>
    <dxf>
      <font>
        <color theme="1"/>
      </font>
      <fill>
        <patternFill patternType="none"/>
      </fill>
    </dxf>
    <dxf>
      <fill>
        <patternFill patternType="solid">
          <fgColor rgb="FFD8D8D8"/>
          <bgColor rgb="FFD8D8D8"/>
        </patternFill>
      </fill>
    </dxf>
    <dxf>
      <font>
        <color rgb="FFFF0000"/>
      </font>
      <fill>
        <patternFill patternType="none"/>
      </fill>
    </dxf>
    <dxf>
      <font>
        <b/>
      </font>
      <fill>
        <patternFill patternType="solid">
          <fgColor rgb="FFFFA3A3"/>
          <bgColor rgb="FFFFA3A3"/>
        </patternFill>
      </fill>
    </dxf>
    <dxf>
      <font>
        <color theme="1"/>
      </font>
      <fill>
        <patternFill patternType="solid">
          <fgColor rgb="FFFFA3A3"/>
          <bgColor rgb="FFFFA3A3"/>
        </patternFill>
      </fill>
    </dxf>
    <dxf>
      <font>
        <b/>
        <color rgb="FFFF0000"/>
      </font>
      <fill>
        <patternFill patternType="solid">
          <fgColor rgb="FFBFBFBF"/>
          <bgColor rgb="FFBFBFBF"/>
        </patternFill>
      </fill>
    </dxf>
    <dxf>
      <font>
        <color rgb="FFD8D8D8"/>
      </font>
      <fill>
        <patternFill patternType="none"/>
      </fill>
    </dxf>
    <dxf>
      <fill>
        <patternFill patternType="solid">
          <fgColor rgb="FFFFA3A3"/>
          <bgColor rgb="FFFFA3A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none"/>
      </fill>
    </dxf>
    <dxf>
      <fill>
        <patternFill patternType="solid">
          <fgColor rgb="FFFFA3A3"/>
          <bgColor rgb="FFFFA3A3"/>
        </patternFill>
      </fill>
    </dxf>
    <dxf>
      <font>
        <b/>
      </font>
      <fill>
        <patternFill patternType="solid">
          <fgColor rgb="FFFFA3A3"/>
          <bgColor rgb="FFFFA3A3"/>
        </patternFill>
      </fill>
    </dxf>
    <dxf>
      <font>
        <b/>
      </font>
      <fill>
        <patternFill patternType="solid">
          <fgColor rgb="FFFFA3A3"/>
          <bgColor rgb="FFFFA3A3"/>
        </patternFill>
      </fill>
    </dxf>
    <dxf>
      <fill>
        <patternFill patternType="solid">
          <fgColor rgb="FFC5E0B3"/>
          <bgColor rgb="FFC5E0B3"/>
        </patternFill>
      </fill>
    </dxf>
    <dxf>
      <font>
        <color rgb="FFFF0000"/>
      </font>
      <fill>
        <patternFill patternType="none"/>
      </fill>
    </dxf>
    <dxf>
      <font>
        <color theme="0"/>
      </font>
      <fill>
        <patternFill patternType="none"/>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ont>
        <color theme="0"/>
      </font>
      <fill>
        <patternFill patternType="solid">
          <fgColor rgb="FFFF0000"/>
          <bgColor rgb="FFFF0000"/>
        </patternFill>
      </fill>
    </dxf>
    <dxf>
      <font>
        <color theme="0"/>
      </font>
      <fill>
        <patternFill patternType="solid">
          <fgColor rgb="FFFF0000"/>
          <bgColor rgb="FFFF0000"/>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none"/>
      </fill>
      <border>
        <bottom style="thin">
          <color rgb="FF000000"/>
        </bottom>
      </border>
    </dxf>
    <dxf>
      <font>
        <color theme="0"/>
      </font>
      <fill>
        <patternFill patternType="none"/>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0000"/>
          <bgColor rgb="FFFF0000"/>
        </patternFill>
      </fill>
    </dxf>
    <dxf>
      <font>
        <color theme="0"/>
      </font>
      <fill>
        <patternFill patternType="solid">
          <fgColor rgb="FFFF0000"/>
          <bgColor rgb="FFFF0000"/>
        </patternFill>
      </fill>
    </dxf>
    <dxf>
      <fill>
        <patternFill patternType="solid">
          <fgColor rgb="FFA8D08D"/>
          <bgColor rgb="FFA8D08D"/>
        </patternFill>
      </fill>
    </dxf>
    <dxf>
      <fill>
        <patternFill patternType="solid">
          <fgColor rgb="FFA8D08D"/>
          <bgColor rgb="FFA8D08D"/>
        </patternFill>
      </fill>
    </dxf>
    <dxf>
      <font>
        <color theme="0"/>
      </font>
      <fill>
        <patternFill patternType="solid">
          <fgColor rgb="FF7030A0"/>
          <bgColor rgb="FF7030A0"/>
        </patternFill>
      </fill>
    </dxf>
    <dxf>
      <fill>
        <patternFill patternType="solid">
          <fgColor rgb="FF9CC2E5"/>
          <bgColor rgb="FF9CC2E5"/>
        </patternFill>
      </fill>
    </dxf>
    <dxf>
      <fill>
        <patternFill patternType="solid">
          <fgColor rgb="FFFFFF00"/>
          <bgColor rgb="FFFFFF00"/>
        </patternFill>
      </fill>
    </dxf>
    <dxf>
      <fill>
        <patternFill patternType="solid">
          <fgColor rgb="FFFFE598"/>
          <bgColor rgb="FFFFE598"/>
        </patternFill>
      </fill>
    </dxf>
    <dxf>
      <fill>
        <patternFill patternType="solid">
          <fgColor rgb="FFFFA3A3"/>
          <bgColor rgb="FFFFA3A3"/>
        </patternFill>
      </fill>
    </dxf>
    <dxf>
      <fill>
        <patternFill patternType="solid">
          <fgColor rgb="FFFFE598"/>
          <bgColor rgb="FFFFE598"/>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ont>
        <color theme="0"/>
      </font>
      <fill>
        <patternFill patternType="none"/>
      </fill>
    </dxf>
    <dxf>
      <font>
        <color rgb="FFFF0000"/>
      </font>
      <fill>
        <patternFill patternType="none"/>
      </fill>
    </dxf>
    <dxf>
      <font>
        <color theme="0"/>
      </font>
      <fill>
        <patternFill patternType="none"/>
      </fill>
    </dxf>
    <dxf>
      <font>
        <color rgb="FFFF0000"/>
      </font>
      <fill>
        <patternFill patternType="none"/>
      </fill>
    </dxf>
    <dxf>
      <font>
        <color rgb="FFFF0000"/>
      </font>
      <fill>
        <patternFill patternType="none"/>
      </fill>
    </dxf>
    <dxf>
      <fill>
        <patternFill patternType="solid">
          <fgColor rgb="FFFFA3A3"/>
          <bgColor rgb="FFFFA3A3"/>
        </patternFill>
      </fill>
    </dxf>
    <dxf>
      <font>
        <color theme="0"/>
      </font>
      <fill>
        <patternFill patternType="none"/>
      </fill>
    </dxf>
    <dxf>
      <font>
        <color theme="0"/>
      </font>
      <fill>
        <patternFill patternType="none"/>
      </fill>
    </dxf>
    <dxf>
      <font>
        <color theme="0"/>
      </font>
      <fill>
        <patternFill patternType="solid">
          <fgColor rgb="FFFF0000"/>
          <bgColor rgb="FFFF0000"/>
        </patternFill>
      </fill>
    </dxf>
    <dxf>
      <fill>
        <patternFill patternType="solid">
          <fgColor rgb="FFFFE598"/>
          <bgColor rgb="FFFFE598"/>
        </patternFill>
      </fill>
    </dxf>
    <dxf>
      <font>
        <color rgb="FFFF0000"/>
      </font>
      <fill>
        <patternFill patternType="none"/>
      </fill>
    </dxf>
    <dxf>
      <fill>
        <patternFill patternType="solid">
          <fgColor rgb="FFC5E0B3"/>
          <bgColor rgb="FFC5E0B3"/>
        </patternFill>
      </fill>
    </dxf>
    <dxf>
      <fill>
        <patternFill patternType="solid">
          <fgColor rgb="FFFFA3A3"/>
          <bgColor rgb="FFFFA3A3"/>
        </patternFill>
      </fill>
    </dxf>
    <dxf>
      <fill>
        <patternFill patternType="solid">
          <fgColor rgb="FFFFE598"/>
          <bgColor rgb="FFFFE598"/>
        </patternFill>
      </fill>
    </dxf>
    <dxf>
      <fill>
        <patternFill patternType="solid">
          <fgColor rgb="FFFFE598"/>
          <bgColor rgb="FFFFE598"/>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42</xdr:col>
      <xdr:colOff>276225</xdr:colOff>
      <xdr:row>0</xdr:row>
      <xdr:rowOff>133350</xdr:rowOff>
    </xdr:from>
    <xdr:ext cx="1895475" cy="495300"/>
    <xdr:pic>
      <xdr:nvPicPr>
        <xdr:cNvPr id="2" name="image3.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42</xdr:col>
      <xdr:colOff>285750</xdr:colOff>
      <xdr:row>4</xdr:row>
      <xdr:rowOff>142875</xdr:rowOff>
    </xdr:from>
    <xdr:ext cx="942975" cy="695325"/>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0</xdr:row>
      <xdr:rowOff>76200</xdr:rowOff>
    </xdr:from>
    <xdr:ext cx="962025" cy="504825"/>
    <xdr:pic>
      <xdr:nvPicPr>
        <xdr:cNvPr id="4" name="image1.gif">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514351</xdr:colOff>
      <xdr:row>0</xdr:row>
      <xdr:rowOff>91440</xdr:rowOff>
    </xdr:from>
    <xdr:ext cx="1093470" cy="548640"/>
    <xdr:pic>
      <xdr:nvPicPr>
        <xdr:cNvPr id="2" name="image4.png" descr="http://sumsim.se/image.axd?picture=/logotyper/SvSimidrott.png">
          <a:extLst>
            <a:ext uri="{FF2B5EF4-FFF2-40B4-BE49-F238E27FC236}">
              <a16:creationId xmlns:a16="http://schemas.microsoft.com/office/drawing/2014/main" id="{1946D08A-20E2-4125-A757-F472A6A2EC40}"/>
            </a:ext>
          </a:extLst>
        </xdr:cNvPr>
        <xdr:cNvPicPr preferRelativeResize="0"/>
      </xdr:nvPicPr>
      <xdr:blipFill>
        <a:blip xmlns:r="http://schemas.openxmlformats.org/officeDocument/2006/relationships" r:embed="rId1" cstate="print"/>
        <a:stretch>
          <a:fillRect/>
        </a:stretch>
      </xdr:blipFill>
      <xdr:spPr>
        <a:xfrm>
          <a:off x="514351" y="91440"/>
          <a:ext cx="1093470" cy="54864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514351</xdr:colOff>
      <xdr:row>0</xdr:row>
      <xdr:rowOff>91440</xdr:rowOff>
    </xdr:from>
    <xdr:ext cx="1093470" cy="548640"/>
    <xdr:pic>
      <xdr:nvPicPr>
        <xdr:cNvPr id="4" name="image4.png" descr="http://sumsim.se/image.axd?picture=/logotyper/SvSimidrott.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xfrm>
          <a:off x="514351" y="91440"/>
          <a:ext cx="1093470" cy="54864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
  <sheetViews>
    <sheetView workbookViewId="0">
      <selection activeCell="J12" sqref="J12"/>
    </sheetView>
  </sheetViews>
  <sheetFormatPr defaultColWidth="14.44140625" defaultRowHeight="15" customHeight="1" x14ac:dyDescent="0.3"/>
  <cols>
    <col min="1" max="8" width="8.77734375" customWidth="1"/>
    <col min="9" max="9" width="7.33203125" bestFit="1" customWidth="1"/>
    <col min="10" max="10" width="11.77734375" bestFit="1" customWidth="1"/>
    <col min="11" max="12" width="8.77734375" customWidth="1"/>
    <col min="13" max="13" width="15.109375" customWidth="1"/>
    <col min="14" max="21" width="8.77734375" customWidth="1"/>
  </cols>
  <sheetData>
    <row r="1" spans="1:13" ht="21" x14ac:dyDescent="0.4">
      <c r="A1" s="216" t="s">
        <v>2321</v>
      </c>
    </row>
    <row r="2" spans="1:13" ht="14.4" x14ac:dyDescent="0.3"/>
    <row r="3" spans="1:13" ht="14.4" x14ac:dyDescent="0.3">
      <c r="A3" s="215" t="s">
        <v>2329</v>
      </c>
      <c r="I3" s="219" t="s">
        <v>2336</v>
      </c>
      <c r="J3" s="219"/>
      <c r="L3" s="220" t="s">
        <v>2348</v>
      </c>
      <c r="M3" s="220"/>
    </row>
    <row r="4" spans="1:13" ht="14.4" x14ac:dyDescent="0.3">
      <c r="A4" s="217" t="s">
        <v>2322</v>
      </c>
      <c r="I4" s="218" t="s">
        <v>2293</v>
      </c>
      <c r="J4" s="218" t="s">
        <v>2342</v>
      </c>
      <c r="L4" s="218" t="s">
        <v>2293</v>
      </c>
      <c r="M4" s="218" t="s">
        <v>2345</v>
      </c>
    </row>
    <row r="5" spans="1:13" ht="14.4" x14ac:dyDescent="0.3">
      <c r="A5" s="217" t="s">
        <v>2323</v>
      </c>
      <c r="I5" s="218" t="s">
        <v>2292</v>
      </c>
      <c r="J5" s="218" t="s">
        <v>2343</v>
      </c>
      <c r="L5" s="218" t="s">
        <v>2292</v>
      </c>
      <c r="M5" s="218" t="s">
        <v>2346</v>
      </c>
    </row>
    <row r="6" spans="1:13" ht="14.4" x14ac:dyDescent="0.3">
      <c r="A6" s="217"/>
      <c r="I6" s="218" t="s">
        <v>263</v>
      </c>
      <c r="J6" s="218" t="s">
        <v>2344</v>
      </c>
      <c r="L6" s="218" t="s">
        <v>263</v>
      </c>
      <c r="M6" s="218" t="s">
        <v>2347</v>
      </c>
    </row>
    <row r="7" spans="1:13" ht="14.4" x14ac:dyDescent="0.3">
      <c r="A7" s="217" t="s">
        <v>2324</v>
      </c>
      <c r="I7" s="221" t="s">
        <v>2350</v>
      </c>
      <c r="J7" s="221"/>
      <c r="L7" s="221" t="s">
        <v>2351</v>
      </c>
      <c r="M7" s="221"/>
    </row>
    <row r="8" spans="1:13" ht="14.4" x14ac:dyDescent="0.3">
      <c r="A8" s="217" t="s">
        <v>2325</v>
      </c>
      <c r="H8" s="217"/>
      <c r="I8" s="222"/>
      <c r="J8" s="222"/>
      <c r="L8" s="222"/>
      <c r="M8" s="222"/>
    </row>
    <row r="9" spans="1:13" ht="14.4" x14ac:dyDescent="0.3">
      <c r="A9" s="217" t="s">
        <v>2327</v>
      </c>
    </row>
    <row r="10" spans="1:13" ht="14.4" x14ac:dyDescent="0.3">
      <c r="A10" s="217" t="s">
        <v>2326</v>
      </c>
    </row>
    <row r="11" spans="1:13" ht="14.4" x14ac:dyDescent="0.3">
      <c r="A11" s="217" t="s">
        <v>2328</v>
      </c>
    </row>
    <row r="12" spans="1:13" ht="14.4" x14ac:dyDescent="0.3"/>
    <row r="13" spans="1:13" ht="14.4" x14ac:dyDescent="0.3">
      <c r="A13" s="215" t="s">
        <v>2330</v>
      </c>
    </row>
    <row r="14" spans="1:13" ht="14.4" x14ac:dyDescent="0.3">
      <c r="A14" s="217" t="s">
        <v>2335</v>
      </c>
    </row>
    <row r="15" spans="1:13" ht="14.4" x14ac:dyDescent="0.3">
      <c r="A15" s="217" t="s">
        <v>2331</v>
      </c>
    </row>
    <row r="16" spans="1:13" ht="14.4" x14ac:dyDescent="0.3">
      <c r="A16" s="217" t="s">
        <v>2349</v>
      </c>
    </row>
    <row r="17" spans="1:1" ht="14.4" x14ac:dyDescent="0.3">
      <c r="A17" s="217" t="s">
        <v>2334</v>
      </c>
    </row>
    <row r="18" spans="1:1" ht="14.4" x14ac:dyDescent="0.3">
      <c r="A18" s="217" t="s">
        <v>2333</v>
      </c>
    </row>
    <row r="19" spans="1:1" ht="14.4" x14ac:dyDescent="0.3"/>
    <row r="20" spans="1:1" ht="15.75" customHeight="1" x14ac:dyDescent="0.3">
      <c r="A20" s="215" t="s">
        <v>2337</v>
      </c>
    </row>
    <row r="21" spans="1:1" ht="15.75" customHeight="1" x14ac:dyDescent="0.3">
      <c r="A21" s="217" t="s">
        <v>2338</v>
      </c>
    </row>
    <row r="22" spans="1:1" ht="15.75" customHeight="1" x14ac:dyDescent="0.3">
      <c r="A22" s="217" t="s">
        <v>2339</v>
      </c>
    </row>
    <row r="23" spans="1:1" ht="15.75" customHeight="1" x14ac:dyDescent="0.3">
      <c r="A23" s="217" t="s">
        <v>2340</v>
      </c>
    </row>
    <row r="24" spans="1:1" ht="15.75" customHeight="1" x14ac:dyDescent="0.3">
      <c r="A24" s="217" t="s">
        <v>2341</v>
      </c>
    </row>
    <row r="25" spans="1:1" ht="15.75" customHeight="1" x14ac:dyDescent="0.3"/>
    <row r="26" spans="1:1" ht="15.75" customHeight="1" x14ac:dyDescent="0.3"/>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sheetData>
  <mergeCells count="4">
    <mergeCell ref="I3:J3"/>
    <mergeCell ref="L3:M3"/>
    <mergeCell ref="I7:J8"/>
    <mergeCell ref="L7:M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H170"/>
  <sheetViews>
    <sheetView workbookViewId="0"/>
  </sheetViews>
  <sheetFormatPr defaultColWidth="14.44140625" defaultRowHeight="15" customHeight="1" x14ac:dyDescent="0.3"/>
  <cols>
    <col min="1" max="4" width="5.77734375" customWidth="1"/>
    <col min="5" max="5" width="4.77734375" customWidth="1"/>
    <col min="6" max="6" width="29" customWidth="1"/>
    <col min="7" max="9" width="7.77734375" customWidth="1"/>
    <col min="10" max="39" width="6.88671875" customWidth="1"/>
    <col min="40" max="48" width="8.88671875" customWidth="1"/>
    <col min="49" max="54" width="8.88671875" hidden="1" customWidth="1"/>
    <col min="55" max="55" width="19.88671875" hidden="1" customWidth="1"/>
    <col min="56" max="60" width="8.88671875" hidden="1" customWidth="1"/>
    <col min="61" max="61" width="20.44140625" hidden="1" customWidth="1"/>
    <col min="62" max="62" width="21.109375" hidden="1" customWidth="1"/>
    <col min="63" max="66" width="8.88671875" hidden="1" customWidth="1"/>
    <col min="67" max="67" width="15.44140625" hidden="1" customWidth="1"/>
    <col min="68" max="69" width="8.88671875" hidden="1" customWidth="1"/>
    <col min="70" max="70" width="9.44140625" hidden="1" customWidth="1"/>
    <col min="71" max="71" width="10.109375" hidden="1" customWidth="1"/>
    <col min="72" max="72" width="8.88671875" hidden="1" customWidth="1"/>
    <col min="73" max="74" width="12.21875" hidden="1" customWidth="1"/>
    <col min="75" max="75" width="11.88671875" hidden="1" customWidth="1"/>
    <col min="76" max="188" width="8.88671875" hidden="1" customWidth="1"/>
    <col min="189" max="189" width="13.88671875" hidden="1" customWidth="1"/>
    <col min="190" max="203" width="8.88671875" hidden="1" customWidth="1"/>
    <col min="204" max="204" width="10.109375" hidden="1" customWidth="1"/>
    <col min="205" max="216" width="8.88671875" hidden="1" customWidth="1"/>
  </cols>
  <sheetData>
    <row r="1" spans="1:209" ht="12.75" customHeight="1" x14ac:dyDescent="0.3">
      <c r="A1" s="2"/>
      <c r="B1" s="2"/>
      <c r="C1" s="2"/>
      <c r="D1" s="2"/>
      <c r="E1" s="2"/>
      <c r="F1" s="3"/>
      <c r="G1" s="261" t="s">
        <v>0</v>
      </c>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3"/>
      <c r="AN1" s="4"/>
      <c r="AO1" s="3"/>
      <c r="AP1" s="5"/>
      <c r="AQ1" s="6"/>
      <c r="AR1" s="6"/>
      <c r="AS1" s="6"/>
      <c r="AT1" s="6"/>
      <c r="AU1" s="6"/>
      <c r="AV1" s="5"/>
      <c r="AW1" s="7"/>
      <c r="AX1" s="7"/>
      <c r="AY1" s="7"/>
      <c r="AZ1" s="7"/>
      <c r="BA1" s="7"/>
      <c r="BB1" s="7"/>
      <c r="BC1" s="7"/>
      <c r="BD1" s="7"/>
      <c r="BE1" s="7"/>
      <c r="BF1" s="7"/>
      <c r="BG1" s="7"/>
      <c r="BH1" s="7"/>
      <c r="BI1" s="7"/>
      <c r="BJ1" s="7"/>
      <c r="BK1" s="7"/>
      <c r="BL1" s="7"/>
      <c r="BM1" s="7"/>
      <c r="BN1" s="7"/>
      <c r="BO1" s="7"/>
      <c r="BP1" s="7"/>
      <c r="BQ1" s="7"/>
      <c r="BR1" s="7"/>
      <c r="BS1" s="7"/>
      <c r="BT1" s="8"/>
      <c r="BU1" s="9"/>
      <c r="BV1" s="9"/>
      <c r="BW1" s="9"/>
      <c r="BX1" s="9"/>
      <c r="BY1" s="9"/>
      <c r="BZ1" s="9"/>
      <c r="CA1" s="9"/>
      <c r="CB1" s="9"/>
      <c r="CC1" s="9"/>
      <c r="CD1" s="9"/>
      <c r="CE1" s="9"/>
      <c r="CF1" s="9"/>
      <c r="CG1" s="9"/>
      <c r="CH1" s="9"/>
      <c r="CI1" s="9"/>
      <c r="CJ1" s="9"/>
      <c r="CK1" s="9"/>
      <c r="CL1" s="9"/>
      <c r="CM1" s="9"/>
      <c r="CN1" s="9"/>
      <c r="CO1" s="9"/>
      <c r="CP1" s="9"/>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9"/>
      <c r="GT1" s="9"/>
      <c r="GU1" s="9"/>
      <c r="GV1" s="9"/>
      <c r="GW1" s="11"/>
      <c r="GX1" s="11"/>
      <c r="GY1" s="11"/>
      <c r="GZ1" s="11"/>
      <c r="HA1" s="11"/>
    </row>
    <row r="2" spans="1:209" ht="12.75" customHeight="1" x14ac:dyDescent="0.3">
      <c r="A2" s="2"/>
      <c r="B2" s="2"/>
      <c r="C2" s="2"/>
      <c r="D2" s="2"/>
      <c r="E2" s="2"/>
      <c r="F2" s="3"/>
      <c r="G2" s="244"/>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6"/>
      <c r="AN2" s="4"/>
      <c r="AO2" s="3"/>
      <c r="AP2" s="5"/>
      <c r="AQ2" s="6"/>
      <c r="AR2" s="6"/>
      <c r="AS2" s="6"/>
      <c r="AT2" s="6"/>
      <c r="AU2" s="6"/>
      <c r="AV2" s="5"/>
      <c r="AW2" s="12"/>
      <c r="AX2" s="12"/>
      <c r="AY2" s="12"/>
      <c r="AZ2" s="12"/>
      <c r="BA2" s="12"/>
      <c r="BB2" s="12"/>
      <c r="BC2" s="12"/>
      <c r="BD2" s="12"/>
      <c r="BE2" s="12"/>
      <c r="BF2" s="12"/>
      <c r="BG2" s="12"/>
      <c r="BH2" s="12"/>
      <c r="BI2" s="12"/>
      <c r="BJ2" s="12"/>
      <c r="BK2" s="12"/>
      <c r="BL2" s="12"/>
      <c r="BM2" s="12"/>
      <c r="BN2" s="12"/>
      <c r="BO2" s="12"/>
      <c r="BP2" s="12"/>
      <c r="BQ2" s="12"/>
      <c r="BR2" s="12"/>
      <c r="BS2" s="12"/>
      <c r="BT2" s="13"/>
      <c r="BU2" s="5"/>
      <c r="BV2" s="5"/>
      <c r="BW2" s="5"/>
      <c r="BX2" s="231" t="s">
        <v>1</v>
      </c>
      <c r="BY2" s="233"/>
      <c r="BZ2" s="5"/>
      <c r="CA2" s="231" t="s">
        <v>2</v>
      </c>
      <c r="CB2" s="232"/>
      <c r="CC2" s="232"/>
      <c r="CD2" s="232"/>
      <c r="CE2" s="232"/>
      <c r="CF2" s="232"/>
      <c r="CG2" s="232"/>
      <c r="CH2" s="232"/>
      <c r="CI2" s="232"/>
      <c r="CJ2" s="232"/>
      <c r="CK2" s="232"/>
      <c r="CL2" s="232"/>
      <c r="CM2" s="232"/>
      <c r="CN2" s="233"/>
      <c r="CO2" s="5"/>
      <c r="CP2" s="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5"/>
      <c r="GT2" s="5"/>
      <c r="GU2" s="5"/>
      <c r="GV2" s="5"/>
      <c r="GW2" s="16"/>
      <c r="GX2" s="16"/>
      <c r="GY2" s="16"/>
      <c r="GZ2" s="16"/>
      <c r="HA2" s="16"/>
    </row>
    <row r="3" spans="1:209" ht="12.75" customHeight="1" x14ac:dyDescent="0.3">
      <c r="A3" s="2"/>
      <c r="B3" s="2"/>
      <c r="C3" s="2"/>
      <c r="D3" s="2"/>
      <c r="E3" s="2"/>
      <c r="F3" s="3"/>
      <c r="G3" s="244"/>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6"/>
      <c r="AN3" s="4"/>
      <c r="AO3" s="3"/>
      <c r="AP3" s="5"/>
      <c r="AQ3" s="6"/>
      <c r="AR3" s="6"/>
      <c r="AS3" s="6"/>
      <c r="AT3" s="6"/>
      <c r="AU3" s="6"/>
      <c r="AV3" s="5"/>
      <c r="AW3" s="12"/>
      <c r="AX3" s="12"/>
      <c r="AY3" s="12"/>
      <c r="AZ3" s="12"/>
      <c r="BA3" s="12"/>
      <c r="BB3" s="12"/>
      <c r="BC3" s="12"/>
      <c r="BD3" s="12"/>
      <c r="BE3" s="12"/>
      <c r="BF3" s="12"/>
      <c r="BG3" s="12"/>
      <c r="BH3" s="12"/>
      <c r="BI3" s="12"/>
      <c r="BJ3" s="12"/>
      <c r="BK3" s="12"/>
      <c r="BL3" s="12"/>
      <c r="BM3" s="12"/>
      <c r="BN3" s="12"/>
      <c r="BO3" s="12"/>
      <c r="BP3" s="12"/>
      <c r="BQ3" s="12"/>
      <c r="BR3" s="12"/>
      <c r="BS3" s="12"/>
      <c r="BT3" s="13"/>
      <c r="BU3" s="5" t="s">
        <v>3</v>
      </c>
      <c r="BV3" s="5" t="str">
        <f>IF(COUNTIF(F8,"*Acro*"),"Yes","No")</f>
        <v>No</v>
      </c>
      <c r="BW3" s="5"/>
      <c r="BX3" s="17">
        <v>3</v>
      </c>
      <c r="BY3" s="17">
        <v>0</v>
      </c>
      <c r="BZ3" s="5"/>
      <c r="CA3" s="17"/>
      <c r="CB3" s="17" t="s">
        <v>4</v>
      </c>
      <c r="CC3" s="17"/>
      <c r="CD3" s="17"/>
      <c r="CE3" s="17"/>
      <c r="CF3" s="17"/>
      <c r="CG3" s="17"/>
      <c r="CH3" s="17"/>
      <c r="CI3" s="17"/>
      <c r="CJ3" s="17"/>
      <c r="CK3" s="17"/>
      <c r="CL3" s="17"/>
      <c r="CM3" s="17">
        <v>12</v>
      </c>
      <c r="CN3" s="17" t="s">
        <v>5</v>
      </c>
      <c r="CO3" s="5"/>
      <c r="CP3" s="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5"/>
      <c r="GT3" s="5"/>
      <c r="GU3" s="5"/>
      <c r="GV3" s="5"/>
      <c r="GW3" s="16"/>
      <c r="GX3" s="16"/>
      <c r="GY3" s="16"/>
      <c r="GZ3" s="16"/>
      <c r="HA3" s="16"/>
    </row>
    <row r="4" spans="1:209" ht="13.5" customHeight="1" x14ac:dyDescent="0.3">
      <c r="A4" s="2"/>
      <c r="B4" s="2"/>
      <c r="C4" s="2"/>
      <c r="D4" s="2"/>
      <c r="E4" s="2"/>
      <c r="F4" s="3"/>
      <c r="G4" s="247"/>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9"/>
      <c r="AN4" s="4"/>
      <c r="AO4" s="18" t="s">
        <v>6</v>
      </c>
      <c r="AP4" s="5"/>
      <c r="AQ4" s="6"/>
      <c r="AR4" s="6"/>
      <c r="AS4" s="6"/>
      <c r="AT4" s="6"/>
      <c r="AU4" s="6"/>
      <c r="AV4" s="5"/>
      <c r="AW4" s="12"/>
      <c r="AX4" s="12"/>
      <c r="AY4" s="12"/>
      <c r="AZ4" s="12"/>
      <c r="BA4" s="12"/>
      <c r="BB4" s="12"/>
      <c r="BC4" s="12"/>
      <c r="BD4" s="12"/>
      <c r="BE4" s="12"/>
      <c r="BF4" s="12"/>
      <c r="BG4" s="12"/>
      <c r="BH4" s="12"/>
      <c r="BI4" s="12"/>
      <c r="BJ4" s="12"/>
      <c r="BK4" s="12"/>
      <c r="BL4" s="12"/>
      <c r="BM4" s="12"/>
      <c r="BN4" s="12"/>
      <c r="BO4" s="12"/>
      <c r="BP4" s="12"/>
      <c r="BQ4" s="12"/>
      <c r="BR4" s="12"/>
      <c r="BS4" s="12"/>
      <c r="BT4" s="13"/>
      <c r="BU4" s="5" t="s">
        <v>7</v>
      </c>
      <c r="BV4" s="5" t="str">
        <f>IF(COUNTIF(F8,"*Solo*"),"Yes","No")</f>
        <v>No</v>
      </c>
      <c r="BW4" s="5"/>
      <c r="BX4" s="17" t="s">
        <v>8</v>
      </c>
      <c r="BY4" s="17">
        <v>0.5</v>
      </c>
      <c r="BZ4" s="5"/>
      <c r="CA4" s="17" t="s">
        <v>9</v>
      </c>
      <c r="CB4" s="19">
        <v>2.7</v>
      </c>
      <c r="CC4" s="19"/>
      <c r="CD4" s="19"/>
      <c r="CE4" s="19"/>
      <c r="CF4" s="19"/>
      <c r="CG4" s="19"/>
      <c r="CH4" s="19"/>
      <c r="CI4" s="19"/>
      <c r="CJ4" s="19"/>
      <c r="CK4" s="19"/>
      <c r="CL4" s="19"/>
      <c r="CM4" s="19">
        <v>2.5</v>
      </c>
      <c r="CN4" s="19">
        <f t="shared" ref="CN4:CN7" si="0">IF(LEFT($F$7,2)="Yo",CB4,CM4)</f>
        <v>2.5</v>
      </c>
      <c r="CO4" s="5"/>
      <c r="CP4" s="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5"/>
      <c r="GT4" s="5"/>
      <c r="GU4" s="5"/>
      <c r="GV4" s="5"/>
      <c r="GW4" s="16"/>
      <c r="GX4" s="16"/>
      <c r="GY4" s="16"/>
      <c r="GZ4" s="16"/>
      <c r="HA4" s="16"/>
    </row>
    <row r="5" spans="1:209" ht="15.75" customHeight="1" x14ac:dyDescent="0.3">
      <c r="A5" s="262"/>
      <c r="B5" s="263"/>
      <c r="C5" s="263"/>
      <c r="D5" s="263"/>
      <c r="E5" s="20"/>
      <c r="F5" s="264"/>
      <c r="G5" s="263"/>
      <c r="H5" s="263"/>
      <c r="I5" s="263"/>
      <c r="J5" s="21"/>
      <c r="K5" s="22" t="str">
        <f>IF(A5="Federation:","Country code:","")</f>
        <v/>
      </c>
      <c r="L5" s="23" t="str">
        <f t="array" ref="L5">IFERROR(INDEX(Data!CG1:CG209,MATCH(F5,Data!CF1:CF209,0)),"")</f>
        <v/>
      </c>
      <c r="M5" s="24" t="s">
        <v>10</v>
      </c>
      <c r="N5" s="25"/>
      <c r="O5" s="26" t="s">
        <v>11</v>
      </c>
      <c r="P5" s="25" t="str">
        <f>IF(N5&lt;&gt;"","","X")</f>
        <v>X</v>
      </c>
      <c r="Q5" s="265"/>
      <c r="R5" s="263"/>
      <c r="S5" s="263"/>
      <c r="T5" s="263"/>
      <c r="U5" s="263"/>
      <c r="V5" s="263"/>
      <c r="W5" s="263"/>
      <c r="X5" s="263"/>
      <c r="Y5" s="263"/>
      <c r="Z5" s="263"/>
      <c r="AA5" s="263"/>
      <c r="AB5" s="263"/>
      <c r="AC5" s="263"/>
      <c r="AD5" s="263"/>
      <c r="AE5" s="263"/>
      <c r="AF5" s="263"/>
      <c r="AG5" s="263"/>
      <c r="AH5" s="263"/>
      <c r="AI5" s="263"/>
      <c r="AJ5" s="263"/>
      <c r="AK5" s="263"/>
      <c r="AL5" s="263"/>
      <c r="AM5" s="263"/>
      <c r="AN5" s="263"/>
      <c r="AO5" s="266"/>
      <c r="AP5" s="5"/>
      <c r="AQ5" s="6"/>
      <c r="AR5" s="6"/>
      <c r="AS5" s="6"/>
      <c r="AT5" s="6"/>
      <c r="AU5" s="6"/>
      <c r="AV5" s="5"/>
      <c r="AW5" s="12"/>
      <c r="AX5" s="12"/>
      <c r="AY5" s="12"/>
      <c r="AZ5" s="12"/>
      <c r="BA5" s="12"/>
      <c r="BB5" s="12"/>
      <c r="BC5" s="12"/>
      <c r="BD5" s="12"/>
      <c r="BE5" s="12"/>
      <c r="BF5" s="12"/>
      <c r="BG5" s="12"/>
      <c r="BH5" s="12"/>
      <c r="BI5" s="12"/>
      <c r="BJ5" s="12"/>
      <c r="BK5" s="12"/>
      <c r="BL5" s="12"/>
      <c r="BM5" s="12"/>
      <c r="BN5" s="12"/>
      <c r="BO5" s="12"/>
      <c r="BP5" s="12"/>
      <c r="BQ5" s="12"/>
      <c r="BR5" s="12"/>
      <c r="BS5" s="12"/>
      <c r="BT5" s="13"/>
      <c r="BU5" s="5" t="s">
        <v>12</v>
      </c>
      <c r="BV5" s="5" t="str">
        <f>IF(OR($F$8="Open Team Technical",$F$8="Open Team Free",$F$8="Open Free Combination"),"OK","")</f>
        <v/>
      </c>
      <c r="BW5" s="5"/>
      <c r="BX5" s="17" t="s">
        <v>13</v>
      </c>
      <c r="BY5" s="17">
        <v>0.1</v>
      </c>
      <c r="BZ5" s="5"/>
      <c r="CA5" s="17" t="s">
        <v>14</v>
      </c>
      <c r="CB5" s="19">
        <v>2.8</v>
      </c>
      <c r="CC5" s="19"/>
      <c r="CD5" s="19"/>
      <c r="CE5" s="19"/>
      <c r="CF5" s="19"/>
      <c r="CG5" s="19"/>
      <c r="CH5" s="19"/>
      <c r="CI5" s="19"/>
      <c r="CJ5" s="19"/>
      <c r="CK5" s="19"/>
      <c r="CL5" s="19"/>
      <c r="CM5" s="19">
        <v>2.6</v>
      </c>
      <c r="CN5" s="19">
        <f t="shared" si="0"/>
        <v>2.6</v>
      </c>
      <c r="CO5" s="5"/>
      <c r="CP5" s="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5"/>
      <c r="GT5" s="5"/>
      <c r="GU5" s="5"/>
      <c r="GV5" s="5"/>
      <c r="GW5" s="16"/>
      <c r="GX5" s="16"/>
      <c r="GY5" s="16"/>
      <c r="GZ5" s="16"/>
      <c r="HA5" s="16"/>
    </row>
    <row r="6" spans="1:209" ht="15" customHeight="1" x14ac:dyDescent="0.3">
      <c r="A6" s="250" t="s">
        <v>15</v>
      </c>
      <c r="B6" s="232"/>
      <c r="C6" s="232"/>
      <c r="D6" s="232"/>
      <c r="E6" s="27"/>
      <c r="F6" s="253" t="s">
        <v>16</v>
      </c>
      <c r="G6" s="232"/>
      <c r="H6" s="232"/>
      <c r="I6" s="232"/>
      <c r="J6" s="232"/>
      <c r="K6" s="232"/>
      <c r="L6" s="254"/>
      <c r="M6" s="28" t="s">
        <v>17</v>
      </c>
      <c r="N6" s="255" t="s">
        <v>18</v>
      </c>
      <c r="O6" s="232"/>
      <c r="P6" s="232"/>
      <c r="Q6" s="232"/>
      <c r="R6" s="232"/>
      <c r="S6" s="232"/>
      <c r="T6" s="232"/>
      <c r="U6" s="232"/>
      <c r="V6" s="232"/>
      <c r="W6" s="232"/>
      <c r="X6" s="232"/>
      <c r="Y6" s="232"/>
      <c r="Z6" s="232"/>
      <c r="AA6" s="232"/>
      <c r="AB6" s="232"/>
      <c r="AC6" s="233"/>
      <c r="AD6" s="29"/>
      <c r="AE6" s="30"/>
      <c r="AF6" s="30"/>
      <c r="AG6" s="30"/>
      <c r="AH6" s="30"/>
      <c r="AI6" s="30"/>
      <c r="AJ6" s="30"/>
      <c r="AK6" s="30"/>
      <c r="AL6" s="30"/>
      <c r="AM6" s="30"/>
      <c r="AN6" s="31"/>
      <c r="AO6" s="32"/>
      <c r="AP6" s="5"/>
      <c r="AQ6" s="6"/>
      <c r="AR6" s="6"/>
      <c r="AS6" s="6"/>
      <c r="AT6" s="6"/>
      <c r="AU6" s="6"/>
      <c r="AV6" s="5"/>
      <c r="AW6" s="12"/>
      <c r="AX6" s="12"/>
      <c r="AY6" s="12"/>
      <c r="AZ6" s="12"/>
      <c r="BA6" s="12"/>
      <c r="BB6" s="12"/>
      <c r="BC6" s="12"/>
      <c r="BD6" s="12"/>
      <c r="BE6" s="12"/>
      <c r="BF6" s="12"/>
      <c r="BG6" s="12"/>
      <c r="BH6" s="12"/>
      <c r="BI6" s="12"/>
      <c r="BJ6" s="12"/>
      <c r="BK6" s="12"/>
      <c r="BL6" s="12"/>
      <c r="BM6" s="12"/>
      <c r="BN6" s="12"/>
      <c r="BO6" s="12"/>
      <c r="BP6" s="12"/>
      <c r="BQ6" s="12"/>
      <c r="BR6" s="12"/>
      <c r="BS6" s="12"/>
      <c r="BT6" s="33"/>
      <c r="BU6" s="5" t="s">
        <v>19</v>
      </c>
      <c r="BV6" s="5" t="str">
        <f>IF(OR(LEFT(F8,10)="Women solo",LEFT(F8,4)="Male"),"",IF(LEFT(F8,10)="Women Duet","D",IF(LEFT(F8,5)="Mixed","D","T")))</f>
        <v>T</v>
      </c>
      <c r="BW6" s="5"/>
      <c r="BX6" s="17" t="s">
        <v>9</v>
      </c>
      <c r="BY6" s="17">
        <v>0.5</v>
      </c>
      <c r="BZ6" s="5"/>
      <c r="CA6" s="17" t="s">
        <v>20</v>
      </c>
      <c r="CB6" s="19">
        <v>2.8</v>
      </c>
      <c r="CC6" s="19"/>
      <c r="CD6" s="19"/>
      <c r="CE6" s="19"/>
      <c r="CF6" s="19"/>
      <c r="CG6" s="19"/>
      <c r="CH6" s="19"/>
      <c r="CI6" s="19"/>
      <c r="CJ6" s="19"/>
      <c r="CK6" s="19"/>
      <c r="CL6" s="19"/>
      <c r="CM6" s="19">
        <v>2.6</v>
      </c>
      <c r="CN6" s="19">
        <f t="shared" si="0"/>
        <v>2.6</v>
      </c>
      <c r="CO6" s="5"/>
      <c r="CP6" s="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5"/>
      <c r="GT6" s="5"/>
      <c r="GU6" s="5"/>
      <c r="GV6" s="5"/>
      <c r="GW6" s="16"/>
      <c r="GX6" s="16"/>
      <c r="GY6" s="16"/>
      <c r="GZ6" s="16"/>
      <c r="HA6" s="16"/>
    </row>
    <row r="7" spans="1:209" ht="12.75" customHeight="1" x14ac:dyDescent="0.3">
      <c r="A7" s="250" t="s">
        <v>21</v>
      </c>
      <c r="B7" s="232"/>
      <c r="C7" s="232"/>
      <c r="D7" s="232"/>
      <c r="E7" s="34"/>
      <c r="F7" s="35" t="s">
        <v>22</v>
      </c>
      <c r="G7" s="36" t="str">
        <f>IF(F7&lt;&gt;"","","&lt;--  Choose age group first")</f>
        <v/>
      </c>
      <c r="H7" s="37"/>
      <c r="I7" s="37"/>
      <c r="J7" s="37"/>
      <c r="K7" s="38" t="str">
        <f t="shared" ref="K7:K8" si="1">IF(F7&lt;&gt;"","Acrobatic safety limits on (Y/N)?:","")</f>
        <v>Acrobatic safety limits on (Y/N)?:</v>
      </c>
      <c r="L7" s="39" t="s">
        <v>23</v>
      </c>
      <c r="M7" s="40" t="str">
        <f>IF(OR(LEFT(F7,2)="12",LEFT(F7,2)="Yo"),"X","")</f>
        <v>X</v>
      </c>
      <c r="N7" s="40" t="str">
        <f>IF(OR(LEFT(F7,2)="12",LEFT(F7,2)="Yo"),IF(L7="Y","X",""),IF(AND(M8&lt;&gt;"",L8="Y"),"X",""))</f>
        <v>X</v>
      </c>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2"/>
      <c r="AP7" s="5"/>
      <c r="AQ7" s="6"/>
      <c r="AR7" s="6"/>
      <c r="AS7" s="6"/>
      <c r="AT7" s="6"/>
      <c r="AU7" s="6"/>
      <c r="AV7" s="5"/>
      <c r="AW7" s="12"/>
      <c r="AX7" s="12"/>
      <c r="AY7" s="12"/>
      <c r="AZ7" s="12"/>
      <c r="BA7" s="12"/>
      <c r="BB7" s="12"/>
      <c r="BC7" s="12"/>
      <c r="BD7" s="12"/>
      <c r="BE7" s="12"/>
      <c r="BF7" s="12"/>
      <c r="BG7" s="12"/>
      <c r="BH7" s="12"/>
      <c r="BI7" s="12"/>
      <c r="BJ7" s="12"/>
      <c r="BK7" s="12"/>
      <c r="BL7" s="12"/>
      <c r="BM7" s="12"/>
      <c r="BN7" s="12"/>
      <c r="BO7" s="12"/>
      <c r="BP7" s="12"/>
      <c r="BQ7" s="12"/>
      <c r="BR7" s="12"/>
      <c r="BS7" s="12"/>
      <c r="BT7" s="33"/>
      <c r="BU7" s="5" t="s">
        <v>24</v>
      </c>
      <c r="BV7" s="15">
        <f>IF(OR(LEFT(F7,1)="1",LEFT(F7,1)="Y"),1,IF(OR(LEFT(F7,1)="J",LEFT(F7,1)="S",LEFT(F7,1)="M"),2,""))</f>
        <v>1</v>
      </c>
      <c r="BW7" s="5"/>
      <c r="BX7" s="17" t="s">
        <v>14</v>
      </c>
      <c r="BY7" s="17">
        <v>0.5</v>
      </c>
      <c r="BZ7" s="5"/>
      <c r="CA7" s="17" t="s">
        <v>25</v>
      </c>
      <c r="CB7" s="19">
        <v>3</v>
      </c>
      <c r="CC7" s="19"/>
      <c r="CD7" s="19"/>
      <c r="CE7" s="19"/>
      <c r="CF7" s="19"/>
      <c r="CG7" s="19"/>
      <c r="CH7" s="19"/>
      <c r="CI7" s="19"/>
      <c r="CJ7" s="19"/>
      <c r="CK7" s="19"/>
      <c r="CL7" s="19"/>
      <c r="CM7" s="19">
        <v>2.8</v>
      </c>
      <c r="CN7" s="19">
        <f t="shared" si="0"/>
        <v>2.8</v>
      </c>
      <c r="CO7" s="5"/>
      <c r="CP7" s="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5"/>
      <c r="GT7" s="5"/>
      <c r="GU7" s="5"/>
      <c r="GV7" s="5"/>
      <c r="GW7" s="16"/>
      <c r="GX7" s="16"/>
      <c r="GY7" s="16"/>
      <c r="GZ7" s="16"/>
      <c r="HA7" s="16"/>
    </row>
    <row r="8" spans="1:209" ht="12.75" customHeight="1" x14ac:dyDescent="0.3">
      <c r="A8" s="250" t="s">
        <v>26</v>
      </c>
      <c r="B8" s="232"/>
      <c r="C8" s="232"/>
      <c r="D8" s="232"/>
      <c r="E8" s="27"/>
      <c r="F8" s="43" t="s">
        <v>27</v>
      </c>
      <c r="G8" s="44" t="str">
        <f>IF(AND(F8="",F7&lt;&gt;""),"&lt;--  Choose event","")</f>
        <v/>
      </c>
      <c r="H8" s="41"/>
      <c r="I8" s="41"/>
      <c r="J8" s="41"/>
      <c r="K8" s="45" t="str">
        <f t="shared" si="1"/>
        <v>Acrobatic safety limits on (Y/N)?:</v>
      </c>
      <c r="L8" s="46" t="s">
        <v>28</v>
      </c>
      <c r="M8" s="40" t="str">
        <f>IF(F8&lt;&gt;"",IF(OR(LEFT(F7,2)="12",LEFT(F7,2)="Yo"),"",IF(F7="","",IF(I12&gt;0,"X",""))),"")</f>
        <v/>
      </c>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2"/>
      <c r="AP8" s="5"/>
      <c r="AQ8" s="6"/>
      <c r="AR8" s="6"/>
      <c r="AS8" s="6"/>
      <c r="AT8" s="6"/>
      <c r="AU8" s="6"/>
      <c r="AV8" s="5"/>
      <c r="AW8" s="12"/>
      <c r="AX8" s="12"/>
      <c r="AY8" s="12"/>
      <c r="AZ8" s="12"/>
      <c r="BA8" s="12"/>
      <c r="BB8" s="12"/>
      <c r="BC8" s="12"/>
      <c r="BD8" s="12"/>
      <c r="BE8" s="12"/>
      <c r="BF8" s="12"/>
      <c r="BG8" s="12"/>
      <c r="BH8" s="12"/>
      <c r="BI8" s="12"/>
      <c r="BJ8" s="12"/>
      <c r="BK8" s="12"/>
      <c r="BL8" s="12"/>
      <c r="BM8" s="12"/>
      <c r="BN8" s="12"/>
      <c r="BO8" s="12"/>
      <c r="BP8" s="12"/>
      <c r="BQ8" s="12"/>
      <c r="BR8" s="12"/>
      <c r="BS8" s="12"/>
      <c r="BT8" s="33"/>
      <c r="BU8" s="5" t="s">
        <v>29</v>
      </c>
      <c r="BV8" s="15" t="str">
        <f>IF(RIGHT(F8,9)="Technical","T",IF(LEFT(F8,1)="F","F",IF(LEFT(F8,1)="A","A","")))</f>
        <v/>
      </c>
      <c r="BW8" s="5"/>
      <c r="BX8" s="17" t="s">
        <v>20</v>
      </c>
      <c r="BY8" s="17">
        <v>0.5</v>
      </c>
      <c r="BZ8" s="5"/>
      <c r="CA8" s="5"/>
      <c r="CB8" s="5"/>
      <c r="CC8" s="5"/>
      <c r="CD8" s="5"/>
      <c r="CE8" s="5"/>
      <c r="CF8" s="5"/>
      <c r="CG8" s="5"/>
      <c r="CH8" s="5"/>
      <c r="CI8" s="5"/>
      <c r="CJ8" s="5"/>
      <c r="CK8" s="5"/>
      <c r="CL8" s="5"/>
      <c r="CM8" s="5"/>
      <c r="CN8" s="5"/>
      <c r="CO8" s="5"/>
      <c r="CP8" s="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5"/>
      <c r="GT8" s="5"/>
      <c r="GU8" s="5"/>
      <c r="GV8" s="5"/>
      <c r="GW8" s="16"/>
      <c r="GX8" s="16"/>
      <c r="GY8" s="16"/>
      <c r="GZ8" s="16"/>
      <c r="HA8" s="16"/>
    </row>
    <row r="9" spans="1:209" ht="15.75" customHeight="1" x14ac:dyDescent="0.3">
      <c r="A9" s="256" t="s">
        <v>30</v>
      </c>
      <c r="B9" s="257"/>
      <c r="C9" s="257"/>
      <c r="D9" s="257"/>
      <c r="E9" s="47"/>
      <c r="F9" s="258" t="s">
        <v>31</v>
      </c>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9"/>
      <c r="AP9" s="5"/>
      <c r="AQ9" s="6"/>
      <c r="AR9" s="6"/>
      <c r="AS9" s="6"/>
      <c r="AT9" s="6"/>
      <c r="AU9" s="6"/>
      <c r="AV9" s="5"/>
      <c r="AW9" s="12"/>
      <c r="AX9" s="12"/>
      <c r="AY9" s="12"/>
      <c r="AZ9" s="12"/>
      <c r="BA9" s="12"/>
      <c r="BB9" s="12"/>
      <c r="BC9" s="12"/>
      <c r="BD9" s="12"/>
      <c r="BE9" s="12"/>
      <c r="BF9" s="12"/>
      <c r="BG9" s="12"/>
      <c r="BH9" s="12"/>
      <c r="BI9" s="12"/>
      <c r="BJ9" s="12"/>
      <c r="BK9" s="12"/>
      <c r="BL9" s="12"/>
      <c r="BM9" s="12"/>
      <c r="BN9" s="12"/>
      <c r="BO9" s="12"/>
      <c r="BP9" s="12"/>
      <c r="BQ9" s="12"/>
      <c r="BR9" s="12"/>
      <c r="BS9" s="12" t="s">
        <v>32</v>
      </c>
      <c r="BT9" s="33"/>
      <c r="BU9" s="260" t="str">
        <f>IFERROR(CONCATENATE(F8," / ",F7),"")</f>
        <v>Team / 12U</v>
      </c>
      <c r="BV9" s="245"/>
      <c r="BW9" s="245"/>
      <c r="BX9" s="17" t="s">
        <v>25</v>
      </c>
      <c r="BY9" s="17">
        <v>0.5</v>
      </c>
      <c r="BZ9" s="5"/>
      <c r="CA9" s="5"/>
      <c r="CB9" s="5"/>
      <c r="CC9" s="5"/>
      <c r="CD9" s="5"/>
      <c r="CE9" s="5"/>
      <c r="CF9" s="5"/>
      <c r="CG9" s="5"/>
      <c r="CH9" s="5"/>
      <c r="CI9" s="5"/>
      <c r="CJ9" s="5"/>
      <c r="CK9" s="5"/>
      <c r="CL9" s="5"/>
      <c r="CM9" s="5"/>
      <c r="CN9" s="5"/>
      <c r="CO9" s="5"/>
      <c r="CP9" s="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5"/>
      <c r="GT9" s="5"/>
      <c r="GU9" s="5"/>
      <c r="GV9" s="5"/>
      <c r="GW9" s="16"/>
      <c r="GX9" s="16"/>
      <c r="GY9" s="16"/>
      <c r="GZ9" s="16"/>
      <c r="HA9" s="16"/>
    </row>
    <row r="10" spans="1:209" ht="16.5" customHeight="1" x14ac:dyDescent="0.3">
      <c r="A10" s="48"/>
      <c r="B10" s="48"/>
      <c r="C10" s="48"/>
      <c r="D10" s="49"/>
      <c r="E10" s="49"/>
      <c r="F10" s="16"/>
      <c r="G10" s="50" t="s">
        <v>33</v>
      </c>
      <c r="H10" s="50" t="s">
        <v>34</v>
      </c>
      <c r="I10" s="51" t="str">
        <f>IF(OR(F8="Women Duet Free",F8="Mixed Duet Free",F8="Women Duet Technical",F8="Mixed Duet Technical"),"Acrobatic - Pair","Acrobatic")</f>
        <v>Acrobatic</v>
      </c>
      <c r="J10" s="51" t="s">
        <v>35</v>
      </c>
      <c r="K10" s="51" t="s">
        <v>36</v>
      </c>
      <c r="L10" s="51" t="s">
        <v>37</v>
      </c>
      <c r="M10" s="51" t="s">
        <v>38</v>
      </c>
      <c r="N10" s="51" t="s">
        <v>39</v>
      </c>
      <c r="O10" s="51" t="s">
        <v>40</v>
      </c>
      <c r="P10" s="51" t="s">
        <v>41</v>
      </c>
      <c r="Q10" s="51" t="s">
        <v>42</v>
      </c>
      <c r="R10" s="51"/>
      <c r="S10" s="16"/>
      <c r="T10" s="16"/>
      <c r="U10" s="16"/>
      <c r="V10" s="16"/>
      <c r="W10" s="16"/>
      <c r="X10" s="16"/>
      <c r="Y10" s="51"/>
      <c r="Z10" s="51"/>
      <c r="AA10" s="51"/>
      <c r="AB10" s="51"/>
      <c r="AC10" s="51"/>
      <c r="AD10" s="51"/>
      <c r="AE10" s="49"/>
      <c r="AF10" s="52"/>
      <c r="AG10" s="5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53"/>
      <c r="BU10" s="5"/>
      <c r="BV10" s="5"/>
      <c r="BW10" s="5"/>
      <c r="BX10" s="5"/>
      <c r="BY10" s="5"/>
      <c r="BZ10" s="5"/>
      <c r="CA10" s="5"/>
      <c r="CB10" s="5"/>
      <c r="CC10" s="5"/>
      <c r="CD10" s="5"/>
      <c r="CE10" s="5"/>
      <c r="CF10" s="5"/>
      <c r="CG10" s="5"/>
      <c r="CH10" s="5"/>
      <c r="CI10" s="5"/>
      <c r="CJ10" s="5"/>
      <c r="CK10" s="5"/>
      <c r="CL10" s="5"/>
      <c r="CM10" s="5"/>
      <c r="CN10" s="5"/>
      <c r="CO10" s="5"/>
      <c r="CP10" s="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5"/>
      <c r="GT10" s="5"/>
      <c r="GU10" s="5"/>
      <c r="GV10" s="5"/>
      <c r="GW10" s="16"/>
      <c r="GX10" s="16"/>
      <c r="GY10" s="16"/>
      <c r="GZ10" s="16"/>
      <c r="HA10" s="16"/>
    </row>
    <row r="11" spans="1:209" ht="15" customHeight="1" x14ac:dyDescent="0.3">
      <c r="A11" s="54"/>
      <c r="B11" s="54"/>
      <c r="C11" s="55"/>
      <c r="D11" s="56"/>
      <c r="E11" s="49"/>
      <c r="F11" s="16"/>
      <c r="G11" s="57" t="s">
        <v>43</v>
      </c>
      <c r="H11" s="57" t="s">
        <v>44</v>
      </c>
      <c r="I11" s="58" t="str">
        <f>IF(OR(F8="Women Duet Free",F8="Mixed Duet Free",F8="Women Duet Technical",F8="Mixed Duet Technical"),"PairAcro","TeamAcro")</f>
        <v>TeamAcro</v>
      </c>
      <c r="J11" s="59" t="s">
        <v>45</v>
      </c>
      <c r="K11" s="59" t="s">
        <v>46</v>
      </c>
      <c r="L11" s="59" t="s">
        <v>47</v>
      </c>
      <c r="M11" s="59" t="s">
        <v>48</v>
      </c>
      <c r="N11" s="58" t="s">
        <v>49</v>
      </c>
      <c r="O11" s="58" t="s">
        <v>50</v>
      </c>
      <c r="P11" s="58" t="s">
        <v>51</v>
      </c>
      <c r="Q11" s="59" t="s">
        <v>52</v>
      </c>
      <c r="R11" s="59"/>
      <c r="S11" s="60" t="str">
        <f>IF(BV8="T","   Technical Required Element - Check",IF(BV3="Yes","",IF(BV4="Yes","         Hybrid families minimum - check","                Hybrid families minimum- check")))</f>
        <v xml:space="preserve">                Hybrid families minimum- check</v>
      </c>
      <c r="T11" s="61"/>
      <c r="U11" s="61"/>
      <c r="V11" s="61"/>
      <c r="W11" s="61"/>
      <c r="X11" s="62"/>
      <c r="Y11" s="251" t="s">
        <v>53</v>
      </c>
      <c r="Z11" s="232"/>
      <c r="AA11" s="232"/>
      <c r="AB11" s="233"/>
      <c r="AC11" s="59"/>
      <c r="AD11" s="59"/>
      <c r="AE11" s="49"/>
      <c r="AF11" s="52"/>
      <c r="AG11" s="5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53"/>
      <c r="BU11" s="5" t="s">
        <v>54</v>
      </c>
      <c r="BV11" s="63" t="str">
        <f>IF(OR(BU9="Team Free / 12 and under",BU9="Team Free / Youth 13 - 15"),"Y","N")</f>
        <v>N</v>
      </c>
      <c r="BW11" s="5"/>
      <c r="BX11" s="5"/>
      <c r="BY11" s="5"/>
      <c r="BZ11" s="5"/>
      <c r="CA11" s="5"/>
      <c r="CB11" s="5"/>
      <c r="CC11" s="5"/>
      <c r="CD11" s="5"/>
      <c r="CE11" s="5"/>
      <c r="CF11" s="5"/>
      <c r="CG11" s="5"/>
      <c r="CH11" s="5"/>
      <c r="CI11" s="5"/>
      <c r="CJ11" s="5"/>
      <c r="CK11" s="5"/>
      <c r="CL11" s="5"/>
      <c r="CM11" s="5"/>
      <c r="CN11" s="5"/>
      <c r="CO11" s="5"/>
      <c r="CP11" s="5"/>
      <c r="CQ11" s="15"/>
      <c r="CR11" s="15"/>
      <c r="CS11" s="15"/>
      <c r="CT11" s="15"/>
      <c r="CU11" s="15"/>
      <c r="CV11" s="15"/>
      <c r="CW11" s="15"/>
      <c r="CX11" s="15"/>
      <c r="CY11" s="15"/>
      <c r="CZ11" s="15"/>
      <c r="DA11" s="15"/>
      <c r="DB11" s="15"/>
      <c r="DC11" s="15"/>
      <c r="DD11" s="64" t="s">
        <v>55</v>
      </c>
      <c r="DE11" s="15"/>
      <c r="DF11" s="15"/>
      <c r="DG11" s="231" t="s">
        <v>55</v>
      </c>
      <c r="DH11" s="232"/>
      <c r="DI11" s="232"/>
      <c r="DJ11" s="232"/>
      <c r="DK11" s="232"/>
      <c r="DL11" s="232"/>
      <c r="DM11" s="232"/>
      <c r="DN11" s="232"/>
      <c r="DO11" s="233"/>
      <c r="DP11" s="15"/>
      <c r="DQ11" s="252" t="s">
        <v>56</v>
      </c>
      <c r="DR11" s="232"/>
      <c r="DS11" s="232"/>
      <c r="DT11" s="233"/>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5"/>
      <c r="GT11" s="5"/>
      <c r="GU11" s="5"/>
      <c r="GV11" s="5"/>
      <c r="GW11" s="16"/>
      <c r="GX11" s="16"/>
      <c r="GY11" s="16"/>
      <c r="GZ11" s="16"/>
      <c r="HA11" s="16"/>
    </row>
    <row r="12" spans="1:209" ht="15" customHeight="1" x14ac:dyDescent="0.3">
      <c r="A12" s="56">
        <v>1.0000578703703704</v>
      </c>
      <c r="B12" s="56" t="str">
        <f>IFERROR(TIME(0,C14,D14-5),"")</f>
        <v/>
      </c>
      <c r="C12" s="55" t="str">
        <f t="array" ref="C12">IFERROR(INDEX(Data!F3:F38,MATCH(BU9,Data!G3:G38,0)),"")</f>
        <v/>
      </c>
      <c r="D12" s="56" t="str">
        <f>IFERROR(TIME(0,C14,D14+5),"")</f>
        <v/>
      </c>
      <c r="E12" s="49"/>
      <c r="F12" s="16" t="s">
        <v>57</v>
      </c>
      <c r="G12" s="57"/>
      <c r="H12" s="57" t="str">
        <f t="array" ref="H12">IFERROR(INDEX(Data!H$3:H$38,MATCH($BU$9,Data!$G$3:$G$38,0)),"")</f>
        <v/>
      </c>
      <c r="I12" s="57" t="str">
        <f t="array" ref="I12">IFERROR(INDEX(Data!J$3:J$38,MATCH($BU$9,Data!$G$3:$G$38,0)),"")</f>
        <v/>
      </c>
      <c r="J12" s="57" t="str">
        <f t="array" ref="J12">IFERROR(INDEX(Data!I$3:I$38,MATCH($BU$9,Data!$G$3:$G$38,0)),"")</f>
        <v/>
      </c>
      <c r="K12" s="57" t="str">
        <f t="array" ref="K12">IFERROR(INDEX(Data!L$3:L$38,MATCH($BU$9,Data!$G$3:$G$38,0)),"")</f>
        <v/>
      </c>
      <c r="L12" s="57" t="str">
        <f t="array" ref="L12">IFERROR(INDEX(Data!N$3:N$38,MATCH($BU$9,Data!$G$3:$G$38,0)),"")</f>
        <v/>
      </c>
      <c r="M12" s="57" t="str">
        <f t="array" ref="M12">IFERROR(INDEX(Data!O$3:O$38,MATCH($BU$9,Data!$G$3:$G$38,0)),"")</f>
        <v/>
      </c>
      <c r="N12" s="57" t="str">
        <f t="array" ref="N12">IFERROR(INDEX(Data!P$3:P$38,MATCH($BU$9,Data!$G$3:$G$38,0)),"")</f>
        <v/>
      </c>
      <c r="O12" s="57" t="str">
        <f t="array" ref="O12">IFERROR(INDEX(Data!R$3:R$38,MATCH($BU$9,Data!$G$3:$G$38,0)),"")</f>
        <v/>
      </c>
      <c r="P12" s="57" t="str">
        <f t="array" ref="P12">IFERROR(INDEX(Data!S$3:S$38,MATCH($BU$9,Data!$G$3:$G$38,0)),"")</f>
        <v/>
      </c>
      <c r="Q12" s="57" t="str">
        <f t="array" ref="Q12">IFERROR(INDEX(Data!Q$3:Q$38,MATCH($BU$9,Data!$G$3:$G$38,0)),"")</f>
        <v/>
      </c>
      <c r="R12" s="57"/>
      <c r="S12" s="23" t="str">
        <f>IF(BV8="T","TRE-1","T")</f>
        <v>T</v>
      </c>
      <c r="T12" s="23" t="str">
        <f>IF(BV8="T","TRE-2","S")</f>
        <v>S</v>
      </c>
      <c r="U12" s="23" t="str">
        <f>IF(BV8="T","TRE-3","R")</f>
        <v>R</v>
      </c>
      <c r="V12" s="23" t="str">
        <f>IF(BV8="T",IF(LEFT(F8,5)="Mixed","","TRE-4"),"F")</f>
        <v>F</v>
      </c>
      <c r="W12" s="23" t="str">
        <f>IF(BV8="T",IF(LEFT(F8,5)="Mixed","","TRE-5"),"A")</f>
        <v>A</v>
      </c>
      <c r="X12" s="65" t="str">
        <f>IF(AND(BV4="No",BV8&lt;&gt;"T"),"C","")</f>
        <v>C</v>
      </c>
      <c r="Y12" s="57" t="s">
        <v>9</v>
      </c>
      <c r="Z12" s="57" t="s">
        <v>14</v>
      </c>
      <c r="AA12" s="57" t="s">
        <v>20</v>
      </c>
      <c r="AB12" s="57" t="s">
        <v>25</v>
      </c>
      <c r="AC12" s="57"/>
      <c r="AD12" s="57"/>
      <c r="AE12" s="49"/>
      <c r="AF12" s="52"/>
      <c r="AG12" s="5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53"/>
      <c r="BU12" s="63">
        <v>1</v>
      </c>
      <c r="BV12" s="66" t="e">
        <f>IFERROR(SECOND(BU14-BV14),SECOND(BV14-BU14))</f>
        <v>#N/A</v>
      </c>
      <c r="BW12" s="5"/>
      <c r="BX12" s="5"/>
      <c r="BY12" s="5"/>
      <c r="BZ12" s="5"/>
      <c r="CA12" s="5"/>
      <c r="CB12" s="5"/>
      <c r="CC12" s="5"/>
      <c r="CD12" s="5"/>
      <c r="CE12" s="5"/>
      <c r="CF12" s="5"/>
      <c r="CG12" s="5"/>
      <c r="CH12" s="5"/>
      <c r="CI12" s="5"/>
      <c r="CJ12" s="5"/>
      <c r="CK12" s="5"/>
      <c r="CL12" s="5"/>
      <c r="CM12" s="5"/>
      <c r="CN12" s="5"/>
      <c r="CO12" s="5"/>
      <c r="CP12" s="5"/>
      <c r="CQ12" s="15"/>
      <c r="CR12" s="15"/>
      <c r="CS12" s="15"/>
      <c r="CT12" s="15"/>
      <c r="CU12" s="15"/>
      <c r="CV12" s="15"/>
      <c r="CW12" s="15"/>
      <c r="CX12" s="15"/>
      <c r="CY12" s="15"/>
      <c r="CZ12" s="15"/>
      <c r="DA12" s="15"/>
      <c r="DB12" s="15"/>
      <c r="DC12" s="15"/>
      <c r="DD12" s="17" t="str">
        <f t="array" ref="DD12">IFERROR(INDEX($DN$19:$DN$68,MATCH(INDEX($DN$19:$DN$68,(SMALL(IF($DN$19:$DN$68&lt;&gt;"",ROW($DN$19:$DN$68)-ROW($DN$19)+1),1))),$DN$19:$DN$68,0),1),"")</f>
        <v/>
      </c>
      <c r="DE12" s="17" t="str">
        <f t="shared" ref="DE12:DE14" si="2">IF(COUNTIF($DD$12:$DD$14,DD12)&gt;1,"X","")</f>
        <v>X</v>
      </c>
      <c r="DF12" s="67"/>
      <c r="DG12" s="68" t="str">
        <f>DG13</f>
        <v/>
      </c>
      <c r="DH12" s="14" t="str">
        <f>IF(DH13&lt;&gt;"",CONCATENATE("2",DH13),"")</f>
        <v/>
      </c>
      <c r="DI12" s="14" t="str">
        <f t="shared" ref="DI12:DN12" ca="1" si="3">DI13</f>
        <v/>
      </c>
      <c r="DJ12" s="14" t="str">
        <f t="shared" ca="1" si="3"/>
        <v/>
      </c>
      <c r="DK12" s="14" t="str">
        <f t="shared" ca="1" si="3"/>
        <v/>
      </c>
      <c r="DL12" s="14" t="str">
        <f t="shared" ca="1" si="3"/>
        <v/>
      </c>
      <c r="DM12" s="14" t="str">
        <f t="shared" ca="1" si="3"/>
        <v/>
      </c>
      <c r="DN12" s="14" t="str">
        <f t="shared" si="3"/>
        <v/>
      </c>
      <c r="DO12" s="17" t="str">
        <f>IF(DO13&lt;&gt;"",CONCATENATE("2",DO13),"")</f>
        <v/>
      </c>
      <c r="DP12" s="15"/>
      <c r="DQ12" s="17" t="s">
        <v>9</v>
      </c>
      <c r="DR12" s="17" t="s">
        <v>14</v>
      </c>
      <c r="DS12" s="17" t="s">
        <v>20</v>
      </c>
      <c r="DT12" s="17" t="s">
        <v>25</v>
      </c>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5"/>
      <c r="GT12" s="5"/>
      <c r="GU12" s="5"/>
      <c r="GV12" s="5"/>
      <c r="GW12" s="16"/>
      <c r="GX12" s="16"/>
      <c r="GY12" s="16"/>
      <c r="GZ12" s="16"/>
      <c r="HA12" s="16"/>
    </row>
    <row r="13" spans="1:209" ht="15" customHeight="1" x14ac:dyDescent="0.3">
      <c r="A13" s="54"/>
      <c r="B13" s="54" t="str">
        <f>IF(CP17&gt;D12,"Y","")</f>
        <v/>
      </c>
      <c r="C13" s="50" t="str">
        <f>IF(OR(CP17&lt;B12,CP17&gt;D12),"Y","")</f>
        <v>Y</v>
      </c>
      <c r="D13" s="69"/>
      <c r="E13" s="49"/>
      <c r="F13" s="16" t="s">
        <v>58</v>
      </c>
      <c r="G13" s="57">
        <f t="shared" ref="G13:Q13" si="4">COUNTIF($F$19:$F$68,G10)</f>
        <v>0</v>
      </c>
      <c r="H13" s="57">
        <f t="shared" si="4"/>
        <v>0</v>
      </c>
      <c r="I13" s="57">
        <f t="shared" si="4"/>
        <v>0</v>
      </c>
      <c r="J13" s="57">
        <f t="shared" si="4"/>
        <v>0</v>
      </c>
      <c r="K13" s="57">
        <f t="shared" si="4"/>
        <v>0</v>
      </c>
      <c r="L13" s="57">
        <f t="shared" si="4"/>
        <v>0</v>
      </c>
      <c r="M13" s="57">
        <f t="shared" si="4"/>
        <v>0</v>
      </c>
      <c r="N13" s="57">
        <f t="shared" si="4"/>
        <v>0</v>
      </c>
      <c r="O13" s="57">
        <f t="shared" si="4"/>
        <v>0</v>
      </c>
      <c r="P13" s="57">
        <f t="shared" si="4"/>
        <v>0</v>
      </c>
      <c r="Q13" s="57">
        <f t="shared" si="4"/>
        <v>0</v>
      </c>
      <c r="R13" s="57"/>
      <c r="S13" s="70" t="str">
        <f t="shared" ref="S13:U13" si="5">IF($BV$8="T",IF(GT14="X","OK","Not OK"),IF($BV$3="No",IF(GT17&gt;0,"OK","Not OK"),""))</f>
        <v>Not OK</v>
      </c>
      <c r="T13" s="70" t="str">
        <f t="shared" si="5"/>
        <v>Not OK</v>
      </c>
      <c r="U13" s="70" t="str">
        <f t="shared" si="5"/>
        <v>Not OK</v>
      </c>
      <c r="V13" s="70" t="str">
        <f>IF($BV$8="T",IF(LEFT(F8,5)="Mixed","",IF(GW14="X","OK","Not OK")),IF($BV$3="No",IF(GW17&gt;0,"OK","Not OK"),""))</f>
        <v>Not OK</v>
      </c>
      <c r="W13" s="70" t="str">
        <f>IF($BV$8="T",IF(LEFT(F8,5)="Mixed","",IF(GX14="X","OK","Not OK")),IF($BV$3="No",IF(GX17&gt;0,"OK","Not OK"),""))</f>
        <v>Not OK</v>
      </c>
      <c r="X13" s="23" t="str">
        <f>IF(AND($BV$3="No",X12&lt;&gt;""),IF(GY17&gt;0,"OK","Not OK"),"")</f>
        <v>Not OK</v>
      </c>
      <c r="Y13" s="23" t="str">
        <f t="shared" ref="Y13:AB13" si="6">IF($BV$3="Yes",IF(AND(DQ13&gt;0,DQ13&lt;3),"OK","Not OK"),"")</f>
        <v/>
      </c>
      <c r="Z13" s="23" t="str">
        <f t="shared" si="6"/>
        <v/>
      </c>
      <c r="AA13" s="23" t="str">
        <f t="shared" si="6"/>
        <v/>
      </c>
      <c r="AB13" s="23" t="str">
        <f t="shared" si="6"/>
        <v/>
      </c>
      <c r="AC13" s="16"/>
      <c r="AD13" s="16"/>
      <c r="AE13" s="16"/>
      <c r="AF13" s="52"/>
      <c r="AG13" s="52"/>
      <c r="AH13" s="12"/>
      <c r="AI13" s="12"/>
      <c r="AJ13" s="12"/>
      <c r="AK13" s="12"/>
      <c r="AL13" s="12"/>
      <c r="AM13" s="12"/>
      <c r="AN13" s="71" t="s">
        <v>59</v>
      </c>
      <c r="AO13" s="72">
        <f>SUM(AO18:AO68)</f>
        <v>0</v>
      </c>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73"/>
      <c r="BU13" s="63"/>
      <c r="BV13" s="63" t="e">
        <f>BU14-BV14</f>
        <v>#N/A</v>
      </c>
      <c r="BW13" s="5"/>
      <c r="BX13" s="5"/>
      <c r="BY13" s="5"/>
      <c r="BZ13" s="5"/>
      <c r="CA13" s="5"/>
      <c r="CB13" s="5"/>
      <c r="CC13" s="5"/>
      <c r="CD13" s="5"/>
      <c r="CE13" s="5"/>
      <c r="CF13" s="5"/>
      <c r="CG13" s="5"/>
      <c r="CH13" s="5"/>
      <c r="CI13" s="5"/>
      <c r="CJ13" s="5"/>
      <c r="CK13" s="5"/>
      <c r="CL13" s="5"/>
      <c r="CM13" s="5"/>
      <c r="CN13" s="5"/>
      <c r="CO13" s="5"/>
      <c r="CP13" s="5"/>
      <c r="CQ13" s="15"/>
      <c r="CR13" s="15"/>
      <c r="CS13" s="15"/>
      <c r="CT13" s="15"/>
      <c r="CU13" s="15"/>
      <c r="CV13" s="15"/>
      <c r="CW13" s="15"/>
      <c r="CX13" s="15"/>
      <c r="CY13" s="15"/>
      <c r="CZ13" s="15"/>
      <c r="DA13" s="15"/>
      <c r="DB13" s="15"/>
      <c r="DC13" s="15"/>
      <c r="DD13" s="17" t="str">
        <f t="array" ref="DD13">IFERROR(INDEX($DN$19:$DN$68,MATCH(INDEX($DN$19:$DN$68,(SMALL(IF($DN$19:$DN$68&lt;&gt;"",ROW($DN$19:$DN$68)-ROW($DN$19)+1),2))),$DN$19:$DN$68,0),1),"")</f>
        <v/>
      </c>
      <c r="DE13" s="17" t="str">
        <f t="shared" si="2"/>
        <v>X</v>
      </c>
      <c r="DF13" s="67"/>
      <c r="DG13" s="68" t="str">
        <f t="array" ref="DG13">IFERROR(INDEX(TeamAcro_A_Pos1,MATCH(TRUE,INDEX((TeamAcro_A_Pos1&lt;&gt;""),),0)),"")</f>
        <v/>
      </c>
      <c r="DH13" s="74" t="str">
        <f t="array" ref="DH13">IFERROR(INDEX(TeamAcro_A_Pos2,MATCH(TRUE,INDEX((TeamAcro_A_Pos2&lt;&gt;""),),0)),"")</f>
        <v/>
      </c>
      <c r="DI13" s="17" t="str">
        <f t="array" aca="1" ref="DI13" ca="1">IFERROR(INDEX(TeamAcro_B_Cons,MATCH(TRUE,INDEX((TeamAcro_B_Cons&lt;&gt;""),),0)),"")</f>
        <v/>
      </c>
      <c r="DJ13" s="17" t="str">
        <f t="array" aca="1" ref="DJ13" ca="1">IFERROR(INDEX(TeamAcro_B_Conx,MATCH(TRUE,INDEX((TeamAcro_B_Conx&lt;&gt;""),),0)),"")</f>
        <v/>
      </c>
      <c r="DK13" s="17" t="str">
        <f t="array" aca="1" ref="DK13" ca="1">IFERROR(INDEX(TeamAcro_C_Cons,MATCH(TRUE,INDEX((TeamAcro_C_Cons&lt;&gt;""),),0)),"")</f>
        <v/>
      </c>
      <c r="DL13" s="17" t="str">
        <f t="array" aca="1" ref="DL13" ca="1">IFERROR(INDEX(TeamAcro_P_Cons,MATCH(TRUE,INDEX((TeamAcro_P_Cons&lt;&gt;""),),0)),"")</f>
        <v/>
      </c>
      <c r="DM13" s="17" t="str">
        <f t="array" aca="1" ref="DM13" ca="1">IFERROR(INDEX(TeamAcro_P_Conx,MATCH(TRUE,INDEX((TeamAcro_P_Conx&lt;&gt;""),),0)),"")</f>
        <v/>
      </c>
      <c r="DN13" s="17" t="str">
        <f t="array" ref="DN13">IFERROR(INDEX(TeamAcro_P_Pos1,MATCH(TRUE,INDEX((TeamAcro_P_Pos1&lt;&gt;""),),0)),"")</f>
        <v/>
      </c>
      <c r="DO13" s="17" t="str">
        <f t="array" ref="DO13">IFERROR(INDEX(TeamAcro_P_Pos2,MATCH(TRUE,INDEX((TeamAcro_P_Pos2&lt;&gt;""),),0)),"")</f>
        <v/>
      </c>
      <c r="DP13" s="15"/>
      <c r="DQ13" s="17">
        <f>COUNTIF($EC$19:$EC$68,"A")</f>
        <v>0</v>
      </c>
      <c r="DR13" s="17">
        <f>COUNTIF($EC$19:$EC$68,"B")</f>
        <v>0</v>
      </c>
      <c r="DS13" s="17">
        <f>COUNTIF($EC$19:$EC$68,"C")</f>
        <v>0</v>
      </c>
      <c r="DT13" s="17">
        <f>COUNTIF($EC$19:$EC$68,"P")</f>
        <v>0</v>
      </c>
      <c r="DU13" s="15"/>
      <c r="DV13" s="15" t="s">
        <v>60</v>
      </c>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5"/>
      <c r="GT13" s="17" t="s">
        <v>61</v>
      </c>
      <c r="GU13" s="17" t="s">
        <v>62</v>
      </c>
      <c r="GV13" s="17" t="s">
        <v>63</v>
      </c>
      <c r="GW13" s="17" t="s">
        <v>64</v>
      </c>
      <c r="GX13" s="17" t="s">
        <v>65</v>
      </c>
      <c r="GY13" s="16"/>
      <c r="GZ13" s="16"/>
      <c r="HA13" s="16"/>
    </row>
    <row r="14" spans="1:209" ht="18.75" customHeight="1" x14ac:dyDescent="0.45">
      <c r="A14" s="48"/>
      <c r="B14" s="75" t="s">
        <v>66</v>
      </c>
      <c r="C14" s="76" t="str">
        <f t="array" ref="C14">IFERROR(MINUTE(INDEX(Data!$F$3:$F$38,MATCH(BU9,Data!$G$3:$G$38,0))),"")</f>
        <v/>
      </c>
      <c r="D14" s="76" t="str">
        <f t="array" ref="D14">IFERROR(SECOND(INDEX(Data!$F$3:$F$38,MATCH(BU9,Data!$G$3:$G$38,0))),"")</f>
        <v/>
      </c>
      <c r="E14" s="76"/>
      <c r="F14" s="16"/>
      <c r="G14" s="77"/>
      <c r="H14" s="77"/>
      <c r="I14" s="77"/>
      <c r="J14" s="77"/>
      <c r="K14" s="77"/>
      <c r="L14" s="77"/>
      <c r="M14" s="77"/>
      <c r="N14" s="77"/>
      <c r="O14" s="77"/>
      <c r="P14" s="78" t="str">
        <f t="array" aca="1" ref="P14" ca="1">CELL("Address")</f>
        <v>'[MALL - team_free_Fortsättning_Åre SS_1.xlsx]Print'!$K$12</v>
      </c>
      <c r="Q14" s="78" t="str">
        <f t="array" aca="1" ref="Q14" ca="1">IF(AND(E20&lt;&gt;"PA",LEFT(INDIRECT(CONCATENATE("F",RIGHT(P14,2))),4)="Acro"),"X","")</f>
        <v/>
      </c>
      <c r="R14" s="77"/>
      <c r="S14" s="49"/>
      <c r="T14" s="49"/>
      <c r="U14" s="49"/>
      <c r="V14" s="49"/>
      <c r="W14" s="79"/>
      <c r="X14" s="80"/>
      <c r="Y14" s="49"/>
      <c r="Z14" s="49"/>
      <c r="AA14" s="69"/>
      <c r="AB14" s="69"/>
      <c r="AC14" s="49"/>
      <c r="AD14" s="49"/>
      <c r="AE14" s="49"/>
      <c r="AF14" s="52"/>
      <c r="AG14" s="5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53"/>
      <c r="BU14" s="63" t="e">
        <f t="array" ref="BU14">IF(BV14=INDEX(Data!$F$3:$F$38,MATCH(BU9,Data!$G$3:$G$38,0)),"X",INDEX(Data!$F$3:$F$38,MATCH(BU9,Data!$G$3:$G$38,0))-BU12)</f>
        <v>#N/A</v>
      </c>
      <c r="BV14" s="63">
        <f t="array" ref="BV14">INDEX($CP$19:$CP$55,MATCH("x",$E$19:$E$55,0))</f>
        <v>7.7546296296296293E-4</v>
      </c>
      <c r="BW14" s="81">
        <v>2.488425925925926E-3</v>
      </c>
      <c r="BX14" s="5"/>
      <c r="BY14" s="5"/>
      <c r="BZ14" s="5"/>
      <c r="CA14" s="5"/>
      <c r="CB14" s="5"/>
      <c r="CC14" s="5"/>
      <c r="CD14" s="5"/>
      <c r="CE14" s="5"/>
      <c r="CF14" s="5"/>
      <c r="CG14" s="5"/>
      <c r="CH14" s="5"/>
      <c r="CI14" s="5"/>
      <c r="CJ14" s="5"/>
      <c r="CK14" s="5"/>
      <c r="CL14" s="5"/>
      <c r="CM14" s="5"/>
      <c r="CN14" s="5"/>
      <c r="CO14" s="5"/>
      <c r="CP14" s="5"/>
      <c r="CQ14" s="15"/>
      <c r="CR14" s="15"/>
      <c r="CS14" s="15"/>
      <c r="CT14" s="15"/>
      <c r="CU14" s="15"/>
      <c r="CV14" s="15"/>
      <c r="CW14" s="15"/>
      <c r="CX14" s="15"/>
      <c r="CY14" s="15"/>
      <c r="CZ14" s="15"/>
      <c r="DA14" s="15"/>
      <c r="DB14" s="15"/>
      <c r="DC14" s="15"/>
      <c r="DD14" s="17" t="str">
        <f t="array" ref="DD14">IFERROR(INDEX($DN$19:$DN$68,MATCH(INDEX($DN$19:$DN$68,(SMALL(IF($DN$19:$DN$68&lt;&gt;"",ROW($DN$19:$DN$68)-ROW($DN$19)+1),3))),$DN$19:$DN$68,0),1),"")</f>
        <v/>
      </c>
      <c r="DE14" s="17" t="str">
        <f t="shared" si="2"/>
        <v>X</v>
      </c>
      <c r="DF14" s="15"/>
      <c r="DG14" s="15"/>
      <c r="DH14" s="15"/>
      <c r="DI14" s="15"/>
      <c r="DJ14" s="15"/>
      <c r="DK14" s="15"/>
      <c r="DL14" s="15"/>
      <c r="DM14" s="15"/>
      <c r="DN14" s="15"/>
      <c r="DO14" s="15"/>
      <c r="DP14" s="15"/>
      <c r="DQ14" s="15"/>
      <c r="DR14" s="15"/>
      <c r="DS14" s="15"/>
      <c r="DT14" s="15"/>
      <c r="DU14" s="15"/>
      <c r="DV14" s="17" t="str">
        <f>IF(COUNTIF(EF19:EF68,"X"),"Yes","")</f>
        <v/>
      </c>
      <c r="DW14" s="15"/>
      <c r="DX14" s="15"/>
      <c r="DY14" s="15"/>
      <c r="DZ14" s="15"/>
      <c r="EA14" s="15"/>
      <c r="EB14" s="15"/>
      <c r="EC14" s="15"/>
      <c r="ED14" s="15"/>
      <c r="EE14" s="15"/>
      <c r="EF14" s="15"/>
      <c r="EG14" s="15"/>
      <c r="EH14" s="15"/>
      <c r="EI14" s="15"/>
      <c r="EJ14" s="15"/>
      <c r="EK14" s="15"/>
      <c r="EL14" s="15"/>
      <c r="EM14" s="15"/>
      <c r="EN14" s="15"/>
      <c r="EO14" s="15"/>
      <c r="EP14" s="15"/>
      <c r="EQ14" s="15"/>
      <c r="ER14" s="15"/>
      <c r="ES14" s="15" t="s">
        <v>60</v>
      </c>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5"/>
      <c r="GT14" s="17" t="str">
        <f>IF(COUNTIF(TRE_check,RIGHT(GT13,1)),"X","")</f>
        <v/>
      </c>
      <c r="GU14" s="17" t="str">
        <f>IF(COUNTIF(TRE_check,RIGHT(GU13,1)),"X","")</f>
        <v/>
      </c>
      <c r="GV14" s="17" t="str">
        <f>IF(COUNTIF(TRE_check,RIGHT(GV13,1)),"X","")</f>
        <v/>
      </c>
      <c r="GW14" s="17" t="str">
        <f>IF(COUNTIF(TRE_check,RIGHT(GW13,1)),"X","")</f>
        <v/>
      </c>
      <c r="GX14" s="17" t="str">
        <f>IF(COUNTIF(TRE_check,RIGHT(GX13,1)),"X","")</f>
        <v/>
      </c>
      <c r="GY14" s="16"/>
      <c r="GZ14" s="16"/>
      <c r="HA14" s="16"/>
    </row>
    <row r="15" spans="1:209" ht="12.75" customHeight="1" x14ac:dyDescent="0.3">
      <c r="A15" s="82" t="s">
        <v>67</v>
      </c>
      <c r="B15" s="83"/>
      <c r="C15" s="83"/>
      <c r="D15" s="84"/>
      <c r="E15" s="84"/>
      <c r="F15" s="84"/>
      <c r="G15" s="84"/>
      <c r="H15" s="84"/>
      <c r="I15" s="84"/>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4"/>
      <c r="AO15" s="86"/>
      <c r="AP15" s="52"/>
      <c r="AQ15" s="5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87"/>
      <c r="CO15" s="5" t="str">
        <f t="array" ref="CO15">IFERROR(INDEX(Data!T3:T38,MATCH(BU9,Data!G3:G38,0)),"")</f>
        <v/>
      </c>
      <c r="CP15" s="5" t="str">
        <f t="array" ref="CP15">IFERROR(INDEX(Data!U3:U38,MATCH(BU9,Data!G3:G38,0)),"")</f>
        <v/>
      </c>
      <c r="CQ15" s="81">
        <v>2.372685185185075E-3</v>
      </c>
      <c r="CR15" s="5"/>
      <c r="CS15" s="5"/>
      <c r="CT15" s="5"/>
      <c r="CU15" s="5"/>
      <c r="CV15" s="5"/>
      <c r="CW15" s="5"/>
      <c r="CX15" s="5"/>
      <c r="CY15" s="5"/>
      <c r="CZ15" s="5"/>
      <c r="DA15" s="15"/>
      <c r="DB15" s="15"/>
      <c r="DC15" s="15"/>
      <c r="DD15" s="15"/>
      <c r="DE15" s="15"/>
      <c r="DF15" s="15"/>
      <c r="DG15" s="15"/>
      <c r="DH15" s="15"/>
      <c r="DI15" s="15"/>
      <c r="DJ15" s="15"/>
      <c r="DK15" s="15"/>
      <c r="DL15" s="15"/>
      <c r="DM15" s="15"/>
      <c r="DN15" s="17" t="str">
        <f>IF(OR(DD12=DD13,DD12=DD14,DD13=DD14),"Yes","No")</f>
        <v>Yes</v>
      </c>
      <c r="DO15" s="17" t="str">
        <f t="array" ref="DO15">INDEX($DD$12:$DD$14,MATCH("X",$DE$12:$DE$14,0))</f>
        <v/>
      </c>
      <c r="DP15" s="15"/>
      <c r="DQ15" s="33"/>
      <c r="DR15" s="15"/>
      <c r="DS15" s="15"/>
      <c r="DT15" s="15"/>
      <c r="DU15" s="15"/>
      <c r="DV15" s="15"/>
      <c r="DW15" s="15"/>
      <c r="DX15" s="15"/>
      <c r="DY15" s="15"/>
      <c r="DZ15" s="15"/>
      <c r="EA15" s="15"/>
      <c r="EB15" s="15"/>
      <c r="EC15" s="15"/>
      <c r="ED15" s="15"/>
      <c r="EE15" s="15"/>
      <c r="EF15" s="17" t="str">
        <f ca="1">IFERROR(OFFSET(EF20,MATCH("X",EF20:EF68,0),0),"")</f>
        <v/>
      </c>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7" t="str">
        <f ca="1">IF(OR(COUNTIF(FN19:FN68,"&gt;A"),COUNTIF(FM19:FM68,"&gt;A")),"Yes","")</f>
        <v/>
      </c>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33" t="s">
        <v>68</v>
      </c>
      <c r="GU15" s="15"/>
      <c r="GV15" s="17" t="str">
        <f>IF(COUNTIF(GT17:GY17,0),"No","Yes")</f>
        <v>No</v>
      </c>
      <c r="GW15" s="15"/>
      <c r="GX15" s="15"/>
      <c r="GY15" s="15"/>
      <c r="GZ15" s="15"/>
      <c r="HA15" s="15"/>
    </row>
    <row r="16" spans="1:209" ht="15" customHeight="1" x14ac:dyDescent="0.3">
      <c r="A16" s="88"/>
      <c r="B16" s="57"/>
      <c r="C16" s="89"/>
      <c r="D16" s="89"/>
      <c r="E16" s="89"/>
      <c r="F16" s="89"/>
      <c r="G16" s="90"/>
      <c r="H16" s="225" t="s">
        <v>69</v>
      </c>
      <c r="I16" s="226"/>
      <c r="J16" s="91"/>
      <c r="K16" s="92" t="s">
        <v>70</v>
      </c>
      <c r="L16" s="92"/>
      <c r="M16" s="92"/>
      <c r="N16" s="92"/>
      <c r="O16" s="92"/>
      <c r="P16" s="92"/>
      <c r="Q16" s="93"/>
      <c r="R16" s="92" t="s">
        <v>71</v>
      </c>
      <c r="S16" s="92"/>
      <c r="T16" s="92"/>
      <c r="U16" s="92"/>
      <c r="V16" s="92"/>
      <c r="W16" s="94"/>
      <c r="X16" s="92" t="s">
        <v>72</v>
      </c>
      <c r="Y16" s="92"/>
      <c r="Z16" s="92"/>
      <c r="AA16" s="92"/>
      <c r="AB16" s="92"/>
      <c r="AC16" s="92"/>
      <c r="AD16" s="92"/>
      <c r="AE16" s="92"/>
      <c r="AF16" s="92"/>
      <c r="AG16" s="92"/>
      <c r="AH16" s="92"/>
      <c r="AI16" s="92"/>
      <c r="AJ16" s="92"/>
      <c r="AK16" s="92"/>
      <c r="AL16" s="92"/>
      <c r="AM16" s="95"/>
      <c r="AN16" s="229" t="str">
        <f>IF($BV$5="OK","HYBRID BONUS","")</f>
        <v/>
      </c>
      <c r="AO16" s="96" t="s">
        <v>73</v>
      </c>
      <c r="AP16" s="52"/>
      <c r="AQ16" s="52"/>
      <c r="AR16" s="12"/>
      <c r="AS16" s="12"/>
      <c r="AT16" s="12"/>
      <c r="AU16" s="12"/>
      <c r="AV16" s="12"/>
      <c r="AW16" s="12"/>
      <c r="AX16" s="12"/>
      <c r="AY16" s="12"/>
      <c r="AZ16" s="12"/>
      <c r="BA16" s="12"/>
      <c r="BB16" s="12"/>
      <c r="BC16" s="12"/>
      <c r="BD16" s="12"/>
      <c r="BE16" s="12"/>
      <c r="BF16" s="12"/>
      <c r="BG16" s="12"/>
      <c r="BH16" s="12"/>
      <c r="BI16" s="12" t="s">
        <v>74</v>
      </c>
      <c r="BJ16" s="12" t="s">
        <v>75</v>
      </c>
      <c r="BK16" s="12" t="s">
        <v>76</v>
      </c>
      <c r="BL16" s="12" t="s">
        <v>77</v>
      </c>
      <c r="BM16" s="12" t="s">
        <v>78</v>
      </c>
      <c r="BN16" s="12" t="s">
        <v>79</v>
      </c>
      <c r="BO16" s="12" t="s">
        <v>80</v>
      </c>
      <c r="BP16" s="12" t="s">
        <v>81</v>
      </c>
      <c r="BQ16" s="12" t="s">
        <v>81</v>
      </c>
      <c r="BR16" s="12"/>
      <c r="BS16" s="12"/>
      <c r="BT16" s="12"/>
      <c r="BU16" s="12"/>
      <c r="BV16" s="12"/>
      <c r="BW16" s="12"/>
      <c r="BX16" s="12"/>
      <c r="BY16" s="12"/>
      <c r="BZ16" s="12"/>
      <c r="CA16" s="12"/>
      <c r="CB16" s="12"/>
      <c r="CC16" s="12"/>
      <c r="CD16" s="12"/>
      <c r="CE16" s="12"/>
      <c r="CF16" s="12"/>
      <c r="CG16" s="12"/>
      <c r="CH16" s="12"/>
      <c r="CI16" s="12"/>
      <c r="CJ16" s="12"/>
      <c r="CK16" s="12"/>
      <c r="CL16" s="12"/>
      <c r="CM16" s="12"/>
      <c r="CN16" s="97"/>
      <c r="CO16" s="5"/>
      <c r="CP16" s="5"/>
      <c r="CQ16" s="5"/>
      <c r="CR16" s="5"/>
      <c r="CS16" s="5"/>
      <c r="CT16" s="5"/>
      <c r="CU16" s="5"/>
      <c r="CV16" s="5"/>
      <c r="CW16" s="5"/>
      <c r="CX16" s="5"/>
      <c r="CY16" s="5"/>
      <c r="CZ16" s="5"/>
      <c r="DA16" s="15"/>
      <c r="DB16" s="15"/>
      <c r="DC16" s="15"/>
      <c r="DD16" s="15"/>
      <c r="DE16" s="15"/>
      <c r="DF16" s="15"/>
      <c r="DG16" s="15"/>
      <c r="DH16" s="15"/>
      <c r="DI16" s="15"/>
      <c r="DJ16" s="15"/>
      <c r="DK16" s="15"/>
      <c r="DL16" s="15"/>
      <c r="DM16" s="15"/>
      <c r="DN16" s="15"/>
      <c r="DO16" s="15"/>
      <c r="DP16" s="15"/>
      <c r="DQ16" s="231" t="s">
        <v>82</v>
      </c>
      <c r="DR16" s="232"/>
      <c r="DS16" s="232"/>
      <c r="DT16" s="232"/>
      <c r="DU16" s="232"/>
      <c r="DV16" s="232"/>
      <c r="DW16" s="232"/>
      <c r="DX16" s="232"/>
      <c r="DY16" s="233"/>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231" t="s">
        <v>83</v>
      </c>
      <c r="GU16" s="232"/>
      <c r="GV16" s="232"/>
      <c r="GW16" s="232"/>
      <c r="GX16" s="232"/>
      <c r="GY16" s="233"/>
      <c r="GZ16" s="15"/>
      <c r="HA16" s="17" t="s">
        <v>84</v>
      </c>
    </row>
    <row r="17" spans="1:214" ht="25.5" customHeight="1" x14ac:dyDescent="0.3">
      <c r="A17" s="234" t="s">
        <v>85</v>
      </c>
      <c r="B17" s="235"/>
      <c r="C17" s="236" t="s">
        <v>86</v>
      </c>
      <c r="D17" s="237"/>
      <c r="E17" s="98" t="s">
        <v>87</v>
      </c>
      <c r="F17" s="99" t="s">
        <v>88</v>
      </c>
      <c r="G17" s="100" t="s">
        <v>89</v>
      </c>
      <c r="H17" s="227"/>
      <c r="I17" s="228"/>
      <c r="J17" s="101" t="s">
        <v>90</v>
      </c>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3"/>
      <c r="AN17" s="230"/>
      <c r="AO17" s="104" t="s">
        <v>91</v>
      </c>
      <c r="AP17" s="52"/>
      <c r="AQ17" s="52"/>
      <c r="AR17" s="12"/>
      <c r="AS17" s="12"/>
      <c r="AT17" s="12"/>
      <c r="AU17" s="12"/>
      <c r="AV17" s="12"/>
      <c r="AW17" s="12"/>
      <c r="AX17" s="12"/>
      <c r="AY17" s="12"/>
      <c r="AZ17" s="12"/>
      <c r="BA17" s="12"/>
      <c r="BB17" s="12"/>
      <c r="BC17" s="12"/>
      <c r="BD17" s="12"/>
      <c r="BE17" s="12"/>
      <c r="BF17" s="12"/>
      <c r="BG17" s="105" t="s">
        <v>92</v>
      </c>
      <c r="BH17" s="12"/>
      <c r="BI17" s="238" t="s">
        <v>93</v>
      </c>
      <c r="BJ17" s="239"/>
      <c r="BK17" s="239"/>
      <c r="BL17" s="239"/>
      <c r="BM17" s="239"/>
      <c r="BN17" s="239"/>
      <c r="BO17" s="239"/>
      <c r="BP17" s="239"/>
      <c r="BQ17" s="239"/>
      <c r="BR17" s="239"/>
      <c r="BS17" s="239"/>
      <c r="BT17" s="239"/>
      <c r="BU17" s="239"/>
      <c r="BV17" s="239"/>
      <c r="BW17" s="239"/>
      <c r="BX17" s="239"/>
      <c r="BY17" s="239"/>
      <c r="BZ17" s="239"/>
      <c r="CA17" s="239"/>
      <c r="CB17" s="239"/>
      <c r="CC17" s="239"/>
      <c r="CD17" s="239"/>
      <c r="CE17" s="239"/>
      <c r="CF17" s="239"/>
      <c r="CG17" s="239"/>
      <c r="CH17" s="239"/>
      <c r="CI17" s="239"/>
      <c r="CJ17" s="239"/>
      <c r="CK17" s="239"/>
      <c r="CL17" s="239"/>
      <c r="CM17" s="12"/>
      <c r="CN17" s="97"/>
      <c r="CO17" s="5"/>
      <c r="CP17" s="63">
        <f>MAX(CP19:CP68)</f>
        <v>7.7546296296296293E-4</v>
      </c>
      <c r="CQ17" s="5" t="str">
        <f>IF(CP17&gt;D12,"Y","N")</f>
        <v>N</v>
      </c>
      <c r="CR17" s="15"/>
      <c r="CS17" s="15"/>
      <c r="CT17" s="106" t="s">
        <v>94</v>
      </c>
      <c r="CU17" s="231" t="s">
        <v>95</v>
      </c>
      <c r="CV17" s="232"/>
      <c r="CW17" s="232"/>
      <c r="CX17" s="232"/>
      <c r="CY17" s="232"/>
      <c r="CZ17" s="232"/>
      <c r="DA17" s="232"/>
      <c r="DB17" s="232"/>
      <c r="DC17" s="233"/>
      <c r="DD17" s="231" t="s">
        <v>96</v>
      </c>
      <c r="DE17" s="232"/>
      <c r="DF17" s="232"/>
      <c r="DG17" s="232"/>
      <c r="DH17" s="232"/>
      <c r="DI17" s="232"/>
      <c r="DJ17" s="232"/>
      <c r="DK17" s="240" t="s">
        <v>97</v>
      </c>
      <c r="DL17" s="232"/>
      <c r="DM17" s="233"/>
      <c r="DN17" s="107" t="s">
        <v>98</v>
      </c>
      <c r="DO17" s="15"/>
      <c r="DP17" s="15"/>
      <c r="DQ17" s="231" t="s">
        <v>99</v>
      </c>
      <c r="DR17" s="233"/>
      <c r="DS17" s="231" t="s">
        <v>100</v>
      </c>
      <c r="DT17" s="233"/>
      <c r="DU17" s="17" t="s">
        <v>101</v>
      </c>
      <c r="DV17" s="231" t="s">
        <v>102</v>
      </c>
      <c r="DW17" s="232"/>
      <c r="DX17" s="232"/>
      <c r="DY17" s="233"/>
      <c r="DZ17" s="15"/>
      <c r="EA17" s="15"/>
      <c r="EB17" s="15"/>
      <c r="EC17" s="240" t="s">
        <v>103</v>
      </c>
      <c r="ED17" s="233"/>
      <c r="EE17" s="108"/>
      <c r="EF17" s="108" t="s">
        <v>104</v>
      </c>
      <c r="EG17" s="15"/>
      <c r="EH17" s="15" t="s">
        <v>105</v>
      </c>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08" t="s">
        <v>106</v>
      </c>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7">
        <f t="shared" ref="GT17:GX17" si="7">SUM(GT19:GT68)</f>
        <v>0</v>
      </c>
      <c r="GU17" s="17">
        <f t="shared" si="7"/>
        <v>0</v>
      </c>
      <c r="GV17" s="17">
        <f t="shared" si="7"/>
        <v>0</v>
      </c>
      <c r="GW17" s="17">
        <f t="shared" si="7"/>
        <v>0</v>
      </c>
      <c r="GX17" s="17">
        <f t="shared" si="7"/>
        <v>0</v>
      </c>
      <c r="GY17" s="17">
        <f>IF(BV4="Yes","",SUM(GY19:GY68))</f>
        <v>0</v>
      </c>
      <c r="GZ17" s="15"/>
      <c r="HA17" s="15"/>
      <c r="HB17" s="15"/>
      <c r="HC17" s="5"/>
      <c r="HD17" s="63">
        <v>2.3148148148148146E-4</v>
      </c>
      <c r="HE17" s="63"/>
      <c r="HF17" s="106" t="s">
        <v>107</v>
      </c>
    </row>
    <row r="18" spans="1:214" ht="12.75" customHeight="1" x14ac:dyDescent="0.3">
      <c r="A18" s="88" t="s">
        <v>108</v>
      </c>
      <c r="B18" s="57" t="s">
        <v>109</v>
      </c>
      <c r="C18" s="57" t="s">
        <v>108</v>
      </c>
      <c r="D18" s="57" t="s">
        <v>109</v>
      </c>
      <c r="E18" s="109"/>
      <c r="F18" s="109"/>
      <c r="G18" s="110"/>
      <c r="H18" s="111"/>
      <c r="I18" s="112"/>
      <c r="J18" s="113" t="s">
        <v>110</v>
      </c>
      <c r="K18" s="113" t="s">
        <v>111</v>
      </c>
      <c r="L18" s="113" t="s">
        <v>112</v>
      </c>
      <c r="M18" s="113" t="s">
        <v>113</v>
      </c>
      <c r="N18" s="113" t="s">
        <v>114</v>
      </c>
      <c r="O18" s="113" t="s">
        <v>115</v>
      </c>
      <c r="P18" s="113" t="s">
        <v>116</v>
      </c>
      <c r="Q18" s="113" t="s">
        <v>117</v>
      </c>
      <c r="R18" s="113" t="s">
        <v>118</v>
      </c>
      <c r="S18" s="113"/>
      <c r="T18" s="113"/>
      <c r="U18" s="113"/>
      <c r="V18" s="113"/>
      <c r="W18" s="113"/>
      <c r="X18" s="113"/>
      <c r="Y18" s="113"/>
      <c r="Z18" s="113"/>
      <c r="AA18" s="113"/>
      <c r="AB18" s="113"/>
      <c r="AC18" s="113"/>
      <c r="AD18" s="113"/>
      <c r="AE18" s="113"/>
      <c r="AF18" s="113"/>
      <c r="AG18" s="113"/>
      <c r="AH18" s="113"/>
      <c r="AI18" s="113"/>
      <c r="AJ18" s="113"/>
      <c r="AK18" s="113"/>
      <c r="AL18" s="113"/>
      <c r="AM18" s="113"/>
      <c r="AN18" s="114"/>
      <c r="AO18" s="115"/>
      <c r="AP18" s="52"/>
      <c r="AQ18" s="52"/>
      <c r="AR18" s="12"/>
      <c r="AS18" s="12"/>
      <c r="AT18" s="12"/>
      <c r="AU18" s="12"/>
      <c r="AV18" s="12"/>
      <c r="AW18" s="12"/>
      <c r="AX18" s="12"/>
      <c r="AY18" s="12"/>
      <c r="AZ18" s="12"/>
      <c r="BA18" s="12"/>
      <c r="BB18" s="12"/>
      <c r="BC18" s="12"/>
      <c r="BD18" s="12"/>
      <c r="BE18" s="12"/>
      <c r="BF18" s="12"/>
      <c r="BG18" s="12"/>
      <c r="BH18" s="12"/>
      <c r="BI18" s="116">
        <v>1</v>
      </c>
      <c r="BJ18" s="116">
        <v>2</v>
      </c>
      <c r="BK18" s="116">
        <v>3</v>
      </c>
      <c r="BL18" s="116">
        <v>4</v>
      </c>
      <c r="BM18" s="116">
        <v>5</v>
      </c>
      <c r="BN18" s="116">
        <v>6</v>
      </c>
      <c r="BO18" s="116">
        <v>7</v>
      </c>
      <c r="BP18" s="116">
        <v>8</v>
      </c>
      <c r="BQ18" s="116">
        <v>9</v>
      </c>
      <c r="BR18" s="116">
        <v>10</v>
      </c>
      <c r="BS18" s="116">
        <v>11</v>
      </c>
      <c r="BT18" s="116">
        <v>12</v>
      </c>
      <c r="BU18" s="116">
        <v>13</v>
      </c>
      <c r="BV18" s="116">
        <v>14</v>
      </c>
      <c r="BW18" s="116">
        <v>15</v>
      </c>
      <c r="BX18" s="116">
        <v>16</v>
      </c>
      <c r="BY18" s="116">
        <v>17</v>
      </c>
      <c r="BZ18" s="116">
        <v>18</v>
      </c>
      <c r="CA18" s="116">
        <v>19</v>
      </c>
      <c r="CB18" s="116">
        <v>20</v>
      </c>
      <c r="CC18" s="116">
        <v>21</v>
      </c>
      <c r="CD18" s="116">
        <v>22</v>
      </c>
      <c r="CE18" s="116">
        <v>23</v>
      </c>
      <c r="CF18" s="116">
        <v>24</v>
      </c>
      <c r="CG18" s="116">
        <v>25</v>
      </c>
      <c r="CH18" s="116">
        <v>26</v>
      </c>
      <c r="CI18" s="116">
        <v>27</v>
      </c>
      <c r="CJ18" s="116">
        <v>28</v>
      </c>
      <c r="CK18" s="116">
        <v>29</v>
      </c>
      <c r="CL18" s="116">
        <v>30</v>
      </c>
      <c r="CM18" s="12"/>
      <c r="CN18" s="12"/>
      <c r="CO18" s="5"/>
      <c r="CP18" s="63">
        <v>0</v>
      </c>
      <c r="CQ18" s="63"/>
      <c r="CR18" s="15">
        <f>CQ18/CP17</f>
        <v>0</v>
      </c>
      <c r="CS18" s="15"/>
      <c r="CT18" s="15" t="s">
        <v>119</v>
      </c>
      <c r="CU18" s="15" t="s">
        <v>110</v>
      </c>
      <c r="CV18" s="15" t="s">
        <v>120</v>
      </c>
      <c r="CW18" s="15" t="s">
        <v>121</v>
      </c>
      <c r="CX18" s="15" t="s">
        <v>113</v>
      </c>
      <c r="CY18" s="15" t="s">
        <v>114</v>
      </c>
      <c r="CZ18" s="15" t="s">
        <v>115</v>
      </c>
      <c r="DA18" s="15" t="s">
        <v>116</v>
      </c>
      <c r="DB18" s="15" t="s">
        <v>122</v>
      </c>
      <c r="DC18" s="15" t="s">
        <v>123</v>
      </c>
      <c r="DD18" s="15" t="s">
        <v>110</v>
      </c>
      <c r="DE18" s="15" t="s">
        <v>120</v>
      </c>
      <c r="DF18" s="15" t="s">
        <v>121</v>
      </c>
      <c r="DG18" s="15" t="s">
        <v>113</v>
      </c>
      <c r="DH18" s="15" t="s">
        <v>114</v>
      </c>
      <c r="DI18" s="15" t="s">
        <v>115</v>
      </c>
      <c r="DJ18" s="15" t="s">
        <v>116</v>
      </c>
      <c r="DK18" s="15" t="s">
        <v>122</v>
      </c>
      <c r="DL18" s="15" t="s">
        <v>123</v>
      </c>
      <c r="DM18" s="15"/>
      <c r="DN18" s="15"/>
      <c r="DO18" s="15"/>
      <c r="DP18" s="15"/>
      <c r="DQ18" s="17" t="s">
        <v>113</v>
      </c>
      <c r="DR18" s="17" t="s">
        <v>114</v>
      </c>
      <c r="DS18" s="17" t="s">
        <v>110</v>
      </c>
      <c r="DT18" s="17" t="s">
        <v>120</v>
      </c>
      <c r="DU18" s="17" t="s">
        <v>110</v>
      </c>
      <c r="DV18" s="17" t="s">
        <v>110</v>
      </c>
      <c r="DW18" s="17" t="s">
        <v>120</v>
      </c>
      <c r="DX18" s="17" t="s">
        <v>113</v>
      </c>
      <c r="DY18" s="17" t="s">
        <v>114</v>
      </c>
      <c r="DZ18" s="17" t="s">
        <v>124</v>
      </c>
      <c r="EA18" s="17" t="s">
        <v>125</v>
      </c>
      <c r="EB18" s="15"/>
      <c r="EC18" s="117" t="s">
        <v>126</v>
      </c>
      <c r="ED18" s="17" t="s">
        <v>127</v>
      </c>
      <c r="EE18" s="15"/>
      <c r="EF18" s="15" t="s">
        <v>128</v>
      </c>
      <c r="EG18" s="15"/>
      <c r="EH18" s="15">
        <v>1</v>
      </c>
      <c r="EI18" s="15">
        <v>2</v>
      </c>
      <c r="EJ18" s="15">
        <v>3</v>
      </c>
      <c r="EK18" s="15">
        <v>4</v>
      </c>
      <c r="EL18" s="15">
        <v>5</v>
      </c>
      <c r="EM18" s="15">
        <v>6</v>
      </c>
      <c r="EN18" s="15">
        <v>7</v>
      </c>
      <c r="EO18" s="15">
        <v>8</v>
      </c>
      <c r="EP18" s="15">
        <v>9</v>
      </c>
      <c r="EQ18" s="15">
        <v>10</v>
      </c>
      <c r="ER18" s="15">
        <v>11</v>
      </c>
      <c r="ES18" s="15">
        <v>12</v>
      </c>
      <c r="ET18" s="15">
        <v>13</v>
      </c>
      <c r="EU18" s="15">
        <v>14</v>
      </c>
      <c r="EV18" s="15">
        <v>15</v>
      </c>
      <c r="EW18" s="15">
        <v>16</v>
      </c>
      <c r="EX18" s="15">
        <v>17</v>
      </c>
      <c r="EY18" s="15">
        <v>18</v>
      </c>
      <c r="EZ18" s="15">
        <v>19</v>
      </c>
      <c r="FA18" s="15">
        <v>20</v>
      </c>
      <c r="FB18" s="15">
        <v>21</v>
      </c>
      <c r="FC18" s="15">
        <v>22</v>
      </c>
      <c r="FD18" s="15">
        <v>23</v>
      </c>
      <c r="FE18" s="15">
        <v>24</v>
      </c>
      <c r="FF18" s="15">
        <v>25</v>
      </c>
      <c r="FG18" s="15">
        <v>26</v>
      </c>
      <c r="FH18" s="15">
        <v>27</v>
      </c>
      <c r="FI18" s="15">
        <v>28</v>
      </c>
      <c r="FJ18" s="15">
        <v>29</v>
      </c>
      <c r="FK18" s="15">
        <v>30</v>
      </c>
      <c r="FL18" s="15"/>
      <c r="FM18" s="15"/>
      <c r="FN18" s="15" t="s">
        <v>129</v>
      </c>
      <c r="FO18" s="15">
        <v>1</v>
      </c>
      <c r="FP18" s="15">
        <v>2</v>
      </c>
      <c r="FQ18" s="15">
        <v>3</v>
      </c>
      <c r="FR18" s="15">
        <v>4</v>
      </c>
      <c r="FS18" s="15">
        <v>5</v>
      </c>
      <c r="FT18" s="15">
        <v>6</v>
      </c>
      <c r="FU18" s="15">
        <v>7</v>
      </c>
      <c r="FV18" s="15">
        <v>8</v>
      </c>
      <c r="FW18" s="15">
        <v>9</v>
      </c>
      <c r="FX18" s="15">
        <v>10</v>
      </c>
      <c r="FY18" s="15">
        <v>11</v>
      </c>
      <c r="FZ18" s="15">
        <v>12</v>
      </c>
      <c r="GA18" s="15">
        <v>13</v>
      </c>
      <c r="GB18" s="15">
        <v>14</v>
      </c>
      <c r="GC18" s="15">
        <v>15</v>
      </c>
      <c r="GD18" s="15">
        <v>16</v>
      </c>
      <c r="GE18" s="15">
        <v>17</v>
      </c>
      <c r="GF18" s="15">
        <v>18</v>
      </c>
      <c r="GG18" s="15">
        <v>19</v>
      </c>
      <c r="GH18" s="15">
        <v>20</v>
      </c>
      <c r="GI18" s="15">
        <v>21</v>
      </c>
      <c r="GJ18" s="15">
        <v>22</v>
      </c>
      <c r="GK18" s="15">
        <v>23</v>
      </c>
      <c r="GL18" s="15">
        <v>24</v>
      </c>
      <c r="GM18" s="15">
        <v>25</v>
      </c>
      <c r="GN18" s="15">
        <v>26</v>
      </c>
      <c r="GO18" s="15">
        <v>27</v>
      </c>
      <c r="GP18" s="15">
        <v>28</v>
      </c>
      <c r="GQ18" s="15">
        <v>29</v>
      </c>
      <c r="GR18" s="15">
        <v>30</v>
      </c>
      <c r="GS18" s="15"/>
      <c r="GT18" s="17" t="s">
        <v>130</v>
      </c>
      <c r="GU18" s="17" t="s">
        <v>131</v>
      </c>
      <c r="GV18" s="17" t="s">
        <v>132</v>
      </c>
      <c r="GW18" s="17" t="s">
        <v>133</v>
      </c>
      <c r="GX18" s="17" t="s">
        <v>9</v>
      </c>
      <c r="GY18" s="17" t="s">
        <v>20</v>
      </c>
      <c r="GZ18" s="15"/>
      <c r="HA18" s="15"/>
      <c r="HB18" s="15"/>
      <c r="HC18" s="5"/>
      <c r="HD18" s="5"/>
      <c r="HE18" s="5"/>
      <c r="HF18" s="5"/>
    </row>
    <row r="19" spans="1:214" ht="12.75" customHeight="1" x14ac:dyDescent="0.3">
      <c r="A19" s="118">
        <v>0</v>
      </c>
      <c r="B19" s="119">
        <v>0</v>
      </c>
      <c r="C19" s="119">
        <v>0</v>
      </c>
      <c r="D19" s="119">
        <v>39</v>
      </c>
      <c r="E19" s="119"/>
      <c r="F19" s="57"/>
      <c r="G19" s="120" t="str">
        <f>IF(F19&lt;&gt;"",IF(OR(F19="Transition",F19="Transition - Surface Connection"),0,1),"")</f>
        <v/>
      </c>
      <c r="H19" s="223" t="str">
        <f>IFERROR(IF(E20="3","",IF(OR(F19="Hybrid - min 4 swimmers (no DD)",LEFT(F19,5)="Trans"),"No DD",CONCATENATE("BM = ",I20))),"")</f>
        <v/>
      </c>
      <c r="I19" s="224"/>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2"/>
      <c r="AO19" s="123"/>
      <c r="AP19" s="52"/>
      <c r="AQ19" s="52"/>
      <c r="AR19" s="12"/>
      <c r="AS19" s="12"/>
      <c r="AT19" s="12"/>
      <c r="AU19" s="12"/>
      <c r="AV19" s="12"/>
      <c r="AW19" s="12"/>
      <c r="AX19" s="12"/>
      <c r="AY19" s="12"/>
      <c r="AZ19" s="12"/>
      <c r="BA19" s="12"/>
      <c r="BB19" s="12"/>
      <c r="BC19" s="12"/>
      <c r="BD19" s="12"/>
      <c r="BE19" s="12"/>
      <c r="BF19" s="12"/>
      <c r="BG19" s="12" t="str">
        <f t="array" ref="BG19">IFERROR(IF(F19&lt;&gt;"",INDEX(Parts_Active,MATCH(F19,Parts_Active,0)),""),"No")</f>
        <v/>
      </c>
      <c r="BH19" s="12"/>
      <c r="BI19" s="12" t="str">
        <f>IF($E20="H",IF($F19="Hybrid - Thrust + 2 connections","Hybrid_Mix_Req",IF($F19="Hybrid - min 4 swimmers (no DD)","Hybrid_ChoHY","HybridDD_Code")),IF($E20=3,"TreDD_Code",IF($E20="PA","AcroPair_Code",IF(LEFT($F19,4)="Acro",CONCATENATE(BI$16,$E20,"_Code"),"Data!$BI$1:$BI$5"))))</f>
        <v>Data!$BI$1:$BI$5</v>
      </c>
      <c r="BJ19" s="12" t="str">
        <f t="shared" ref="BJ19:BQ19" si="8">IF($E20="H",IF($F19="Hybrid - Thrust + 2 connections","Hybrid_Mix_Req",IF($F19="Hybrid - min 4 swimmers (no DD)","Data!$BI$1:$BI$5","HybridDD_Code")),IF($E20=3,"TreDD_Code",IF($E20="PA","AcroPair_Code",IF(LEFT($F19,4)="Acro",CONCATENATE(BJ$16,$E20,"_Code"),"Data!$BI$1:$BI$5"))))</f>
        <v>Data!$BI$1:$BI$5</v>
      </c>
      <c r="BK19" s="12" t="str">
        <f t="shared" si="8"/>
        <v>Data!$BI$1:$BI$5</v>
      </c>
      <c r="BL19" s="12" t="str">
        <f t="shared" si="8"/>
        <v>Data!$BI$1:$BI$5</v>
      </c>
      <c r="BM19" s="12" t="str">
        <f t="shared" si="8"/>
        <v>Data!$BI$1:$BI$5</v>
      </c>
      <c r="BN19" s="12" t="str">
        <f t="shared" si="8"/>
        <v>Data!$BI$1:$BI$5</v>
      </c>
      <c r="BO19" s="12" t="str">
        <f t="shared" si="8"/>
        <v>Data!$BI$1:$BI$5</v>
      </c>
      <c r="BP19" s="12" t="str">
        <f t="shared" si="8"/>
        <v>Data!$BI$1:$BI$5</v>
      </c>
      <c r="BQ19" s="12" t="str">
        <f t="shared" si="8"/>
        <v>Data!$BI$1:$BI$5</v>
      </c>
      <c r="BR19" s="12" t="str">
        <f>IF($E20="H",IF($F19="Hybrid - Thrust + 2 connections","Data!$BI$1:$BI$5","HybridDD_Code"),"Data!$BI$1:$BI$5")</f>
        <v>Data!$BI$1:$BI$5</v>
      </c>
      <c r="BS19" s="12" t="str">
        <f t="shared" ref="BS19:CL19" si="9">$BR19</f>
        <v>Data!$BI$1:$BI$5</v>
      </c>
      <c r="BT19" s="12" t="str">
        <f t="shared" si="9"/>
        <v>Data!$BI$1:$BI$5</v>
      </c>
      <c r="BU19" s="12" t="str">
        <f t="shared" si="9"/>
        <v>Data!$BI$1:$BI$5</v>
      </c>
      <c r="BV19" s="12" t="str">
        <f t="shared" si="9"/>
        <v>Data!$BI$1:$BI$5</v>
      </c>
      <c r="BW19" s="12" t="str">
        <f t="shared" si="9"/>
        <v>Data!$BI$1:$BI$5</v>
      </c>
      <c r="BX19" s="12" t="str">
        <f t="shared" si="9"/>
        <v>Data!$BI$1:$BI$5</v>
      </c>
      <c r="BY19" s="12" t="str">
        <f t="shared" si="9"/>
        <v>Data!$BI$1:$BI$5</v>
      </c>
      <c r="BZ19" s="12" t="str">
        <f t="shared" si="9"/>
        <v>Data!$BI$1:$BI$5</v>
      </c>
      <c r="CA19" s="12" t="str">
        <f t="shared" si="9"/>
        <v>Data!$BI$1:$BI$5</v>
      </c>
      <c r="CB19" s="12" t="str">
        <f t="shared" si="9"/>
        <v>Data!$BI$1:$BI$5</v>
      </c>
      <c r="CC19" s="12" t="str">
        <f t="shared" si="9"/>
        <v>Data!$BI$1:$BI$5</v>
      </c>
      <c r="CD19" s="12" t="str">
        <f t="shared" si="9"/>
        <v>Data!$BI$1:$BI$5</v>
      </c>
      <c r="CE19" s="12" t="str">
        <f t="shared" si="9"/>
        <v>Data!$BI$1:$BI$5</v>
      </c>
      <c r="CF19" s="12" t="str">
        <f t="shared" si="9"/>
        <v>Data!$BI$1:$BI$5</v>
      </c>
      <c r="CG19" s="12" t="str">
        <f t="shared" si="9"/>
        <v>Data!$BI$1:$BI$5</v>
      </c>
      <c r="CH19" s="12" t="str">
        <f t="shared" si="9"/>
        <v>Data!$BI$1:$BI$5</v>
      </c>
      <c r="CI19" s="12" t="str">
        <f t="shared" si="9"/>
        <v>Data!$BI$1:$BI$5</v>
      </c>
      <c r="CJ19" s="12" t="str">
        <f t="shared" si="9"/>
        <v>Data!$BI$1:$BI$5</v>
      </c>
      <c r="CK19" s="12" t="str">
        <f t="shared" si="9"/>
        <v>Data!$BI$1:$BI$5</v>
      </c>
      <c r="CL19" s="12" t="str">
        <f t="shared" si="9"/>
        <v>Data!$BI$1:$BI$5</v>
      </c>
      <c r="CM19" s="12"/>
      <c r="CN19" s="12"/>
      <c r="CO19" s="63">
        <f>TIME(0,A19,B19)</f>
        <v>0</v>
      </c>
      <c r="CP19" s="63">
        <f>TIME(0,C19,D19)</f>
        <v>4.5138888888888887E-4</v>
      </c>
      <c r="CQ19" s="63" t="str">
        <f>IF(CP19&gt;$D$12,"X","")</f>
        <v/>
      </c>
      <c r="CR19" s="15" t="str">
        <f>IF(AND(F19="Hybrid - Thrust + 2 connections",OR(LEFT(J19,1)="T",LEFT(K19,1)="T",LEFT(L19,1)="T",LEFT(OY19,1)="T",LEFT(M19,1)="T",LEFT(N19,1)="T",LEFT(O19,1)="T",LEFT(P19,1)="T",LEFT(Q19,1)="T",LEFT(R19,1)="T",LEFT(S19,1)="T",LEFT(T19,1)="T",LEFT(U19,1)="T",LEFT(V19,1)="T",LEFT(W19,1)="T",LEFT(X19,1)="T",LEFT(AK19,1)="T",LEFT(AL19,1)="T",LEFT(AM19,1)="T")),IF(OR(LEN(J19)=2,LEN(K19)=2,LEN(L19)=2,LEN(M19)=2,LEN(N19)=2,LEN(O19)=2,LEN(P19)=2,LEN(Q19)=2,LEN(R19)=2,LEN(S19)=2,LEN(T19)=2,LEN(U19)=2,LEN(V19)=2,LEN(W19)=2,LEN(X19)=2,LEN(Y19)=2,LEN(Z19)=2,LEN(AK19)=2,LEN(AL19)=2,LEN(AM19)=2),"X",""),"")</f>
        <v/>
      </c>
      <c r="CS19" s="15"/>
      <c r="CT19" s="15" t="str">
        <f>IF(LEFT(F19,4)="Acro",IF(AND(N19&lt;&gt;"",M19=RIGHT(N19,2)),"X","OK"),"")</f>
        <v/>
      </c>
      <c r="CU19" s="12" t="str">
        <f t="array" ref="CU19">IFERROR(IF(AND(LEFT($F19,4)="Acro",INDEX(Requ_App,MATCH(BI19,Requ_Code,0))="No"),"X",""),"")</f>
        <v/>
      </c>
      <c r="CV19" s="12" t="str">
        <f t="array" ref="CV19">IFERROR(IF(AND(LEFT($F19,4)="Acro",INDEX(Requ_App,MATCH(BJ19,Requ_Code,0))="No"),"X",""),"")</f>
        <v/>
      </c>
      <c r="CW19" s="12" t="str">
        <f t="array" ref="CW19">IFERROR(IF(AND(LEFT($F19,4)="Acro",INDEX(Requ_App,MATCH(BK19,Requ_Code,0))="No"),"X",""),"")</f>
        <v/>
      </c>
      <c r="CX19" s="12" t="str">
        <f t="array" ref="CX19">IFERROR(IF(AND(LEFT($F19,4)="Acro",INDEX(Requ_App,MATCH(BL19,Requ_Code,0))="No"),"X",""),"")</f>
        <v/>
      </c>
      <c r="CY19" s="12" t="str">
        <f t="array" ref="CY19">IFERROR(IF(AND(LEFT($F19,4)="Acro",INDEX(Requ_App,MATCH(BM19,Requ_Code,0))="No"),"X",""),"")</f>
        <v/>
      </c>
      <c r="CZ19" s="12" t="str">
        <f t="array" ref="CZ19">IFERROR(IF(AND(LEFT($F19,4)="Acro",INDEX(Requ_App,MATCH(BN19,Requ_Code,0))="No"),"X",""),"")</f>
        <v/>
      </c>
      <c r="DA19" s="12" t="str">
        <f t="array" ref="DA19">IFERROR(IF(AND(LEFT($F19,4)="Acro",INDEX(Requ_App,MATCH(BO19,Requ_Code,0))="No"),"X",""),"")</f>
        <v/>
      </c>
      <c r="DB19" s="12" t="str">
        <f t="array" ref="DB19">IFERROR(IF(AND(LEFT($F19,4)="Acro",INDEX(Requ_App,MATCH(BP19,Requ_Code,0))="No"),"X",""),"")</f>
        <v/>
      </c>
      <c r="DC19" s="12" t="str">
        <f t="array" ref="DC19">IFERROR(IF(AND(LEFT($F19,4)="Acro",INDEX(Requ_App,MATCH(BP19,Requ_Code,0))="No"),"X",""),"")</f>
        <v/>
      </c>
      <c r="DD19" s="15" t="str">
        <f t="shared" ref="DD19:DD68" si="10">IF(OR($E20="A",$E20="B",$E20="C",$E20="P"),"Z","")</f>
        <v/>
      </c>
      <c r="DE19" s="15" t="str">
        <f t="shared" ref="DE19:DE68" si="11">IF(OR($E20="B",$E20="P"),"Z","")</f>
        <v/>
      </c>
      <c r="DF19" s="15" t="str">
        <f t="shared" ref="DF19:DF68" si="12">IF(OR($E20="A",$E20="C"),"Z","")</f>
        <v/>
      </c>
      <c r="DG19" s="15" t="str">
        <f t="shared" ref="DG19:DG68" si="13">IF(OR($E20="A",$E20="B",$E20="C",$E20="P"),"Z","")</f>
        <v/>
      </c>
      <c r="DH19" s="15"/>
      <c r="DI19" s="15"/>
      <c r="DJ19" s="15"/>
      <c r="DK19" s="15">
        <f>IF(AND(E20="A",OR(Q19="Grip",Q19="Conn",Q19="Catch")),"A1",IF(AND(E20="A",OR(Q19="Hula",Q19="RetSq",Q19="RetPa")),"A2",IF(AND(E20="B",OR(Q19="Twirl",Q19="RotF")),"B1",IF(AND(E20="B",OR(Q19="Moon",Q19="Mov")),"B2",IF(AND(E20="B",Q19="Hold"),"B3",IF(AND(E20="P",OR(Q19="Porp",Q19="Spitch")),"P1",IF(AND(E20="P",OR(Q19="Dive",Q19="Ps1",Q19="Ps1t0.5",Q19="Ps1op",Q19="Ps1t0,5o",Q19="Ps1t1",Q19="CH+")),"P2",IF(AND(E20="P",OR(Q19="Spider",Q19="Climb")),"P3",IF(AND(E20="P",OR(Q19="Fall",Q19="FTurn")),"P4",IF(AND(E20="C",OR(Q19="Jump",Q19="Jump&gt;",Q19="On1Foot",Q19="1F&gt;1F")),"C1",IF(AND(E20="C",OR(Q19="Run",Q19="BRun")),"C2",1)))))))))))</f>
        <v>1</v>
      </c>
      <c r="DL19" s="15">
        <f>IF(AND(E20="A",OR(R19="Grip",R19="Conn",R19="Catch")),"A1",IF(AND(E20="A",OR(R19="Hula",R19="RetSq",R19="RetPa")),"A2",IF(AND(E20="B",OR(R19="Twirl",R19="RotF")),"B1",IF(AND(E20="B",OR(R19="Moon",R19="Mov")),"B3",IF(AND(E20="B",R19="Hold"),"B2",IF(AND(E20="P",OR(R19="Porp",R19="Spitch")),"P1",IF(AND(E20="P",OR(R19="Dive",R19="Ps1",R19="Ps1t0.5",R19="Ps1op",R19="Ps1t0,5o",R19="Ps1t1",R19="CH+")),"P2",IF(AND(E20="P",OR(R19="Spider",R19="Climb")),"P3",IF(AND(E20="P",OR(R19="Fall",R19="FTurn")),"P4",IF(AND(E20="C",OR(R19="Jump",R19="Jump&gt;",R19="On1Foot",R19="1F&gt;1F")),"C1",IF(AND(E20="C",OR(R19="Run",R19="BRun")),"C2",2)))))))))))</f>
        <v>2</v>
      </c>
      <c r="DM19" s="15" t="str">
        <f>IF(AND(LEFT(F19,4)="Acro",Q19&lt;&gt;"",OR(Q19=R19,DK19=DL19)),IF(R19="C-Roll","","X"),IF(OR(AND(E20="A",Q19="Catch",R19&lt;&gt;"Dbl"),AND(E20="A",R19="Catch",Q19&lt;&gt;"Dbl")),"X",""))</f>
        <v/>
      </c>
      <c r="DN19" s="15" t="str">
        <f>IF(E20="PA",J19,"")</f>
        <v/>
      </c>
      <c r="DO19" s="15">
        <v>1</v>
      </c>
      <c r="DP19" s="15"/>
      <c r="DQ19" s="15" t="str">
        <f t="shared" ref="DQ19:DR19" si="14">IF(AND($E20="A",COUNTIF($DZ$19:$EA$68,DZ19)&gt;1),DZ19,"")</f>
        <v/>
      </c>
      <c r="DR19" s="15" t="str">
        <f t="shared" si="14"/>
        <v/>
      </c>
      <c r="DS19" s="15" t="str">
        <f ca="1">IF(AND($E20="B",COUNTIF($J$19:$J$68,J19)&gt;1),J19,"")</f>
        <v/>
      </c>
      <c r="DT19" s="15" t="str">
        <f ca="1">IF(AND($E20="B",COUNTIF($K$19:$K$68,K19)&gt;1),K19,"")</f>
        <v/>
      </c>
      <c r="DU19" s="15" t="str">
        <f ca="1">IF(AND($E20="C",COUNTIF($J$19:$J$68,J19)&gt;1),J19,"")</f>
        <v/>
      </c>
      <c r="DV19" s="15" t="str">
        <f ca="1">IF(AND($E20="P",COUNTIF($J$19:$J$68,J19)&gt;1),J19,"")</f>
        <v/>
      </c>
      <c r="DW19" s="15" t="str">
        <f ca="1">IF(AND($E20="P",COUNTIF($K$19:$K$68,K19)&gt;1),K19,"")</f>
        <v/>
      </c>
      <c r="DX19" s="15" t="str">
        <f t="shared" ref="DX19:DY19" si="15">IF(AND($E20="P",COUNTIF($DZ$19:$EA$68,DZ19)&gt;1),DZ19,"")</f>
        <v/>
      </c>
      <c r="DY19" s="15" t="str">
        <f t="shared" si="15"/>
        <v/>
      </c>
      <c r="DZ19" s="15" t="str">
        <f>IFERROR(IF(OR(E20="A",E20="P"),M19,""),"")</f>
        <v/>
      </c>
      <c r="EA19" s="15" t="str">
        <f>IFERROR(IF(OR(E20="A",E20="P"),RIGHT(N19,2),""),"")</f>
        <v/>
      </c>
      <c r="EB19" s="15"/>
      <c r="EC19" s="15" t="str">
        <f>IF(AND($F$8="Open Team Acrobatic",LEFT(F19,4)="Acro"),E20,"")</f>
        <v/>
      </c>
      <c r="ED19" s="15" t="str">
        <f>IFERROR(IF(HLOOKUP(EC19,$DQ$12:$DT$13,2,FALSE)&gt;2,"X",""),"")</f>
        <v/>
      </c>
      <c r="EE19" s="15"/>
      <c r="EF19" s="15" t="str">
        <f>IF(OR(AND(F19="Hybrid - Thrust + 2 connections",EF20="T"),AND(E20="H",EF20&lt;&gt;"")),"X","")</f>
        <v/>
      </c>
      <c r="EG19" s="15"/>
      <c r="EH19" s="15">
        <f t="shared" ref="EH19:EX19" si="16">IFERROR(IF(AND($E20="H",J19&lt;&gt;""),IF(OR(LEFT(J19,1)="T",LEFT(J19,1)="S",LEFT(J19,1)="A",LEFT(J19,1)="F",LEFT(J19,1)="C"),LEFT(J19,1),"R"),EH$18),"")</f>
        <v>1</v>
      </c>
      <c r="EI19" s="15">
        <f t="shared" si="16"/>
        <v>2</v>
      </c>
      <c r="EJ19" s="15">
        <f t="shared" si="16"/>
        <v>3</v>
      </c>
      <c r="EK19" s="15">
        <f t="shared" si="16"/>
        <v>4</v>
      </c>
      <c r="EL19" s="15">
        <f t="shared" si="16"/>
        <v>5</v>
      </c>
      <c r="EM19" s="15">
        <f t="shared" si="16"/>
        <v>6</v>
      </c>
      <c r="EN19" s="15">
        <f t="shared" si="16"/>
        <v>7</v>
      </c>
      <c r="EO19" s="15">
        <f t="shared" si="16"/>
        <v>8</v>
      </c>
      <c r="EP19" s="15">
        <f t="shared" si="16"/>
        <v>9</v>
      </c>
      <c r="EQ19" s="15">
        <f t="shared" si="16"/>
        <v>10</v>
      </c>
      <c r="ER19" s="15">
        <f t="shared" si="16"/>
        <v>11</v>
      </c>
      <c r="ES19" s="15">
        <f t="shared" si="16"/>
        <v>12</v>
      </c>
      <c r="ET19" s="15">
        <f t="shared" si="16"/>
        <v>13</v>
      </c>
      <c r="EU19" s="15">
        <f t="shared" si="16"/>
        <v>14</v>
      </c>
      <c r="EV19" s="15">
        <f t="shared" si="16"/>
        <v>15</v>
      </c>
      <c r="EW19" s="15">
        <f t="shared" si="16"/>
        <v>16</v>
      </c>
      <c r="EX19" s="15">
        <f t="shared" si="16"/>
        <v>17</v>
      </c>
      <c r="EY19" s="15">
        <f t="shared" ref="EY19:FK19" si="17">IFERROR(IF(AND($E20="H",AK19&lt;&gt;""),IF(OR(LEFT(AK19,1)="T",LEFT(AK19,1)="S",LEFT(AK19,1)="A",LEFT(AK19,1)="F",LEFT(AK19,1)="C"),LEFT(AK19,1),"R"),EY$18),"")</f>
        <v>18</v>
      </c>
      <c r="EZ19" s="15">
        <f t="shared" si="17"/>
        <v>19</v>
      </c>
      <c r="FA19" s="15">
        <f t="shared" si="17"/>
        <v>20</v>
      </c>
      <c r="FB19" s="15">
        <f t="shared" si="17"/>
        <v>21</v>
      </c>
      <c r="FC19" s="15">
        <f t="shared" si="17"/>
        <v>22</v>
      </c>
      <c r="FD19" s="15">
        <f t="shared" si="17"/>
        <v>23</v>
      </c>
      <c r="FE19" s="15">
        <f t="shared" si="17"/>
        <v>24</v>
      </c>
      <c r="FF19" s="15">
        <f t="shared" si="17"/>
        <v>25</v>
      </c>
      <c r="FG19" s="15">
        <f t="shared" si="17"/>
        <v>26</v>
      </c>
      <c r="FH19" s="15">
        <f t="shared" si="17"/>
        <v>27</v>
      </c>
      <c r="FI19" s="15">
        <f t="shared" si="17"/>
        <v>28</v>
      </c>
      <c r="FJ19" s="15">
        <f t="shared" si="17"/>
        <v>29</v>
      </c>
      <c r="FK19" s="15">
        <f t="shared" si="17"/>
        <v>30</v>
      </c>
      <c r="FL19" s="15"/>
      <c r="FM19" s="15"/>
      <c r="FN19" s="15"/>
      <c r="FO19" s="241"/>
      <c r="FP19" s="242"/>
      <c r="FQ19" s="242"/>
      <c r="FR19" s="242"/>
      <c r="FS19" s="242"/>
      <c r="FT19" s="242"/>
      <c r="FU19" s="242"/>
      <c r="FV19" s="242"/>
      <c r="FW19" s="242"/>
      <c r="FX19" s="242"/>
      <c r="FY19" s="242"/>
      <c r="FZ19" s="242"/>
      <c r="GA19" s="242"/>
      <c r="GB19" s="242"/>
      <c r="GC19" s="242"/>
      <c r="GD19" s="242"/>
      <c r="GE19" s="242"/>
      <c r="GF19" s="242"/>
      <c r="GG19" s="242"/>
      <c r="GH19" s="242"/>
      <c r="GI19" s="242"/>
      <c r="GJ19" s="242"/>
      <c r="GK19" s="242"/>
      <c r="GL19" s="242"/>
      <c r="GM19" s="242"/>
      <c r="GN19" s="242"/>
      <c r="GO19" s="242"/>
      <c r="GP19" s="242"/>
      <c r="GQ19" s="242"/>
      <c r="GR19" s="243"/>
      <c r="GS19" s="15"/>
      <c r="GT19" s="15">
        <f t="shared" ref="GT19:GY19" si="18">COUNTIF($EH19:$FK19,GT$18)</f>
        <v>0</v>
      </c>
      <c r="GU19" s="15">
        <f t="shared" si="18"/>
        <v>0</v>
      </c>
      <c r="GV19" s="15">
        <f t="shared" si="18"/>
        <v>0</v>
      </c>
      <c r="GW19" s="15">
        <f t="shared" si="18"/>
        <v>0</v>
      </c>
      <c r="GX19" s="15">
        <f t="shared" si="18"/>
        <v>0</v>
      </c>
      <c r="GY19" s="15">
        <f t="shared" si="18"/>
        <v>0</v>
      </c>
      <c r="GZ19" s="15"/>
      <c r="HA19" s="15" t="str">
        <f>IF(AND($F19="Hybrid - Thrust + 2 connections",HA20=0,LEFT($J19,1)="C",LEFT($K19,1)="C",LEFT($L19,1)="C"),"X","")</f>
        <v/>
      </c>
      <c r="HB19" s="15"/>
      <c r="HC19" s="5"/>
      <c r="HD19" s="124"/>
      <c r="HE19" s="124"/>
      <c r="HF19" s="5" t="str">
        <f>IF(E20=3,_xludf.NUMBERVALUE(LEFT(J19,1)),"")</f>
        <v/>
      </c>
    </row>
    <row r="20" spans="1:214" ht="12.75" customHeight="1" x14ac:dyDescent="0.3">
      <c r="A20" s="118"/>
      <c r="B20" s="119"/>
      <c r="C20" s="119"/>
      <c r="D20" s="119"/>
      <c r="E20" s="50" t="str">
        <f>IF(F19="Acrobatic - Pair","PA",IF(F19="Acrobatic Airborn","A",IF(F19="Acrobatic Balance","B",IF(F19="Acrobatic Combined","C",IF(F19="Acrobatic Platform","P",IF(F19="Technical Required Element",3,IF(LEFT(F19,4)="Hybr","H","")))))))</f>
        <v/>
      </c>
      <c r="F20" s="125" t="s">
        <v>134</v>
      </c>
      <c r="G20" s="120"/>
      <c r="H20" s="126" t="str">
        <f>IF(E20="PA",IF(OR(LEFT(J19,1)="L",LEFT(J19,1)="S"),"A-Pair-Lift",IF(OR(LEFT(J19,1)="W",LEFT(J19,1)="T"),"A-Pair-Throw",IF(LEFT(J19,1)="J","A-Pair-Jump","A-Pair"))),IF(OR(E20="A",E20="B",E20="C",E20="P"),CONCATENATE("Acro-",E20),""))</f>
        <v/>
      </c>
      <c r="I20" s="127" t="e">
        <f t="array" ref="I20">IF(OR(F19="Hybrid - min 4 swimmers (no DD)",LEFT(F19,5)="Trans"),0,INDEX($BY$3:$BY$9,MATCH(E20,$BX$3:$BX$9,0)))</f>
        <v>#N/A</v>
      </c>
      <c r="J20" s="128">
        <f t="array" aca="1" ref="J20" ca="1">IFERROR(IF($H19="No DD",IF(J19="ChoHY",1,0),IF(OR(ISBLANK(J19),J19="N/A"),0,INDEX(INDIRECT(BI20),MATCH(J19,INDIRECT(BI19),0)))),0)</f>
        <v>0</v>
      </c>
      <c r="K20" s="128">
        <f t="shared" ref="K20:AM20" ca="1" si="19">IFERROR(IF($H19="No DD",0,IF(OR(ISBLANK(K19),K19="N/A"),0,INDEX(INDIRECT(BJ20),MATCH(K19,INDIRECT(BJ19),0)))),0)</f>
        <v>0</v>
      </c>
      <c r="L20" s="128">
        <f t="shared" ca="1" si="19"/>
        <v>0</v>
      </c>
      <c r="M20" s="128">
        <f t="shared" ca="1" si="19"/>
        <v>0</v>
      </c>
      <c r="N20" s="128">
        <f t="shared" ca="1" si="19"/>
        <v>0</v>
      </c>
      <c r="O20" s="128">
        <f t="shared" ca="1" si="19"/>
        <v>0</v>
      </c>
      <c r="P20" s="128">
        <f t="shared" ca="1" si="19"/>
        <v>0</v>
      </c>
      <c r="Q20" s="128">
        <f t="shared" ca="1" si="19"/>
        <v>0</v>
      </c>
      <c r="R20" s="128">
        <f t="shared" ca="1" si="19"/>
        <v>0</v>
      </c>
      <c r="S20" s="128">
        <f t="shared" ca="1" si="19"/>
        <v>0</v>
      </c>
      <c r="T20" s="128">
        <f t="shared" ca="1" si="19"/>
        <v>0</v>
      </c>
      <c r="U20" s="128">
        <f t="shared" ca="1" si="19"/>
        <v>0</v>
      </c>
      <c r="V20" s="128">
        <f t="shared" ca="1" si="19"/>
        <v>0</v>
      </c>
      <c r="W20" s="128">
        <f t="shared" ca="1" si="19"/>
        <v>0</v>
      </c>
      <c r="X20" s="128">
        <f t="shared" ca="1" si="19"/>
        <v>0</v>
      </c>
      <c r="Y20" s="128">
        <f t="shared" ca="1" si="19"/>
        <v>0</v>
      </c>
      <c r="Z20" s="128">
        <f t="shared" ca="1" si="19"/>
        <v>0</v>
      </c>
      <c r="AA20" s="128">
        <f t="shared" ca="1" si="19"/>
        <v>0</v>
      </c>
      <c r="AB20" s="128">
        <f t="shared" ca="1" si="19"/>
        <v>0</v>
      </c>
      <c r="AC20" s="128">
        <f t="shared" ca="1" si="19"/>
        <v>0</v>
      </c>
      <c r="AD20" s="128">
        <f t="shared" ca="1" si="19"/>
        <v>0</v>
      </c>
      <c r="AE20" s="128">
        <f t="shared" ca="1" si="19"/>
        <v>0</v>
      </c>
      <c r="AF20" s="128">
        <f t="shared" ca="1" si="19"/>
        <v>0</v>
      </c>
      <c r="AG20" s="128">
        <f t="shared" ca="1" si="19"/>
        <v>0</v>
      </c>
      <c r="AH20" s="128">
        <f t="shared" ca="1" si="19"/>
        <v>0</v>
      </c>
      <c r="AI20" s="128">
        <f t="shared" ca="1" si="19"/>
        <v>0</v>
      </c>
      <c r="AJ20" s="128">
        <f t="shared" ca="1" si="19"/>
        <v>0</v>
      </c>
      <c r="AK20" s="128">
        <f t="shared" ca="1" si="19"/>
        <v>0</v>
      </c>
      <c r="AL20" s="128">
        <f t="shared" ca="1" si="19"/>
        <v>0</v>
      </c>
      <c r="AM20" s="128">
        <f t="shared" ca="1" si="19"/>
        <v>0</v>
      </c>
      <c r="AN20" s="129" t="str">
        <f t="array" ref="AN20">IFERROR(IF(E20="H",INDEX(HybridBonus_Value,MATCH(AN19,HybridBonus_Code,0)),""),"")</f>
        <v/>
      </c>
      <c r="AO20" s="130" t="str">
        <f>IFERROR(SUM(I20:AN20),"")</f>
        <v/>
      </c>
      <c r="AP20" s="52"/>
      <c r="AQ20" s="52"/>
      <c r="AR20" s="12"/>
      <c r="AS20" s="12"/>
      <c r="AT20" s="12"/>
      <c r="AU20" s="12"/>
      <c r="AV20" s="12"/>
      <c r="AW20" s="12"/>
      <c r="AX20" s="12"/>
      <c r="AY20" s="12"/>
      <c r="AZ20" s="12"/>
      <c r="BA20" s="12"/>
      <c r="BB20" s="12"/>
      <c r="BC20" s="12"/>
      <c r="BD20" s="12"/>
      <c r="BE20" s="12"/>
      <c r="BF20" s="12"/>
      <c r="BG20" s="12"/>
      <c r="BH20" s="12"/>
      <c r="BI20" s="5" t="str">
        <f t="shared" ref="BI20:BQ20" si="20">IF($E20="H",IF($F19="Hybrid - Thrust + 2 connections","Hybrid_Mix_Req_Value","HybridDD_Value"),IF($E20=3,"TreDD_Value",IF($E20="PA","AcroPair_Value",IF(LEFT($F19,4)="Acro",CONCATENATE(BI$16,$E20,"_Value"),""))))</f>
        <v/>
      </c>
      <c r="BJ20" s="5" t="str">
        <f t="shared" si="20"/>
        <v/>
      </c>
      <c r="BK20" s="5" t="str">
        <f t="shared" si="20"/>
        <v/>
      </c>
      <c r="BL20" s="5" t="str">
        <f t="shared" si="20"/>
        <v/>
      </c>
      <c r="BM20" s="5" t="str">
        <f t="shared" si="20"/>
        <v/>
      </c>
      <c r="BN20" s="5" t="str">
        <f t="shared" si="20"/>
        <v/>
      </c>
      <c r="BO20" s="5" t="str">
        <f t="shared" si="20"/>
        <v/>
      </c>
      <c r="BP20" s="5" t="str">
        <f t="shared" si="20"/>
        <v/>
      </c>
      <c r="BQ20" s="5" t="str">
        <f t="shared" si="20"/>
        <v/>
      </c>
      <c r="BR20" s="12" t="str">
        <f t="shared" ref="BR20:CL20" si="21">IF($E20="H",IF($F19="Hybrid - Thrust + 2 connections","Data!$BI$1:$BI$5","HybridDD_Value"),"Data!$BI$1:$BI$5")</f>
        <v>Data!$BI$1:$BI$5</v>
      </c>
      <c r="BS20" s="12" t="str">
        <f t="shared" si="21"/>
        <v>Data!$BI$1:$BI$5</v>
      </c>
      <c r="BT20" s="12" t="str">
        <f t="shared" si="21"/>
        <v>Data!$BI$1:$BI$5</v>
      </c>
      <c r="BU20" s="12" t="str">
        <f t="shared" si="21"/>
        <v>Data!$BI$1:$BI$5</v>
      </c>
      <c r="BV20" s="12" t="str">
        <f t="shared" si="21"/>
        <v>Data!$BI$1:$BI$5</v>
      </c>
      <c r="BW20" s="12" t="str">
        <f t="shared" si="21"/>
        <v>Data!$BI$1:$BI$5</v>
      </c>
      <c r="BX20" s="12" t="str">
        <f t="shared" si="21"/>
        <v>Data!$BI$1:$BI$5</v>
      </c>
      <c r="BY20" s="12" t="str">
        <f t="shared" si="21"/>
        <v>Data!$BI$1:$BI$5</v>
      </c>
      <c r="BZ20" s="12" t="str">
        <f t="shared" si="21"/>
        <v>Data!$BI$1:$BI$5</v>
      </c>
      <c r="CA20" s="12" t="str">
        <f t="shared" si="21"/>
        <v>Data!$BI$1:$BI$5</v>
      </c>
      <c r="CB20" s="12" t="str">
        <f t="shared" si="21"/>
        <v>Data!$BI$1:$BI$5</v>
      </c>
      <c r="CC20" s="12" t="str">
        <f t="shared" si="21"/>
        <v>Data!$BI$1:$BI$5</v>
      </c>
      <c r="CD20" s="12" t="str">
        <f t="shared" si="21"/>
        <v>Data!$BI$1:$BI$5</v>
      </c>
      <c r="CE20" s="12" t="str">
        <f t="shared" si="21"/>
        <v>Data!$BI$1:$BI$5</v>
      </c>
      <c r="CF20" s="12" t="str">
        <f t="shared" si="21"/>
        <v>Data!$BI$1:$BI$5</v>
      </c>
      <c r="CG20" s="12" t="str">
        <f t="shared" si="21"/>
        <v>Data!$BI$1:$BI$5</v>
      </c>
      <c r="CH20" s="12" t="str">
        <f t="shared" si="21"/>
        <v>Data!$BI$1:$BI$5</v>
      </c>
      <c r="CI20" s="12" t="str">
        <f t="shared" si="21"/>
        <v>Data!$BI$1:$BI$5</v>
      </c>
      <c r="CJ20" s="12" t="str">
        <f t="shared" si="21"/>
        <v>Data!$BI$1:$BI$5</v>
      </c>
      <c r="CK20" s="12" t="str">
        <f t="shared" si="21"/>
        <v>Data!$BI$1:$BI$5</v>
      </c>
      <c r="CL20" s="12" t="str">
        <f t="shared" si="21"/>
        <v>Data!$BI$1:$BI$5</v>
      </c>
      <c r="CM20" s="5"/>
      <c r="CN20" s="131"/>
      <c r="CO20" s="124" t="str">
        <f>IFERROR(IF(AND($BV$6="T",$BV$8="T",LEFT(F19,4)="Acro",AO20&gt;3),"X",IF($N$7="X",IF(AND(E20="C",AO20&gt;$CN$6),"X",IF(AND(E20="A",AO20&gt;$CN$4),"X",IF(AND(E20="B",AO20&gt;$CN$5),"X",IF(AND(E20="P",AO20&gt;$CN$7),"X","")))),"")),"")</f>
        <v/>
      </c>
      <c r="CP20" s="63"/>
      <c r="CQ20" s="5"/>
      <c r="CR20" s="15"/>
      <c r="CS20" s="5"/>
      <c r="CT20" s="5"/>
      <c r="CU20" s="5"/>
      <c r="CV20" s="5"/>
      <c r="CW20" s="5"/>
      <c r="CX20" s="5"/>
      <c r="CY20" s="5"/>
      <c r="CZ20" s="5"/>
      <c r="DA20" s="15"/>
      <c r="DB20" s="15"/>
      <c r="DC20" s="15"/>
      <c r="DD20" s="15" t="str">
        <f t="shared" si="10"/>
        <v/>
      </c>
      <c r="DE20" s="15" t="str">
        <f t="shared" si="11"/>
        <v/>
      </c>
      <c r="DF20" s="15" t="str">
        <f t="shared" si="12"/>
        <v/>
      </c>
      <c r="DG20" s="15" t="str">
        <f t="shared" si="13"/>
        <v/>
      </c>
      <c r="DH20" s="15"/>
      <c r="DI20" s="15"/>
      <c r="DJ20" s="15"/>
      <c r="DK20" s="15"/>
      <c r="DL20" s="15"/>
      <c r="DM20" s="15"/>
      <c r="DN20" s="15"/>
      <c r="DO20" s="15">
        <v>2</v>
      </c>
      <c r="DP20" s="15"/>
      <c r="DQ20" s="15"/>
      <c r="DR20" s="15"/>
      <c r="DS20" s="15"/>
      <c r="DT20" s="15"/>
      <c r="DU20" s="15"/>
      <c r="DV20" s="15"/>
      <c r="DW20" s="15"/>
      <c r="DX20" s="15"/>
      <c r="DY20" s="15"/>
      <c r="DZ20" s="15"/>
      <c r="EA20" s="15"/>
      <c r="EB20" s="15"/>
      <c r="EC20" s="15"/>
      <c r="ED20" s="15"/>
      <c r="EE20" s="15"/>
      <c r="EF20" s="15" t="str">
        <f t="array" ref="EF20">IFERROR(INDEX(EH20:FK20,MATCH(TRUE,INDEX((EH20:FK20&lt;&gt;""),),0)),"")</f>
        <v/>
      </c>
      <c r="EG20" s="15"/>
      <c r="EH20" s="15" t="str">
        <f t="shared" ref="EH20:FK20" si="22">IF(F19="Hybrid - Thrust + 2 connections",IF(COUNTIF($EH19:$FA19,EH19)&gt;1,EH19,""),IF(COUNTIF($EH19:$FA19,EH19)&gt;5,EH19,""))</f>
        <v/>
      </c>
      <c r="EI20" s="15" t="str">
        <f t="shared" si="22"/>
        <v/>
      </c>
      <c r="EJ20" s="15" t="str">
        <f t="shared" si="22"/>
        <v/>
      </c>
      <c r="EK20" s="15" t="str">
        <f t="shared" si="22"/>
        <v/>
      </c>
      <c r="EL20" s="15" t="str">
        <f t="shared" si="22"/>
        <v/>
      </c>
      <c r="EM20" s="15" t="str">
        <f t="shared" si="22"/>
        <v/>
      </c>
      <c r="EN20" s="15" t="str">
        <f t="shared" si="22"/>
        <v/>
      </c>
      <c r="EO20" s="15" t="str">
        <f t="shared" si="22"/>
        <v/>
      </c>
      <c r="EP20" s="15" t="str">
        <f t="shared" si="22"/>
        <v/>
      </c>
      <c r="EQ20" s="15" t="str">
        <f t="shared" si="22"/>
        <v/>
      </c>
      <c r="ER20" s="15" t="str">
        <f t="shared" si="22"/>
        <v/>
      </c>
      <c r="ES20" s="15" t="str">
        <f t="shared" si="22"/>
        <v/>
      </c>
      <c r="ET20" s="15" t="str">
        <f t="shared" si="22"/>
        <v/>
      </c>
      <c r="EU20" s="15" t="str">
        <f t="shared" si="22"/>
        <v/>
      </c>
      <c r="EV20" s="15" t="str">
        <f t="shared" si="22"/>
        <v/>
      </c>
      <c r="EW20" s="15" t="str">
        <f t="shared" si="22"/>
        <v/>
      </c>
      <c r="EX20" s="15" t="str">
        <f t="shared" si="22"/>
        <v/>
      </c>
      <c r="EY20" s="15" t="str">
        <f t="shared" si="22"/>
        <v/>
      </c>
      <c r="EZ20" s="15" t="str">
        <f t="shared" si="22"/>
        <v/>
      </c>
      <c r="FA20" s="15" t="str">
        <f t="shared" si="22"/>
        <v/>
      </c>
      <c r="FB20" s="15" t="str">
        <f t="shared" si="22"/>
        <v/>
      </c>
      <c r="FC20" s="15" t="str">
        <f t="shared" si="22"/>
        <v/>
      </c>
      <c r="FD20" s="15" t="str">
        <f t="shared" si="22"/>
        <v/>
      </c>
      <c r="FE20" s="15" t="str">
        <f t="shared" si="22"/>
        <v/>
      </c>
      <c r="FF20" s="15" t="str">
        <f t="shared" si="22"/>
        <v/>
      </c>
      <c r="FG20" s="15" t="str">
        <f t="shared" si="22"/>
        <v/>
      </c>
      <c r="FH20" s="15" t="str">
        <f t="shared" si="22"/>
        <v/>
      </c>
      <c r="FI20" s="15" t="str">
        <f t="shared" si="22"/>
        <v/>
      </c>
      <c r="FJ20" s="15" t="str">
        <f t="shared" si="22"/>
        <v/>
      </c>
      <c r="FK20" s="15" t="str">
        <f t="shared" si="22"/>
        <v/>
      </c>
      <c r="FL20" s="15">
        <v>0</v>
      </c>
      <c r="FM20" s="15" t="str">
        <f ca="1">OFFSET($FM$75,FL20,0)</f>
        <v/>
      </c>
      <c r="FN20" s="15" t="str">
        <f ca="1">OFFSET($FN$75,FL20,0)</f>
        <v/>
      </c>
      <c r="FO20" s="244"/>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6"/>
      <c r="GS20" s="15"/>
      <c r="GT20" s="15"/>
      <c r="GU20" s="15"/>
      <c r="GV20" s="15"/>
      <c r="GW20" s="15"/>
      <c r="GX20" s="15"/>
      <c r="GY20" s="15"/>
      <c r="GZ20" s="15"/>
      <c r="HA20" s="15" t="str">
        <f>IF($F19="Hybrid - Thrust + 2 connections",COUNTBLANK(J19:L19),"")</f>
        <v/>
      </c>
      <c r="HB20" s="15"/>
      <c r="HC20" s="5"/>
      <c r="HD20" s="5"/>
      <c r="HE20" s="5"/>
      <c r="HF20" s="5"/>
    </row>
    <row r="21" spans="1:214" ht="12.75" customHeight="1" x14ac:dyDescent="0.3">
      <c r="A21" s="118">
        <f>IF(AND(E19="",A19&lt;&gt;""),IF(CP19=$CP$18,"",IF(C19&lt;&gt;"",IF(D19=59,MINUTE(CP19)+1,MINUTE(CP19)),"")),"")</f>
        <v>0</v>
      </c>
      <c r="B21" s="119">
        <f>IF(AND(E19="",B19&lt;&gt;""),IF(CP19=$CP$18,"",IF(C19&lt;&gt;"",IF(D19=59,0,SECOND(CP19)+1),"")),"")</f>
        <v>40</v>
      </c>
      <c r="C21" s="119">
        <v>0</v>
      </c>
      <c r="D21" s="119">
        <v>52</v>
      </c>
      <c r="E21" s="119"/>
      <c r="F21" s="57"/>
      <c r="G21" s="120">
        <v>1</v>
      </c>
      <c r="H21" s="223" t="str">
        <f>IFERROR(IF(E22="3","",IF(OR(F21="Hybrid - min 4 swimmers (no DD)",LEFT(F21,5)="Trans"),"No DD",CONCATENATE("BM = ",I22))),"")</f>
        <v/>
      </c>
      <c r="I21" s="224"/>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2"/>
      <c r="AO21" s="123"/>
      <c r="AP21" s="52"/>
      <c r="AQ21" s="52"/>
      <c r="AR21" s="12"/>
      <c r="AS21" s="12"/>
      <c r="AT21" s="12"/>
      <c r="AU21" s="12"/>
      <c r="AV21" s="12"/>
      <c r="AW21" s="12"/>
      <c r="AX21" s="12"/>
      <c r="AY21" s="12"/>
      <c r="AZ21" s="12"/>
      <c r="BA21" s="12"/>
      <c r="BB21" s="12"/>
      <c r="BC21" s="12"/>
      <c r="BD21" s="12"/>
      <c r="BE21" s="12"/>
      <c r="BF21" s="12"/>
      <c r="BG21" s="12" t="str">
        <f t="array" ref="BG21">IFERROR(IF(F21&lt;&gt;"",INDEX(Parts_Active,MATCH(F21,Parts_Active,0)),""),"No")</f>
        <v/>
      </c>
      <c r="BH21" s="12"/>
      <c r="BI21" s="12" t="str">
        <f>IF($E22="H",IF($F21="Hybrid - Thrust + 2 connections","Hybrid_Mix_Req",IF($F21="Hybrid - min 4 swimmers (no DD)","Hybrid_ChoHY","HybridDD_Code")),IF($E22=3,"TreDD_Code",IF($E22="PA","AcroPair_Code",IF(LEFT($F21,4)="Acro",CONCATENATE(BI$16,$E22,"_Code"),"Data!$BI$1:$BI$5"))))</f>
        <v>Data!$BI$1:$BI$5</v>
      </c>
      <c r="BJ21" s="12" t="str">
        <f t="shared" ref="BJ21:BQ21" si="23">IF($E22="H",IF($F21="Hybrid - Thrust + 2 connections","Hybrid_Mix_Req",IF($F21="Hybrid - min 4 swimmers (no DD)","Data!$BI$1:$BI$5","HybridDD_Code")),IF($E22=3,"TreDD_Code",IF($E22="PA","AcroPair_Code",IF(LEFT($F21,4)="Acro",CONCATENATE(BJ$16,$E22,"_Code"),"Data!$BI$1:$BI$5"))))</f>
        <v>Data!$BI$1:$BI$5</v>
      </c>
      <c r="BK21" s="12" t="str">
        <f t="shared" si="23"/>
        <v>Data!$BI$1:$BI$5</v>
      </c>
      <c r="BL21" s="12" t="str">
        <f t="shared" si="23"/>
        <v>Data!$BI$1:$BI$5</v>
      </c>
      <c r="BM21" s="12" t="str">
        <f t="shared" si="23"/>
        <v>Data!$BI$1:$BI$5</v>
      </c>
      <c r="BN21" s="12" t="str">
        <f t="shared" si="23"/>
        <v>Data!$BI$1:$BI$5</v>
      </c>
      <c r="BO21" s="12" t="str">
        <f t="shared" si="23"/>
        <v>Data!$BI$1:$BI$5</v>
      </c>
      <c r="BP21" s="12" t="str">
        <f t="shared" si="23"/>
        <v>Data!$BI$1:$BI$5</v>
      </c>
      <c r="BQ21" s="12" t="str">
        <f t="shared" si="23"/>
        <v>Data!$BI$1:$BI$5</v>
      </c>
      <c r="BR21" s="12" t="str">
        <f>IF($E22="H",IF($F21="Hybrid - Thrust + 2 connections","Data!$BI$1:$BI$5","HybridDD_Code"),"Data!$BI$1:$BI$5")</f>
        <v>Data!$BI$1:$BI$5</v>
      </c>
      <c r="BS21" s="12" t="str">
        <f t="shared" ref="BS21:CL21" si="24">$BR21</f>
        <v>Data!$BI$1:$BI$5</v>
      </c>
      <c r="BT21" s="12" t="str">
        <f t="shared" si="24"/>
        <v>Data!$BI$1:$BI$5</v>
      </c>
      <c r="BU21" s="12" t="str">
        <f t="shared" si="24"/>
        <v>Data!$BI$1:$BI$5</v>
      </c>
      <c r="BV21" s="12" t="str">
        <f t="shared" si="24"/>
        <v>Data!$BI$1:$BI$5</v>
      </c>
      <c r="BW21" s="12" t="str">
        <f t="shared" si="24"/>
        <v>Data!$BI$1:$BI$5</v>
      </c>
      <c r="BX21" s="12" t="str">
        <f t="shared" si="24"/>
        <v>Data!$BI$1:$BI$5</v>
      </c>
      <c r="BY21" s="12" t="str">
        <f t="shared" si="24"/>
        <v>Data!$BI$1:$BI$5</v>
      </c>
      <c r="BZ21" s="12" t="str">
        <f t="shared" si="24"/>
        <v>Data!$BI$1:$BI$5</v>
      </c>
      <c r="CA21" s="12" t="str">
        <f t="shared" si="24"/>
        <v>Data!$BI$1:$BI$5</v>
      </c>
      <c r="CB21" s="12" t="str">
        <f t="shared" si="24"/>
        <v>Data!$BI$1:$BI$5</v>
      </c>
      <c r="CC21" s="12" t="str">
        <f t="shared" si="24"/>
        <v>Data!$BI$1:$BI$5</v>
      </c>
      <c r="CD21" s="12" t="str">
        <f t="shared" si="24"/>
        <v>Data!$BI$1:$BI$5</v>
      </c>
      <c r="CE21" s="12" t="str">
        <f t="shared" si="24"/>
        <v>Data!$BI$1:$BI$5</v>
      </c>
      <c r="CF21" s="12" t="str">
        <f t="shared" si="24"/>
        <v>Data!$BI$1:$BI$5</v>
      </c>
      <c r="CG21" s="12" t="str">
        <f t="shared" si="24"/>
        <v>Data!$BI$1:$BI$5</v>
      </c>
      <c r="CH21" s="12" t="str">
        <f t="shared" si="24"/>
        <v>Data!$BI$1:$BI$5</v>
      </c>
      <c r="CI21" s="12" t="str">
        <f t="shared" si="24"/>
        <v>Data!$BI$1:$BI$5</v>
      </c>
      <c r="CJ21" s="12" t="str">
        <f t="shared" si="24"/>
        <v>Data!$BI$1:$BI$5</v>
      </c>
      <c r="CK21" s="12" t="str">
        <f t="shared" si="24"/>
        <v>Data!$BI$1:$BI$5</v>
      </c>
      <c r="CL21" s="12" t="str">
        <f t="shared" si="24"/>
        <v>Data!$BI$1:$BI$5</v>
      </c>
      <c r="CM21" s="12"/>
      <c r="CN21" s="12"/>
      <c r="CO21" s="63">
        <f>IFERROR(TIME(0,A21,B21),"")</f>
        <v>4.6296296296296298E-4</v>
      </c>
      <c r="CP21" s="63">
        <f>IFERROR(TIME(0,C21,D21),"")</f>
        <v>6.018518518518519E-4</v>
      </c>
      <c r="CQ21" s="63" t="str">
        <f>IF(CP21&gt;$D$12,"X","")</f>
        <v/>
      </c>
      <c r="CR21" s="15" t="str">
        <f>IF(AND(F21="Hybrid - Thrust + 2 connections",OR(LEFT(J21,1)="T",LEFT(K21,1)="T",LEFT(L21,1)="T",LEFT(OY21,1)="T",LEFT(M21,1)="T",LEFT(N21,1)="T",LEFT(O21,1)="T",LEFT(P21,1)="T",LEFT(Q21,1)="T",LEFT(R21,1)="T",LEFT(S21,1)="T",LEFT(T21,1)="T",LEFT(U21,1)="T",LEFT(V21,1)="T",LEFT(W21,1)="T",LEFT(X21,1)="T",LEFT(AK21,1)="T",LEFT(AL21,1)="T",LEFT(AM21,1)="T")),IF(OR(LEN(J21)=2,LEN(K21)=2,LEN(L21)=2,LEN(M21)=2,LEN(N21)=2,LEN(O21)=2,LEN(P21)=2,LEN(Q21)=2,LEN(R21)=2,LEN(S21)=2,LEN(T21)=2,LEN(U21)=2,LEN(V21)=2,LEN(W21)=2,LEN(X21)=2,LEN(Y21)=2,LEN(Z21)=2,LEN(AK21)=2,LEN(AL21)=2,LEN(AM21)=2),"X",""),"")</f>
        <v/>
      </c>
      <c r="CS21" s="15"/>
      <c r="CT21" s="15" t="str">
        <f>IF(LEFT(F21,4)="Acro",IF(AND(N21&lt;&gt;"",M21=RIGHT(N21,2)),"X","OK"),"")</f>
        <v/>
      </c>
      <c r="CU21" s="12" t="str">
        <f t="array" ref="CU21">IFERROR(IF(AND(LEFT($F21,4)="Acro",INDEX(Requ_App,MATCH(BI21,Requ_Code,0))="No"),"X",""),"")</f>
        <v/>
      </c>
      <c r="CV21" s="12" t="str">
        <f t="array" ref="CV21">IFERROR(IF(AND(LEFT($F21,4)="Acro",INDEX(Requ_App,MATCH(BJ21,Requ_Code,0))="No"),"X",""),"")</f>
        <v/>
      </c>
      <c r="CW21" s="12" t="str">
        <f t="array" ref="CW21">IFERROR(IF(AND(LEFT($F21,4)="Acro",INDEX(Requ_App,MATCH(BK21,Requ_Code,0))="No"),"X",""),"")</f>
        <v/>
      </c>
      <c r="CX21" s="12" t="str">
        <f t="array" ref="CX21">IFERROR(IF(AND(LEFT($F21,4)="Acro",INDEX(Requ_App,MATCH(BL21,Requ_Code,0))="No"),"X",""),"")</f>
        <v/>
      </c>
      <c r="CY21" s="12" t="str">
        <f t="array" ref="CY21">IFERROR(IF(AND(LEFT($F21,4)="Acro",INDEX(Requ_App,MATCH(BM21,Requ_Code,0))="No"),"X",""),"")</f>
        <v/>
      </c>
      <c r="CZ21" s="12" t="str">
        <f t="array" ref="CZ21">IFERROR(IF(AND(LEFT($F21,4)="Acro",INDEX(Requ_App,MATCH(BN21,Requ_Code,0))="No"),"X",""),"")</f>
        <v/>
      </c>
      <c r="DA21" s="12" t="str">
        <f t="array" ref="DA21">IFERROR(IF(AND(LEFT($F21,4)="Acro",INDEX(Requ_App,MATCH(BO21,Requ_Code,0))="No"),"X",""),"")</f>
        <v/>
      </c>
      <c r="DB21" s="12" t="str">
        <f t="array" ref="DB21">IFERROR(IF(AND(LEFT($F21,4)="Acro",INDEX(Requ_App,MATCH(BP21,Requ_Code,0))="No"),"X",""),"")</f>
        <v/>
      </c>
      <c r="DC21" s="12" t="str">
        <f t="array" ref="DC21">IFERROR(IF(AND(LEFT($F21,4)="Acro",INDEX(Requ_App,MATCH(BP21,Requ_Code,0))="No"),"X",""),"")</f>
        <v/>
      </c>
      <c r="DD21" s="15" t="str">
        <f t="shared" si="10"/>
        <v/>
      </c>
      <c r="DE21" s="15" t="str">
        <f t="shared" si="11"/>
        <v/>
      </c>
      <c r="DF21" s="15" t="str">
        <f t="shared" si="12"/>
        <v/>
      </c>
      <c r="DG21" s="15" t="str">
        <f t="shared" si="13"/>
        <v/>
      </c>
      <c r="DH21" s="15"/>
      <c r="DI21" s="15"/>
      <c r="DJ21" s="15"/>
      <c r="DK21" s="15">
        <f>IF(AND(E22="A",OR(Q21="Grip",Q21="Conn",Q21="Catch")),"A1",IF(AND(E22="A",OR(Q21="Hula",Q21="RetSq",Q21="RetPa")),"A2",IF(AND(E22="B",OR(Q21="Twirl",Q21="RotF")),"B1",IF(AND(E22="B",OR(Q21="Moon",Q21="Mov")),"B2",IF(AND(E22="B",Q21="Hold"),"B3",IF(AND(E22="P",OR(Q21="Porp",Q21="Spitch")),"P1",IF(AND(E22="P",OR(Q21="Dive",Q21="Ps1",Q21="Ps1t0.5",Q21="Ps1op",Q21="Ps1t0,5o",Q21="Ps1t1",Q21="CH+")),"P2",IF(AND(E22="P",OR(Q21="Spider",Q21="Climb")),"P3",IF(AND(E22="P",OR(Q21="Fall",Q21="FTurn")),"P4",IF(AND(E22="C",OR(Q21="Jump",Q21="Jump&gt;",Q21="On1Foot",Q21="1F&gt;1F")),"C1",IF(AND(E22="C",OR(Q21="Run",Q21="BRun")),"C2",1)))))))))))</f>
        <v>1</v>
      </c>
      <c r="DL21" s="15">
        <f>IF(AND(E22="A",OR(R21="Grip",R21="Conn",R21="Catch")),"A1",IF(AND(E22="A",OR(R21="Hula",R21="RetSq",R21="RetPa")),"A2",IF(AND(E22="B",OR(R21="Twirl",R21="RotF")),"B1",IF(AND(E22="B",OR(R21="Moon",R21="Mov")),"B3",IF(AND(E22="B",R21="Hold"),"B2",IF(AND(E22="P",OR(R21="Porp",R21="Spitch")),"P1",IF(AND(E22="P",OR(R21="Dive",R21="Ps1",R21="Ps1t0.5",R21="Ps1op",R21="Ps1t0,5o",R21="Ps1t1",R21="CH+")),"P2",IF(AND(E22="P",OR(R21="Spider",R21="Climb")),"P3",IF(AND(E22="P",OR(R21="Fall",R21="FTurn")),"P4",IF(AND(E22="C",OR(R21="Jump",R21="Jump&gt;",R21="On1Foot",R21="1F&gt;1F")),"C1",IF(AND(E22="C",OR(R21="Run",R21="BRun")),"C2",2)))))))))))</f>
        <v>2</v>
      </c>
      <c r="DM21" s="15" t="str">
        <f>IF(AND(LEFT(F21,4)="Acro",Q21&lt;&gt;"",OR(Q21=R21,DK21=DL21)),IF(R21="C-Roll","","X"),IF(OR(AND(E22="A",Q21="Catch",R21&lt;&gt;"Dbl"),AND(E22="A",R21="Catch",Q21&lt;&gt;"Dbl")),"X",""))</f>
        <v/>
      </c>
      <c r="DN21" s="15" t="str">
        <f>IF(E22="PA",J21,"")</f>
        <v/>
      </c>
      <c r="DO21" s="15">
        <v>3</v>
      </c>
      <c r="DP21" s="15"/>
      <c r="DQ21" s="15" t="str">
        <f t="shared" ref="DQ21:DR21" si="25">IF(AND($E22="A",COUNTIF($DZ$19:$EA$68,DZ21)&gt;1),DZ21,"")</f>
        <v/>
      </c>
      <c r="DR21" s="15" t="str">
        <f t="shared" si="25"/>
        <v/>
      </c>
      <c r="DS21" s="15" t="str">
        <f ca="1">IF(AND($E22="B",COUNTIF($J$19:$J$68,J21)&gt;1),J21,"")</f>
        <v/>
      </c>
      <c r="DT21" s="15" t="str">
        <f ca="1">IF(AND($E22="B",COUNTIF($K$19:$K$68,K21)&gt;1),K21,"")</f>
        <v/>
      </c>
      <c r="DU21" s="15" t="str">
        <f ca="1">IF(AND($E22="C",COUNTIF($J$19:$J$68,J21)&gt;1),J21,"")</f>
        <v/>
      </c>
      <c r="DV21" s="15" t="str">
        <f ca="1">IF(AND($E22="P",COUNTIF($J$19:$J$68,J21)&gt;1),J21,"")</f>
        <v/>
      </c>
      <c r="DW21" s="15" t="str">
        <f ca="1">IF(AND($E22="P",COUNTIF($K$19:$K$68,K21)&gt;1),K21,"")</f>
        <v/>
      </c>
      <c r="DX21" s="15" t="str">
        <f t="shared" ref="DX21:DY21" si="26">IF(AND($E22="P",COUNTIF($DZ$19:$EA$68,DZ21)&gt;1),DZ21,"")</f>
        <v/>
      </c>
      <c r="DY21" s="15" t="str">
        <f t="shared" si="26"/>
        <v/>
      </c>
      <c r="DZ21" s="15" t="str">
        <f>IFERROR(IF(OR(E22="A",E22="P"),M21,""),"")</f>
        <v/>
      </c>
      <c r="EA21" s="15" t="str">
        <f>IFERROR(IF(OR(E22="A",E22="P"),RIGHT(N21,2),""),"")</f>
        <v/>
      </c>
      <c r="EB21" s="15"/>
      <c r="EC21" s="15" t="str">
        <f>IF(AND($F$8="Open Team Acrobatic",LEFT(F21,4)="Acro"),E22,"")</f>
        <v/>
      </c>
      <c r="ED21" s="15" t="str">
        <f>IFERROR(IF(HLOOKUP(EC21,$DQ$12:$DT$13,2,FALSE)&gt;2,"X",""),"")</f>
        <v/>
      </c>
      <c r="EE21" s="15"/>
      <c r="EF21" s="15" t="str">
        <f>IF(OR(AND(F21="Hybrid - Thrust + 2 connections",EF22="T"),AND(E22="H",EF22&lt;&gt;"")),"X","")</f>
        <v/>
      </c>
      <c r="EG21" s="15"/>
      <c r="EH21" s="15">
        <f t="shared" ref="EH21:EX21" si="27">IFERROR(IF(AND($E22="H",J21&lt;&gt;""),IF(OR(LEFT(J21,1)="T",LEFT(J21,1)="S",LEFT(J21,1)="A",LEFT(J21,1)="F",LEFT(J21,1)="C"),LEFT(J21,1),"R"),EH$18),"")</f>
        <v>1</v>
      </c>
      <c r="EI21" s="15">
        <f t="shared" si="27"/>
        <v>2</v>
      </c>
      <c r="EJ21" s="15">
        <f t="shared" si="27"/>
        <v>3</v>
      </c>
      <c r="EK21" s="15">
        <f t="shared" si="27"/>
        <v>4</v>
      </c>
      <c r="EL21" s="15">
        <f t="shared" si="27"/>
        <v>5</v>
      </c>
      <c r="EM21" s="15">
        <f t="shared" si="27"/>
        <v>6</v>
      </c>
      <c r="EN21" s="15">
        <f t="shared" si="27"/>
        <v>7</v>
      </c>
      <c r="EO21" s="15">
        <f t="shared" si="27"/>
        <v>8</v>
      </c>
      <c r="EP21" s="15">
        <f t="shared" si="27"/>
        <v>9</v>
      </c>
      <c r="EQ21" s="15">
        <f t="shared" si="27"/>
        <v>10</v>
      </c>
      <c r="ER21" s="15">
        <f t="shared" si="27"/>
        <v>11</v>
      </c>
      <c r="ES21" s="15">
        <f t="shared" si="27"/>
        <v>12</v>
      </c>
      <c r="ET21" s="15">
        <f t="shared" si="27"/>
        <v>13</v>
      </c>
      <c r="EU21" s="15">
        <f t="shared" si="27"/>
        <v>14</v>
      </c>
      <c r="EV21" s="15">
        <f t="shared" si="27"/>
        <v>15</v>
      </c>
      <c r="EW21" s="15">
        <f t="shared" si="27"/>
        <v>16</v>
      </c>
      <c r="EX21" s="15">
        <f t="shared" si="27"/>
        <v>17</v>
      </c>
      <c r="EY21" s="15">
        <f t="shared" ref="EY21:FK21" si="28">IFERROR(IF(AND($E22="H",AK21&lt;&gt;""),IF(OR(LEFT(AK21,1)="T",LEFT(AK21,1)="S",LEFT(AK21,1)="A",LEFT(AK21,1)="F",LEFT(AK21,1)="C"),LEFT(AK21,1),"R"),EY$18),"")</f>
        <v>18</v>
      </c>
      <c r="EZ21" s="15">
        <f t="shared" si="28"/>
        <v>19</v>
      </c>
      <c r="FA21" s="15">
        <f t="shared" si="28"/>
        <v>20</v>
      </c>
      <c r="FB21" s="15">
        <f t="shared" si="28"/>
        <v>21</v>
      </c>
      <c r="FC21" s="15">
        <f t="shared" si="28"/>
        <v>22</v>
      </c>
      <c r="FD21" s="15">
        <f t="shared" si="28"/>
        <v>23</v>
      </c>
      <c r="FE21" s="15">
        <f t="shared" si="28"/>
        <v>24</v>
      </c>
      <c r="FF21" s="15">
        <f t="shared" si="28"/>
        <v>25</v>
      </c>
      <c r="FG21" s="15">
        <f t="shared" si="28"/>
        <v>26</v>
      </c>
      <c r="FH21" s="15">
        <f t="shared" si="28"/>
        <v>27</v>
      </c>
      <c r="FI21" s="15">
        <f t="shared" si="28"/>
        <v>28</v>
      </c>
      <c r="FJ21" s="15">
        <f t="shared" si="28"/>
        <v>29</v>
      </c>
      <c r="FK21" s="15">
        <f t="shared" si="28"/>
        <v>30</v>
      </c>
      <c r="FL21" s="15"/>
      <c r="FM21" s="15"/>
      <c r="FN21" s="15"/>
      <c r="FO21" s="244"/>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6"/>
      <c r="GS21" s="15"/>
      <c r="GT21" s="15">
        <f t="shared" ref="GT21:GY21" si="29">COUNTIF($EH21:$FK21,GT$18)</f>
        <v>0</v>
      </c>
      <c r="GU21" s="15">
        <f t="shared" si="29"/>
        <v>0</v>
      </c>
      <c r="GV21" s="15">
        <f t="shared" si="29"/>
        <v>0</v>
      </c>
      <c r="GW21" s="15">
        <f t="shared" si="29"/>
        <v>0</v>
      </c>
      <c r="GX21" s="15">
        <f t="shared" si="29"/>
        <v>0</v>
      </c>
      <c r="GY21" s="15">
        <f t="shared" si="29"/>
        <v>0</v>
      </c>
      <c r="GZ21" s="15"/>
      <c r="HA21" s="15" t="str">
        <f>IF(AND($F21="Hybrid - Thrust + 2 connections",HA22=0,LEFT($J21,1)="C",LEFT($K21,1)="C",LEFT($L21,1)="C"),"X","")</f>
        <v/>
      </c>
      <c r="HB21" s="15"/>
      <c r="HC21" s="5"/>
      <c r="HD21" s="124"/>
      <c r="HE21" s="124"/>
      <c r="HF21" s="5" t="str">
        <f>IF(E22=3,_xludf.NUMBERVALUE(LEFT(J21,1)),"")</f>
        <v/>
      </c>
    </row>
    <row r="22" spans="1:214" ht="12.75" customHeight="1" x14ac:dyDescent="0.3">
      <c r="A22" s="118"/>
      <c r="B22" s="119"/>
      <c r="C22" s="119"/>
      <c r="D22" s="119"/>
      <c r="E22" s="50" t="str">
        <f>IF(F21="Acrobatic - Pair","PA",IF(F21="Acrobatic Airborn","A",IF(F21="Acrobatic Balance","B",IF(F21="Acrobatic Combined","C",IF(F21="Acrobatic Platform","P",IF(F21="Technical Required Element",3,IF(LEFT(F21,4)="Hybr","H","")))))))</f>
        <v/>
      </c>
      <c r="F22" s="125" t="s">
        <v>135</v>
      </c>
      <c r="G22" s="120"/>
      <c r="H22" s="126" t="str">
        <f>IF(E22="PA",IF(OR(LEFT(J21,1)="L",LEFT(J21,1)="S"),"A-Pair-Lift",IF(OR(LEFT(J21,1)="W",LEFT(J21,1)="T"),"A-Pair-Throw",IF(LEFT(J21,1)="J","A-Pair-Jump","A-Pair"))),IF(OR(E22="A",E22="B",E22="C",E22="P"),CONCATENATE("Acro-",E22),""))</f>
        <v/>
      </c>
      <c r="I22" s="127" t="e">
        <f t="array" ref="I22">IF(OR(F21="Hybrid - min 4 swimmers (no DD)",LEFT(F21,5)="Trans"),0,INDEX($BY$3:$BY$9,MATCH(E22,$BX$3:$BX$9,0)))</f>
        <v>#N/A</v>
      </c>
      <c r="J22" s="128">
        <f t="array" aca="1" ref="J22" ca="1">IFERROR(IF($H21="No DD",IF(J21="ChoHY",1,0),IF(OR(ISBLANK(J21),J21="N/A"),0,INDEX(INDIRECT(BI22),MATCH(J21,INDIRECT(BI21),0)))),0)</f>
        <v>0</v>
      </c>
      <c r="K22" s="128">
        <f t="shared" ref="K22:AM22" ca="1" si="30">IFERROR(IF($H21="No DD",0,IF(OR(ISBLANK(K21),K21="N/A"),0,INDEX(INDIRECT(BJ22),MATCH(K21,INDIRECT(BJ21),0)))),0)</f>
        <v>0</v>
      </c>
      <c r="L22" s="128">
        <f t="shared" ca="1" si="30"/>
        <v>0</v>
      </c>
      <c r="M22" s="128">
        <f t="shared" ca="1" si="30"/>
        <v>0</v>
      </c>
      <c r="N22" s="128">
        <f t="shared" ca="1" si="30"/>
        <v>0</v>
      </c>
      <c r="O22" s="128">
        <f t="shared" ca="1" si="30"/>
        <v>0</v>
      </c>
      <c r="P22" s="128">
        <f t="shared" ca="1" si="30"/>
        <v>0</v>
      </c>
      <c r="Q22" s="128">
        <f t="shared" ca="1" si="30"/>
        <v>0</v>
      </c>
      <c r="R22" s="128">
        <f t="shared" ca="1" si="30"/>
        <v>0</v>
      </c>
      <c r="S22" s="128">
        <f t="shared" ca="1" si="30"/>
        <v>0</v>
      </c>
      <c r="T22" s="128">
        <f t="shared" ca="1" si="30"/>
        <v>0</v>
      </c>
      <c r="U22" s="128">
        <f t="shared" ca="1" si="30"/>
        <v>0</v>
      </c>
      <c r="V22" s="128">
        <f t="shared" ca="1" si="30"/>
        <v>0</v>
      </c>
      <c r="W22" s="128">
        <f t="shared" ca="1" si="30"/>
        <v>0</v>
      </c>
      <c r="X22" s="128">
        <f t="shared" ca="1" si="30"/>
        <v>0</v>
      </c>
      <c r="Y22" s="128">
        <f t="shared" ca="1" si="30"/>
        <v>0</v>
      </c>
      <c r="Z22" s="128">
        <f t="shared" ca="1" si="30"/>
        <v>0</v>
      </c>
      <c r="AA22" s="128">
        <f t="shared" ca="1" si="30"/>
        <v>0</v>
      </c>
      <c r="AB22" s="128">
        <f t="shared" ca="1" si="30"/>
        <v>0</v>
      </c>
      <c r="AC22" s="128">
        <f t="shared" ca="1" si="30"/>
        <v>0</v>
      </c>
      <c r="AD22" s="128">
        <f t="shared" ca="1" si="30"/>
        <v>0</v>
      </c>
      <c r="AE22" s="128">
        <f t="shared" ca="1" si="30"/>
        <v>0</v>
      </c>
      <c r="AF22" s="128">
        <f t="shared" ca="1" si="30"/>
        <v>0</v>
      </c>
      <c r="AG22" s="128">
        <f t="shared" ca="1" si="30"/>
        <v>0</v>
      </c>
      <c r="AH22" s="128">
        <f t="shared" ca="1" si="30"/>
        <v>0</v>
      </c>
      <c r="AI22" s="128">
        <f t="shared" ca="1" si="30"/>
        <v>0</v>
      </c>
      <c r="AJ22" s="128">
        <f t="shared" ca="1" si="30"/>
        <v>0</v>
      </c>
      <c r="AK22" s="128">
        <f t="shared" ca="1" si="30"/>
        <v>0</v>
      </c>
      <c r="AL22" s="128">
        <f t="shared" ca="1" si="30"/>
        <v>0</v>
      </c>
      <c r="AM22" s="128">
        <f t="shared" ca="1" si="30"/>
        <v>0</v>
      </c>
      <c r="AN22" s="129" t="str">
        <f t="array" ref="AN22">IFERROR(IF(E22="H",INDEX(HybridBonus_Value,MATCH(AN21,HybridBonus_Code,0)),""),"")</f>
        <v/>
      </c>
      <c r="AO22" s="130" t="str">
        <f>IFERROR(SUM(I22:AN22),"")</f>
        <v/>
      </c>
      <c r="AP22" s="132"/>
      <c r="AQ22" s="132"/>
      <c r="AR22" s="131"/>
      <c r="AS22" s="131"/>
      <c r="AT22" s="131"/>
      <c r="AU22" s="131"/>
      <c r="AV22" s="131"/>
      <c r="AW22" s="131"/>
      <c r="AX22" s="131"/>
      <c r="AY22" s="131"/>
      <c r="AZ22" s="131"/>
      <c r="BA22" s="131"/>
      <c r="BB22" s="131"/>
      <c r="BC22" s="131"/>
      <c r="BD22" s="131"/>
      <c r="BE22" s="131"/>
      <c r="BF22" s="131"/>
      <c r="BG22" s="12"/>
      <c r="BH22" s="131"/>
      <c r="BI22" s="5" t="str">
        <f t="shared" ref="BI22:BQ22" si="31">IF($E22="H",IF($F21="Hybrid - Thrust + 2 connections","Hybrid_Mix_Req_Value","HybridDD_Value"),IF($E22=3,"TreDD_Value",IF($E22="PA","AcroPair_Value",IF(LEFT($F21,4)="Acro",CONCATENATE(BI$16,$E22,"_Value"),""))))</f>
        <v/>
      </c>
      <c r="BJ22" s="5" t="str">
        <f t="shared" si="31"/>
        <v/>
      </c>
      <c r="BK22" s="5" t="str">
        <f t="shared" si="31"/>
        <v/>
      </c>
      <c r="BL22" s="5" t="str">
        <f t="shared" si="31"/>
        <v/>
      </c>
      <c r="BM22" s="5" t="str">
        <f t="shared" si="31"/>
        <v/>
      </c>
      <c r="BN22" s="5" t="str">
        <f t="shared" si="31"/>
        <v/>
      </c>
      <c r="BO22" s="5" t="str">
        <f t="shared" si="31"/>
        <v/>
      </c>
      <c r="BP22" s="5" t="str">
        <f t="shared" si="31"/>
        <v/>
      </c>
      <c r="BQ22" s="5" t="str">
        <f t="shared" si="31"/>
        <v/>
      </c>
      <c r="BR22" s="12" t="str">
        <f t="shared" ref="BR22:CL22" si="32">IF($E22="H",IF($F21="Hybrid - Thrust + 2 connections","Data!$BI$1:$BI$5","HybridDD_Value"),"Data!$BI$1:$BI$5")</f>
        <v>Data!$BI$1:$BI$5</v>
      </c>
      <c r="BS22" s="12" t="str">
        <f t="shared" si="32"/>
        <v>Data!$BI$1:$BI$5</v>
      </c>
      <c r="BT22" s="12" t="str">
        <f t="shared" si="32"/>
        <v>Data!$BI$1:$BI$5</v>
      </c>
      <c r="BU22" s="12" t="str">
        <f t="shared" si="32"/>
        <v>Data!$BI$1:$BI$5</v>
      </c>
      <c r="BV22" s="12" t="str">
        <f t="shared" si="32"/>
        <v>Data!$BI$1:$BI$5</v>
      </c>
      <c r="BW22" s="12" t="str">
        <f t="shared" si="32"/>
        <v>Data!$BI$1:$BI$5</v>
      </c>
      <c r="BX22" s="12" t="str">
        <f t="shared" si="32"/>
        <v>Data!$BI$1:$BI$5</v>
      </c>
      <c r="BY22" s="12" t="str">
        <f t="shared" si="32"/>
        <v>Data!$BI$1:$BI$5</v>
      </c>
      <c r="BZ22" s="12" t="str">
        <f t="shared" si="32"/>
        <v>Data!$BI$1:$BI$5</v>
      </c>
      <c r="CA22" s="12" t="str">
        <f t="shared" si="32"/>
        <v>Data!$BI$1:$BI$5</v>
      </c>
      <c r="CB22" s="12" t="str">
        <f t="shared" si="32"/>
        <v>Data!$BI$1:$BI$5</v>
      </c>
      <c r="CC22" s="12" t="str">
        <f t="shared" si="32"/>
        <v>Data!$BI$1:$BI$5</v>
      </c>
      <c r="CD22" s="12" t="str">
        <f t="shared" si="32"/>
        <v>Data!$BI$1:$BI$5</v>
      </c>
      <c r="CE22" s="12" t="str">
        <f t="shared" si="32"/>
        <v>Data!$BI$1:$BI$5</v>
      </c>
      <c r="CF22" s="12" t="str">
        <f t="shared" si="32"/>
        <v>Data!$BI$1:$BI$5</v>
      </c>
      <c r="CG22" s="12" t="str">
        <f t="shared" si="32"/>
        <v>Data!$BI$1:$BI$5</v>
      </c>
      <c r="CH22" s="12" t="str">
        <f t="shared" si="32"/>
        <v>Data!$BI$1:$BI$5</v>
      </c>
      <c r="CI22" s="12" t="str">
        <f t="shared" si="32"/>
        <v>Data!$BI$1:$BI$5</v>
      </c>
      <c r="CJ22" s="12" t="str">
        <f t="shared" si="32"/>
        <v>Data!$BI$1:$BI$5</v>
      </c>
      <c r="CK22" s="12" t="str">
        <f t="shared" si="32"/>
        <v>Data!$BI$1:$BI$5</v>
      </c>
      <c r="CL22" s="12" t="str">
        <f t="shared" si="32"/>
        <v>Data!$BI$1:$BI$5</v>
      </c>
      <c r="CM22" s="131"/>
      <c r="CN22" s="131"/>
      <c r="CO22" s="124" t="str">
        <f>IFERROR(IF(AND($BV$6="T",$BV$8="T",LEFT(F21,4)="Acro",AO22&gt;3),"X",IF($N$7="X",IF(AND(E22="C",AO22&gt;$CN$6),"X",IF(AND(E22="A",AO22&gt;$CN$4),"X",IF(AND(E22="B",AO22&gt;$CN$5),"X",IF(AND(E22="P",AO22&gt;$CN$7),"X","")))),"")),"")</f>
        <v/>
      </c>
      <c r="CP22" s="63"/>
      <c r="CQ22" s="5"/>
      <c r="CR22" s="15"/>
      <c r="CS22" s="5"/>
      <c r="CT22" s="5"/>
      <c r="CU22" s="5"/>
      <c r="CV22" s="5"/>
      <c r="CW22" s="5"/>
      <c r="CX22" s="5"/>
      <c r="CY22" s="5"/>
      <c r="CZ22" s="5"/>
      <c r="DA22" s="15"/>
      <c r="DB22" s="15"/>
      <c r="DC22" s="15"/>
      <c r="DD22" s="15" t="str">
        <f t="shared" si="10"/>
        <v/>
      </c>
      <c r="DE22" s="15" t="str">
        <f t="shared" si="11"/>
        <v/>
      </c>
      <c r="DF22" s="15" t="str">
        <f t="shared" si="12"/>
        <v/>
      </c>
      <c r="DG22" s="15" t="str">
        <f t="shared" si="13"/>
        <v/>
      </c>
      <c r="DH22" s="15"/>
      <c r="DI22" s="15"/>
      <c r="DJ22" s="15"/>
      <c r="DK22" s="15"/>
      <c r="DL22" s="15"/>
      <c r="DM22" s="15"/>
      <c r="DN22" s="15"/>
      <c r="DO22" s="15">
        <v>4</v>
      </c>
      <c r="DP22" s="15"/>
      <c r="DQ22" s="15"/>
      <c r="DR22" s="15"/>
      <c r="DS22" s="15"/>
      <c r="DT22" s="15"/>
      <c r="DU22" s="15"/>
      <c r="DV22" s="15"/>
      <c r="DW22" s="15"/>
      <c r="DX22" s="15"/>
      <c r="DY22" s="15"/>
      <c r="DZ22" s="15"/>
      <c r="EA22" s="15"/>
      <c r="EB22" s="15"/>
      <c r="EC22" s="15"/>
      <c r="ED22" s="15"/>
      <c r="EE22" s="15"/>
      <c r="EF22" s="15" t="str">
        <f t="array" ref="EF22">IFERROR(INDEX(EH22:FK22,MATCH(TRUE,INDEX((EH22:FK22&lt;&gt;""),),0)),"")</f>
        <v/>
      </c>
      <c r="EG22" s="15"/>
      <c r="EH22" s="15" t="str">
        <f t="shared" ref="EH22:FK22" si="33">IF(F21="Hybrid - Thrust + 2 connections",IF(COUNTIF($EH21:$FA21,EH21)&gt;1,EH21,""),IF(COUNTIF($EH21:$FA21,EH21)&gt;5,EH21,""))</f>
        <v/>
      </c>
      <c r="EI22" s="15" t="str">
        <f t="shared" si="33"/>
        <v/>
      </c>
      <c r="EJ22" s="15" t="str">
        <f t="shared" si="33"/>
        <v/>
      </c>
      <c r="EK22" s="15" t="str">
        <f t="shared" si="33"/>
        <v/>
      </c>
      <c r="EL22" s="15" t="str">
        <f t="shared" si="33"/>
        <v/>
      </c>
      <c r="EM22" s="15" t="str">
        <f t="shared" si="33"/>
        <v/>
      </c>
      <c r="EN22" s="15" t="str">
        <f t="shared" si="33"/>
        <v/>
      </c>
      <c r="EO22" s="15" t="str">
        <f t="shared" si="33"/>
        <v/>
      </c>
      <c r="EP22" s="15" t="str">
        <f t="shared" si="33"/>
        <v/>
      </c>
      <c r="EQ22" s="15" t="str">
        <f t="shared" si="33"/>
        <v/>
      </c>
      <c r="ER22" s="15" t="str">
        <f t="shared" si="33"/>
        <v/>
      </c>
      <c r="ES22" s="15" t="str">
        <f t="shared" si="33"/>
        <v/>
      </c>
      <c r="ET22" s="15" t="str">
        <f t="shared" si="33"/>
        <v/>
      </c>
      <c r="EU22" s="15" t="str">
        <f t="shared" si="33"/>
        <v/>
      </c>
      <c r="EV22" s="15" t="str">
        <f t="shared" si="33"/>
        <v/>
      </c>
      <c r="EW22" s="15" t="str">
        <f t="shared" si="33"/>
        <v/>
      </c>
      <c r="EX22" s="15" t="str">
        <f t="shared" si="33"/>
        <v/>
      </c>
      <c r="EY22" s="15" t="str">
        <f t="shared" si="33"/>
        <v/>
      </c>
      <c r="EZ22" s="15" t="str">
        <f t="shared" si="33"/>
        <v/>
      </c>
      <c r="FA22" s="15" t="str">
        <f t="shared" si="33"/>
        <v/>
      </c>
      <c r="FB22" s="15" t="str">
        <f t="shared" si="33"/>
        <v/>
      </c>
      <c r="FC22" s="15" t="str">
        <f t="shared" si="33"/>
        <v/>
      </c>
      <c r="FD22" s="15" t="str">
        <f t="shared" si="33"/>
        <v/>
      </c>
      <c r="FE22" s="15" t="str">
        <f t="shared" si="33"/>
        <v/>
      </c>
      <c r="FF22" s="15" t="str">
        <f t="shared" si="33"/>
        <v/>
      </c>
      <c r="FG22" s="15" t="str">
        <f t="shared" si="33"/>
        <v/>
      </c>
      <c r="FH22" s="15" t="str">
        <f t="shared" si="33"/>
        <v/>
      </c>
      <c r="FI22" s="15" t="str">
        <f t="shared" si="33"/>
        <v/>
      </c>
      <c r="FJ22" s="15" t="str">
        <f t="shared" si="33"/>
        <v/>
      </c>
      <c r="FK22" s="15" t="str">
        <f t="shared" si="33"/>
        <v/>
      </c>
      <c r="FL22" s="15">
        <f>FL20+5</f>
        <v>5</v>
      </c>
      <c r="FM22" s="15" t="str">
        <f ca="1">OFFSET($FM$75,FL22,0)</f>
        <v/>
      </c>
      <c r="FN22" s="15" t="str">
        <f ca="1">OFFSET($FN$75,FL22,0)</f>
        <v/>
      </c>
      <c r="FO22" s="244"/>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6"/>
      <c r="GS22" s="15"/>
      <c r="GT22" s="15"/>
      <c r="GU22" s="15"/>
      <c r="GV22" s="15"/>
      <c r="GW22" s="15"/>
      <c r="GX22" s="15"/>
      <c r="GY22" s="15"/>
      <c r="GZ22" s="15"/>
      <c r="HA22" s="15" t="str">
        <f>IF($F21="Hybrid - Thrust + 2 connections",COUNTBLANK(J21:L21),"")</f>
        <v/>
      </c>
      <c r="HB22" s="15"/>
      <c r="HC22" s="5"/>
      <c r="HD22" s="5"/>
      <c r="HE22" s="5"/>
      <c r="HF22" s="5"/>
    </row>
    <row r="23" spans="1:214" ht="12.75" customHeight="1" x14ac:dyDescent="0.3">
      <c r="A23" s="118">
        <f>IF(AND(E21="",A21&lt;&gt;""),IF(CP21=$CP$18,"",IF(C21&lt;&gt;"",IF(D21=59,MINUTE(CP21)+1,MINUTE(CP21)),"")),"")</f>
        <v>0</v>
      </c>
      <c r="B23" s="119">
        <f>IF(AND(E21="",B21&lt;&gt;""),IF(CP21=$CP$18,"",IF(C21&lt;&gt;"",IF(D21=59,0,SECOND(CP21)+1),"")),"")</f>
        <v>53</v>
      </c>
      <c r="C23" s="119">
        <v>1</v>
      </c>
      <c r="D23" s="133">
        <v>0</v>
      </c>
      <c r="E23" s="119"/>
      <c r="F23" s="57"/>
      <c r="G23" s="120" t="str">
        <f>IF(F23&lt;&gt;"",IF(OR(F23="Transition",F23="Transition - Surface Connection"),0,MAX($G$19:G22)+1),"")</f>
        <v/>
      </c>
      <c r="H23" s="223" t="str">
        <f>IFERROR(IF(E24="3","",IF(OR(F23="Hybrid - min 4 swimmers (no DD)",LEFT(F23,5)="Trans"),"No DD",CONCATENATE("BM = ",I24))),"")</f>
        <v/>
      </c>
      <c r="I23" s="224"/>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2"/>
      <c r="AO23" s="123"/>
      <c r="AP23" s="52"/>
      <c r="AQ23" s="52"/>
      <c r="AR23" s="12"/>
      <c r="AS23" s="12"/>
      <c r="AT23" s="12"/>
      <c r="AU23" s="12"/>
      <c r="AV23" s="12"/>
      <c r="AW23" s="12"/>
      <c r="AX23" s="12"/>
      <c r="AY23" s="12"/>
      <c r="AZ23" s="12"/>
      <c r="BA23" s="12"/>
      <c r="BB23" s="12"/>
      <c r="BC23" s="12"/>
      <c r="BD23" s="12"/>
      <c r="BE23" s="12"/>
      <c r="BF23" s="12"/>
      <c r="BG23" s="12" t="str">
        <f t="array" ref="BG23">IFERROR(IF(F23&lt;&gt;"",INDEX(Parts_Active,MATCH(F23,Parts_Active,0)),""),"No")</f>
        <v/>
      </c>
      <c r="BH23" s="12"/>
      <c r="BI23" s="12" t="str">
        <f>IF($E24="H",IF($F23="Hybrid - Thrust + 2 connections","Hybrid_Mix_Req",IF($F23="Hybrid - min 4 swimmers (no DD)","Hybrid_ChoHY","HybridDD_Code")),IF($E24=3,"TreDD_Code",IF($E24="PA","AcroPair_Code",IF(LEFT($F23,4)="Acro",CONCATENATE(BI$16,$E24,"_Code"),"Data!$BI$1:$BI$5"))))</f>
        <v>Data!$BI$1:$BI$5</v>
      </c>
      <c r="BJ23" s="12" t="str">
        <f t="shared" ref="BJ23:BQ23" si="34">IF($E24="H",IF($F23="Hybrid - Thrust + 2 connections","Hybrid_Mix_Req",IF($F23="Hybrid - min 4 swimmers (no DD)","Data!$BI$1:$BI$5","HybridDD_Code")),IF($E24=3,"TreDD_Code",IF($E24="PA","AcroPair_Code",IF(LEFT($F23,4)="Acro",CONCATENATE(BJ$16,$E24,"_Code"),"Data!$BI$1:$BI$5"))))</f>
        <v>Data!$BI$1:$BI$5</v>
      </c>
      <c r="BK23" s="12" t="str">
        <f t="shared" si="34"/>
        <v>Data!$BI$1:$BI$5</v>
      </c>
      <c r="BL23" s="12" t="str">
        <f t="shared" si="34"/>
        <v>Data!$BI$1:$BI$5</v>
      </c>
      <c r="BM23" s="12" t="str">
        <f t="shared" si="34"/>
        <v>Data!$BI$1:$BI$5</v>
      </c>
      <c r="BN23" s="12" t="str">
        <f t="shared" si="34"/>
        <v>Data!$BI$1:$BI$5</v>
      </c>
      <c r="BO23" s="12" t="str">
        <f t="shared" si="34"/>
        <v>Data!$BI$1:$BI$5</v>
      </c>
      <c r="BP23" s="12" t="str">
        <f t="shared" si="34"/>
        <v>Data!$BI$1:$BI$5</v>
      </c>
      <c r="BQ23" s="12" t="str">
        <f t="shared" si="34"/>
        <v>Data!$BI$1:$BI$5</v>
      </c>
      <c r="BR23" s="12" t="str">
        <f>IF($E24="H",IF($F23="Hybrid - Thrust + 2 connections","Data!$BI$1:$BI$5","HybridDD_Code"),"Data!$BI$1:$BI$5")</f>
        <v>Data!$BI$1:$BI$5</v>
      </c>
      <c r="BS23" s="12" t="str">
        <f t="shared" ref="BS23:CL23" si="35">$BR23</f>
        <v>Data!$BI$1:$BI$5</v>
      </c>
      <c r="BT23" s="12" t="str">
        <f t="shared" si="35"/>
        <v>Data!$BI$1:$BI$5</v>
      </c>
      <c r="BU23" s="12" t="str">
        <f t="shared" si="35"/>
        <v>Data!$BI$1:$BI$5</v>
      </c>
      <c r="BV23" s="12" t="str">
        <f t="shared" si="35"/>
        <v>Data!$BI$1:$BI$5</v>
      </c>
      <c r="BW23" s="12" t="str">
        <f t="shared" si="35"/>
        <v>Data!$BI$1:$BI$5</v>
      </c>
      <c r="BX23" s="12" t="str">
        <f t="shared" si="35"/>
        <v>Data!$BI$1:$BI$5</v>
      </c>
      <c r="BY23" s="12" t="str">
        <f t="shared" si="35"/>
        <v>Data!$BI$1:$BI$5</v>
      </c>
      <c r="BZ23" s="12" t="str">
        <f t="shared" si="35"/>
        <v>Data!$BI$1:$BI$5</v>
      </c>
      <c r="CA23" s="12" t="str">
        <f t="shared" si="35"/>
        <v>Data!$BI$1:$BI$5</v>
      </c>
      <c r="CB23" s="12" t="str">
        <f t="shared" si="35"/>
        <v>Data!$BI$1:$BI$5</v>
      </c>
      <c r="CC23" s="12" t="str">
        <f t="shared" si="35"/>
        <v>Data!$BI$1:$BI$5</v>
      </c>
      <c r="CD23" s="12" t="str">
        <f t="shared" si="35"/>
        <v>Data!$BI$1:$BI$5</v>
      </c>
      <c r="CE23" s="12" t="str">
        <f t="shared" si="35"/>
        <v>Data!$BI$1:$BI$5</v>
      </c>
      <c r="CF23" s="12" t="str">
        <f t="shared" si="35"/>
        <v>Data!$BI$1:$BI$5</v>
      </c>
      <c r="CG23" s="12" t="str">
        <f t="shared" si="35"/>
        <v>Data!$BI$1:$BI$5</v>
      </c>
      <c r="CH23" s="12" t="str">
        <f t="shared" si="35"/>
        <v>Data!$BI$1:$BI$5</v>
      </c>
      <c r="CI23" s="12" t="str">
        <f t="shared" si="35"/>
        <v>Data!$BI$1:$BI$5</v>
      </c>
      <c r="CJ23" s="12" t="str">
        <f t="shared" si="35"/>
        <v>Data!$BI$1:$BI$5</v>
      </c>
      <c r="CK23" s="12" t="str">
        <f t="shared" si="35"/>
        <v>Data!$BI$1:$BI$5</v>
      </c>
      <c r="CL23" s="12" t="str">
        <f t="shared" si="35"/>
        <v>Data!$BI$1:$BI$5</v>
      </c>
      <c r="CM23" s="12"/>
      <c r="CN23" s="12"/>
      <c r="CO23" s="63">
        <f>IFERROR(TIME(0,A23,B23),"")</f>
        <v>6.134259259259259E-4</v>
      </c>
      <c r="CP23" s="63">
        <f>IFERROR(TIME(0,C23,D23),"")</f>
        <v>6.9444444444444447E-4</v>
      </c>
      <c r="CQ23" s="63" t="str">
        <f>IF(CP23&gt;$D$12,"X","")</f>
        <v/>
      </c>
      <c r="CR23" s="15" t="str">
        <f>IF(AND(F23="Hybrid - Thrust + 2 connections",OR(LEFT(J23,1)="T",LEFT(K23,1)="T",LEFT(L23,1)="T",LEFT(OY23,1)="T",LEFT(M23,1)="T",LEFT(N23,1)="T",LEFT(O23,1)="T",LEFT(P23,1)="T",LEFT(Q23,1)="T",LEFT(R23,1)="T",LEFT(S23,1)="T",LEFT(T23,1)="T",LEFT(U23,1)="T",LEFT(V23,1)="T",LEFT(W23,1)="T",LEFT(X23,1)="T",LEFT(AK23,1)="T",LEFT(AL23,1)="T",LEFT(AM23,1)="T")),IF(OR(LEN(J23)=2,LEN(K23)=2,LEN(L23)=2,LEN(M23)=2,LEN(N23)=2,LEN(O23)=2,LEN(P23)=2,LEN(Q23)=2,LEN(R23)=2,LEN(S23)=2,LEN(T23)=2,LEN(U23)=2,LEN(V23)=2,LEN(W23)=2,LEN(X23)=2,LEN(Y23)=2,LEN(Z23)=2,LEN(AK23)=2,LEN(AL23)=2,LEN(AM23)=2),"X",""),"")</f>
        <v/>
      </c>
      <c r="CS23" s="5"/>
      <c r="CT23" s="15" t="str">
        <f>IF(LEFT(F23,4)="Acro",IF(AND(N23&lt;&gt;"",M23=RIGHT(N23,2)),"X","OK"),"")</f>
        <v/>
      </c>
      <c r="CU23" s="12" t="str">
        <f t="array" ref="CU23">IFERROR(IF(AND(LEFT($F23,4)="Acro",INDEX(Requ_App,MATCH(BI23,Requ_Code,0))="No"),"X",""),"")</f>
        <v/>
      </c>
      <c r="CV23" s="12" t="str">
        <f t="array" ref="CV23">IFERROR(IF(AND(LEFT($F23,4)="Acro",INDEX(Requ_App,MATCH(BJ23,Requ_Code,0))="No"),"X",""),"")</f>
        <v/>
      </c>
      <c r="CW23" s="12" t="str">
        <f t="array" ref="CW23">IFERROR(IF(AND(LEFT($F23,4)="Acro",INDEX(Requ_App,MATCH(BK23,Requ_Code,0))="No"),"X",""),"")</f>
        <v/>
      </c>
      <c r="CX23" s="12" t="str">
        <f t="array" ref="CX23">IFERROR(IF(AND(LEFT($F23,4)="Acro",INDEX(Requ_App,MATCH(BL23,Requ_Code,0))="No"),"X",""),"")</f>
        <v/>
      </c>
      <c r="CY23" s="12" t="str">
        <f t="array" ref="CY23">IFERROR(IF(AND(LEFT($F23,4)="Acro",INDEX(Requ_App,MATCH(BM23,Requ_Code,0))="No"),"X",""),"")</f>
        <v/>
      </c>
      <c r="CZ23" s="12" t="str">
        <f t="array" ref="CZ23">IFERROR(IF(AND(LEFT($F23,4)="Acro",INDEX(Requ_App,MATCH(BN23,Requ_Code,0))="No"),"X",""),"")</f>
        <v/>
      </c>
      <c r="DA23" s="12" t="str">
        <f t="array" ref="DA23">IFERROR(IF(AND(LEFT($F23,4)="Acro",INDEX(Requ_App,MATCH(BO23,Requ_Code,0))="No"),"X",""),"")</f>
        <v/>
      </c>
      <c r="DB23" s="12" t="str">
        <f t="array" ref="DB23">IFERROR(IF(AND(LEFT($F23,4)="Acro",INDEX(Requ_App,MATCH(BP23,Requ_Code,0))="No"),"X",""),"")</f>
        <v/>
      </c>
      <c r="DC23" s="12" t="str">
        <f t="array" ref="DC23">IFERROR(IF(AND(LEFT($F23,4)="Acro",INDEX(Requ_App,MATCH(BP23,Requ_Code,0))="No"),"X",""),"")</f>
        <v/>
      </c>
      <c r="DD23" s="15" t="str">
        <f t="shared" si="10"/>
        <v/>
      </c>
      <c r="DE23" s="15" t="str">
        <f t="shared" si="11"/>
        <v/>
      </c>
      <c r="DF23" s="15" t="str">
        <f t="shared" si="12"/>
        <v/>
      </c>
      <c r="DG23" s="15" t="str">
        <f t="shared" si="13"/>
        <v/>
      </c>
      <c r="DH23" s="15"/>
      <c r="DI23" s="15"/>
      <c r="DJ23" s="15"/>
      <c r="DK23" s="15">
        <f>IF(AND(E24="A",OR(Q23="Grip",Q23="Conn",Q23="Catch")),"A1",IF(AND(E24="A",OR(Q23="Hula",Q23="RetSq",Q23="RetPa")),"A2",IF(AND(E24="B",OR(Q23="Twirl",Q23="RotF")),"B1",IF(AND(E24="B",OR(Q23="Moon",Q23="Mov")),"B2",IF(AND(E24="B",Q23="Hold"),"B3",IF(AND(E24="P",OR(Q23="Porp",Q23="Spitch")),"P1",IF(AND(E24="P",OR(Q23="Dive",Q23="Ps1",Q23="Ps1t0.5",Q23="Ps1op",Q23="Ps1t0,5o",Q23="Ps1t1",Q23="CH+")),"P2",IF(AND(E24="P",OR(Q23="Spider",Q23="Climb")),"P3",IF(AND(E24="P",OR(Q23="Fall",Q23="FTurn")),"P4",IF(AND(E24="C",OR(Q23="Jump",Q23="Jump&gt;",Q23="On1Foot",Q23="1F&gt;1F")),"C1",IF(AND(E24="C",OR(Q23="Run",Q23="BRun")),"C2",1)))))))))))</f>
        <v>1</v>
      </c>
      <c r="DL23" s="15">
        <f>IF(AND(E24="A",OR(R23="Grip",R23="Conn",R23="Catch")),"A1",IF(AND(E24="A",OR(R23="Hula",R23="RetSq",R23="RetPa")),"A2",IF(AND(E24="B",OR(R23="Twirl",R23="RotF")),"B1",IF(AND(E24="B",OR(R23="Moon",R23="Mov")),"B3",IF(AND(E24="B",R23="Hold"),"B2",IF(AND(E24="P",OR(R23="Porp",R23="Spitch")),"P1",IF(AND(E24="P",OR(R23="Dive",R23="Ps1",R23="Ps1t0.5",R23="Ps1op",R23="Ps1t0,5o",R23="Ps1t1",R23="CH+")),"P2",IF(AND(E24="P",OR(R23="Spider",R23="Climb")),"P3",IF(AND(E24="P",OR(R23="Fall",R23="FTurn")),"P4",IF(AND(E24="C",OR(R23="Jump",R23="Jump&gt;",R23="On1Foot",R23="1F&gt;1F")),"C1",IF(AND(E24="C",OR(R23="Run",R23="BRun")),"C2",2)))))))))))</f>
        <v>2</v>
      </c>
      <c r="DM23" s="15" t="str">
        <f>IF(AND(LEFT(F23,4)="Acro",Q23&lt;&gt;"",OR(Q23=R23,DK23=DL23)),IF(R23="C-Roll","","X"),IF(OR(AND(E24="A",Q23="Catch",R23&lt;&gt;"Dbl"),AND(E24="A",R23="Catch",Q23&lt;&gt;"Dbl")),"X",""))</f>
        <v/>
      </c>
      <c r="DN23" s="15" t="str">
        <f>IF(E24="PA",J23,"")</f>
        <v/>
      </c>
      <c r="DO23" s="15">
        <v>5</v>
      </c>
      <c r="DP23" s="15"/>
      <c r="DQ23" s="15" t="str">
        <f t="shared" ref="DQ23:DR23" si="36">IF(AND($E24="A",COUNTIF($DZ$19:$EA$68,DZ23)&gt;1),DZ23,"")</f>
        <v/>
      </c>
      <c r="DR23" s="15" t="str">
        <f t="shared" si="36"/>
        <v/>
      </c>
      <c r="DS23" s="15" t="str">
        <f ca="1">IF(AND($E24="B",COUNTIF($J$19:$J$68,J23)&gt;1),J23,"")</f>
        <v/>
      </c>
      <c r="DT23" s="15" t="str">
        <f ca="1">IF(AND($E24="B",COUNTIF($K$19:$K$68,K23)&gt;1),K23,"")</f>
        <v/>
      </c>
      <c r="DU23" s="15" t="str">
        <f ca="1">IF(AND($E24="C",COUNTIF($J$19:$J$68,J23)&gt;1),J23,"")</f>
        <v/>
      </c>
      <c r="DV23" s="15" t="str">
        <f ca="1">IF(AND($E24="P",COUNTIF($J$19:$J$68,J23)&gt;1),J23,"")</f>
        <v/>
      </c>
      <c r="DW23" s="15" t="str">
        <f ca="1">IF(AND($E24="P",COUNTIF($K$19:$K$68,K23)&gt;1),K23,"")</f>
        <v/>
      </c>
      <c r="DX23" s="15" t="str">
        <f t="shared" ref="DX23:DY23" si="37">IF(AND($E24="P",COUNTIF($DZ$19:$EA$68,DZ23)&gt;1),DZ23,"")</f>
        <v/>
      </c>
      <c r="DY23" s="15" t="str">
        <f t="shared" si="37"/>
        <v/>
      </c>
      <c r="DZ23" s="15" t="str">
        <f>IFERROR(IF(OR(E24="A",E24="P"),M23,""),"")</f>
        <v/>
      </c>
      <c r="EA23" s="15" t="str">
        <f>IFERROR(IF(OR(E24="A",E24="P"),RIGHT(N23,2),""),"")</f>
        <v/>
      </c>
      <c r="EB23" s="15"/>
      <c r="EC23" s="15" t="str">
        <f>IF(AND($F$8="Open Team Acrobatic",LEFT(F23,4)="Acro"),E24,"")</f>
        <v/>
      </c>
      <c r="ED23" s="15" t="str">
        <f>IFERROR(IF(HLOOKUP(EC23,$DQ$12:$DT$13,2,FALSE)&gt;2,"X",""),"")</f>
        <v/>
      </c>
      <c r="EE23" s="15"/>
      <c r="EF23" s="15" t="str">
        <f>IF(OR(AND(F23="Hybrid - Thrust + 2 connections",EF24="T"),AND(E24="H",EF24&lt;&gt;"")),"X","")</f>
        <v/>
      </c>
      <c r="EG23" s="15"/>
      <c r="EH23" s="15">
        <f t="shared" ref="EH23:EX23" si="38">IFERROR(IF(AND($E24="H",J23&lt;&gt;""),IF(OR(LEFT(J23,1)="T",LEFT(J23,1)="S",LEFT(J23,1)="A",LEFT(J23,1)="F",LEFT(J23,1)="C"),LEFT(J23,1),"R"),EH$18),"")</f>
        <v>1</v>
      </c>
      <c r="EI23" s="15">
        <f t="shared" si="38"/>
        <v>2</v>
      </c>
      <c r="EJ23" s="15">
        <f t="shared" si="38"/>
        <v>3</v>
      </c>
      <c r="EK23" s="15">
        <f t="shared" si="38"/>
        <v>4</v>
      </c>
      <c r="EL23" s="15">
        <f t="shared" si="38"/>
        <v>5</v>
      </c>
      <c r="EM23" s="15">
        <f t="shared" si="38"/>
        <v>6</v>
      </c>
      <c r="EN23" s="15">
        <f t="shared" si="38"/>
        <v>7</v>
      </c>
      <c r="EO23" s="15">
        <f t="shared" si="38"/>
        <v>8</v>
      </c>
      <c r="EP23" s="15">
        <f t="shared" si="38"/>
        <v>9</v>
      </c>
      <c r="EQ23" s="15">
        <f t="shared" si="38"/>
        <v>10</v>
      </c>
      <c r="ER23" s="15">
        <f t="shared" si="38"/>
        <v>11</v>
      </c>
      <c r="ES23" s="15">
        <f t="shared" si="38"/>
        <v>12</v>
      </c>
      <c r="ET23" s="15">
        <f t="shared" si="38"/>
        <v>13</v>
      </c>
      <c r="EU23" s="15">
        <f t="shared" si="38"/>
        <v>14</v>
      </c>
      <c r="EV23" s="15">
        <f t="shared" si="38"/>
        <v>15</v>
      </c>
      <c r="EW23" s="15">
        <f t="shared" si="38"/>
        <v>16</v>
      </c>
      <c r="EX23" s="15">
        <f t="shared" si="38"/>
        <v>17</v>
      </c>
      <c r="EY23" s="15">
        <f t="shared" ref="EY23:FK23" si="39">IFERROR(IF(AND($E24="H",AK23&lt;&gt;""),IF(OR(LEFT(AK23,1)="T",LEFT(AK23,1)="S",LEFT(AK23,1)="A",LEFT(AK23,1)="F",LEFT(AK23,1)="C"),LEFT(AK23,1),"R"),EY$18),"")</f>
        <v>18</v>
      </c>
      <c r="EZ23" s="15">
        <f t="shared" si="39"/>
        <v>19</v>
      </c>
      <c r="FA23" s="15">
        <f t="shared" si="39"/>
        <v>20</v>
      </c>
      <c r="FB23" s="15">
        <f t="shared" si="39"/>
        <v>21</v>
      </c>
      <c r="FC23" s="15">
        <f t="shared" si="39"/>
        <v>22</v>
      </c>
      <c r="FD23" s="15">
        <f t="shared" si="39"/>
        <v>23</v>
      </c>
      <c r="FE23" s="15">
        <f t="shared" si="39"/>
        <v>24</v>
      </c>
      <c r="FF23" s="15">
        <f t="shared" si="39"/>
        <v>25</v>
      </c>
      <c r="FG23" s="15">
        <f t="shared" si="39"/>
        <v>26</v>
      </c>
      <c r="FH23" s="15">
        <f t="shared" si="39"/>
        <v>27</v>
      </c>
      <c r="FI23" s="15">
        <f t="shared" si="39"/>
        <v>28</v>
      </c>
      <c r="FJ23" s="15">
        <f t="shared" si="39"/>
        <v>29</v>
      </c>
      <c r="FK23" s="15">
        <f t="shared" si="39"/>
        <v>30</v>
      </c>
      <c r="FL23" s="15"/>
      <c r="FM23" s="15"/>
      <c r="FN23" s="15"/>
      <c r="FO23" s="244"/>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6"/>
      <c r="GS23" s="15"/>
      <c r="GT23" s="15">
        <f t="shared" ref="GT23:GY23" si="40">COUNTIF($EH23:$FK23,GT$18)</f>
        <v>0</v>
      </c>
      <c r="GU23" s="15">
        <f t="shared" si="40"/>
        <v>0</v>
      </c>
      <c r="GV23" s="15">
        <f t="shared" si="40"/>
        <v>0</v>
      </c>
      <c r="GW23" s="15">
        <f t="shared" si="40"/>
        <v>0</v>
      </c>
      <c r="GX23" s="15">
        <f t="shared" si="40"/>
        <v>0</v>
      </c>
      <c r="GY23" s="15">
        <f t="shared" si="40"/>
        <v>0</v>
      </c>
      <c r="GZ23" s="15"/>
      <c r="HA23" s="15" t="str">
        <f>IF(AND($F23="Hybrid - Thrust + 2 connections",HA24=0,LEFT($J23,1)="C",LEFT($K23,1)="C",LEFT($L23,1)="C"),"X","")</f>
        <v/>
      </c>
      <c r="HB23" s="15"/>
      <c r="HC23" s="5"/>
      <c r="HD23" s="124"/>
      <c r="HE23" s="124"/>
      <c r="HF23" s="5" t="str">
        <f>IF(E24=3,_xludf.NUMBERVALUE(LEFT(J23,1)),"")</f>
        <v/>
      </c>
    </row>
    <row r="24" spans="1:214" ht="12.75" customHeight="1" x14ac:dyDescent="0.3">
      <c r="A24" s="118"/>
      <c r="B24" s="119"/>
      <c r="C24" s="119"/>
      <c r="D24" s="119"/>
      <c r="E24" s="50" t="str">
        <f>IF(F23="Acrobatic - Pair","PA",IF(F23="Acrobatic Airborn","A",IF(F23="Acrobatic Balance","B",IF(F23="Acrobatic Combined","C",IF(F23="Acrobatic Platform","P",IF(F23="Technical Required Element",3,IF(LEFT(F23,4)="Hybr","H","")))))))</f>
        <v/>
      </c>
      <c r="F24" s="125" t="s">
        <v>134</v>
      </c>
      <c r="G24" s="120"/>
      <c r="H24" s="126" t="str">
        <f>IF(E24="PA",IF(OR(LEFT(J23,1)="L",LEFT(J23,1)="S"),"A-Pair-Lift",IF(OR(LEFT(J23,1)="W",LEFT(J23,1)="T"),"A-Pair-Throw",IF(LEFT(J23,1)="J","A-Pair-Jump","A-Pair"))),IF(OR(E24="A",E24="B",E24="C",E24="P"),CONCATENATE("Acro-",E24),""))</f>
        <v/>
      </c>
      <c r="I24" s="127" t="e">
        <f t="array" ref="I24">IF(OR(F23="Hybrid - min 4 swimmers (no DD)",LEFT(F23,5)="Trans"),0,INDEX($BY$3:$BY$9,MATCH(E24,$BX$3:$BX$9,0)))</f>
        <v>#N/A</v>
      </c>
      <c r="J24" s="128">
        <f t="array" aca="1" ref="J24" ca="1">IFERROR(IF($H23="No DD",IF(J23="ChoHY",1,0),IF(OR(ISBLANK(J23),J23="N/A"),0,INDEX(INDIRECT(BI24),MATCH(J23,INDIRECT(BI23),0)))),0)</f>
        <v>0</v>
      </c>
      <c r="K24" s="128">
        <f t="shared" ref="K24:AM24" ca="1" si="41">IFERROR(IF($H23="No DD",0,IF(OR(ISBLANK(K23),K23="N/A"),0,INDEX(INDIRECT(BJ24),MATCH(K23,INDIRECT(BJ23),0)))),0)</f>
        <v>0</v>
      </c>
      <c r="L24" s="128">
        <f t="shared" ca="1" si="41"/>
        <v>0</v>
      </c>
      <c r="M24" s="128">
        <f t="shared" ca="1" si="41"/>
        <v>0</v>
      </c>
      <c r="N24" s="128">
        <f t="shared" ca="1" si="41"/>
        <v>0</v>
      </c>
      <c r="O24" s="128">
        <f t="shared" ca="1" si="41"/>
        <v>0</v>
      </c>
      <c r="P24" s="128">
        <f t="shared" ca="1" si="41"/>
        <v>0</v>
      </c>
      <c r="Q24" s="128">
        <f t="shared" ca="1" si="41"/>
        <v>0</v>
      </c>
      <c r="R24" s="128">
        <f t="shared" ca="1" si="41"/>
        <v>0</v>
      </c>
      <c r="S24" s="128">
        <f t="shared" ca="1" si="41"/>
        <v>0</v>
      </c>
      <c r="T24" s="128">
        <f t="shared" ca="1" si="41"/>
        <v>0</v>
      </c>
      <c r="U24" s="128">
        <f t="shared" ca="1" si="41"/>
        <v>0</v>
      </c>
      <c r="V24" s="128">
        <f t="shared" ca="1" si="41"/>
        <v>0</v>
      </c>
      <c r="W24" s="128">
        <f t="shared" ca="1" si="41"/>
        <v>0</v>
      </c>
      <c r="X24" s="128">
        <f t="shared" ca="1" si="41"/>
        <v>0</v>
      </c>
      <c r="Y24" s="128">
        <f t="shared" ca="1" si="41"/>
        <v>0</v>
      </c>
      <c r="Z24" s="128">
        <f t="shared" ca="1" si="41"/>
        <v>0</v>
      </c>
      <c r="AA24" s="128">
        <f t="shared" ca="1" si="41"/>
        <v>0</v>
      </c>
      <c r="AB24" s="128">
        <f t="shared" ca="1" si="41"/>
        <v>0</v>
      </c>
      <c r="AC24" s="128">
        <f t="shared" ca="1" si="41"/>
        <v>0</v>
      </c>
      <c r="AD24" s="128">
        <f t="shared" ca="1" si="41"/>
        <v>0</v>
      </c>
      <c r="AE24" s="128">
        <f t="shared" ca="1" si="41"/>
        <v>0</v>
      </c>
      <c r="AF24" s="128">
        <f t="shared" ca="1" si="41"/>
        <v>0</v>
      </c>
      <c r="AG24" s="128">
        <f t="shared" ca="1" si="41"/>
        <v>0</v>
      </c>
      <c r="AH24" s="128">
        <f t="shared" ca="1" si="41"/>
        <v>0</v>
      </c>
      <c r="AI24" s="128">
        <f t="shared" ca="1" si="41"/>
        <v>0</v>
      </c>
      <c r="AJ24" s="128">
        <f t="shared" ca="1" si="41"/>
        <v>0</v>
      </c>
      <c r="AK24" s="128">
        <f t="shared" ca="1" si="41"/>
        <v>0</v>
      </c>
      <c r="AL24" s="128">
        <f t="shared" ca="1" si="41"/>
        <v>0</v>
      </c>
      <c r="AM24" s="128">
        <f t="shared" ca="1" si="41"/>
        <v>0</v>
      </c>
      <c r="AN24" s="129" t="str">
        <f t="array" ref="AN24">IFERROR(IF(E24="H",INDEX(HybridBonus_Value,MATCH(AN23,HybridBonus_Code,0)),""),"")</f>
        <v/>
      </c>
      <c r="AO24" s="130" t="str">
        <f>IFERROR(SUM(I24:AN24),"")</f>
        <v/>
      </c>
      <c r="AP24" s="132"/>
      <c r="AQ24" s="132"/>
      <c r="AR24" s="131"/>
      <c r="AS24" s="131"/>
      <c r="AT24" s="131"/>
      <c r="AU24" s="131"/>
      <c r="AV24" s="131"/>
      <c r="AW24" s="131"/>
      <c r="AX24" s="131"/>
      <c r="AY24" s="131"/>
      <c r="AZ24" s="131"/>
      <c r="BA24" s="131"/>
      <c r="BB24" s="131"/>
      <c r="BC24" s="131"/>
      <c r="BD24" s="131"/>
      <c r="BE24" s="131"/>
      <c r="BF24" s="131"/>
      <c r="BG24" s="12"/>
      <c r="BH24" s="131"/>
      <c r="BI24" s="5" t="str">
        <f t="shared" ref="BI24:BQ24" si="42">IF($E24="H",IF($F23="Hybrid - Thrust + 2 connections","Hybrid_Mix_Req_Value","HybridDD_Value"),IF($E24=3,"TreDD_Value",IF($E24="PA","AcroPair_Value",IF(LEFT($F23,4)="Acro",CONCATENATE(BI$16,$E24,"_Value"),""))))</f>
        <v/>
      </c>
      <c r="BJ24" s="5" t="str">
        <f t="shared" si="42"/>
        <v/>
      </c>
      <c r="BK24" s="5" t="str">
        <f t="shared" si="42"/>
        <v/>
      </c>
      <c r="BL24" s="5" t="str">
        <f t="shared" si="42"/>
        <v/>
      </c>
      <c r="BM24" s="5" t="str">
        <f t="shared" si="42"/>
        <v/>
      </c>
      <c r="BN24" s="5" t="str">
        <f t="shared" si="42"/>
        <v/>
      </c>
      <c r="BO24" s="5" t="str">
        <f t="shared" si="42"/>
        <v/>
      </c>
      <c r="BP24" s="5" t="str">
        <f t="shared" si="42"/>
        <v/>
      </c>
      <c r="BQ24" s="5" t="str">
        <f t="shared" si="42"/>
        <v/>
      </c>
      <c r="BR24" s="12" t="str">
        <f t="shared" ref="BR24:CL24" si="43">IF($E24="H",IF($F23="Hybrid - Thrust + 2 connections","Data!$BI$1:$BI$5","HybridDD_Value"),"Data!$BI$1:$BI$5")</f>
        <v>Data!$BI$1:$BI$5</v>
      </c>
      <c r="BS24" s="12" t="str">
        <f t="shared" si="43"/>
        <v>Data!$BI$1:$BI$5</v>
      </c>
      <c r="BT24" s="12" t="str">
        <f t="shared" si="43"/>
        <v>Data!$BI$1:$BI$5</v>
      </c>
      <c r="BU24" s="12" t="str">
        <f t="shared" si="43"/>
        <v>Data!$BI$1:$BI$5</v>
      </c>
      <c r="BV24" s="12" t="str">
        <f t="shared" si="43"/>
        <v>Data!$BI$1:$BI$5</v>
      </c>
      <c r="BW24" s="12" t="str">
        <f t="shared" si="43"/>
        <v>Data!$BI$1:$BI$5</v>
      </c>
      <c r="BX24" s="12" t="str">
        <f t="shared" si="43"/>
        <v>Data!$BI$1:$BI$5</v>
      </c>
      <c r="BY24" s="12" t="str">
        <f t="shared" si="43"/>
        <v>Data!$BI$1:$BI$5</v>
      </c>
      <c r="BZ24" s="12" t="str">
        <f t="shared" si="43"/>
        <v>Data!$BI$1:$BI$5</v>
      </c>
      <c r="CA24" s="12" t="str">
        <f t="shared" si="43"/>
        <v>Data!$BI$1:$BI$5</v>
      </c>
      <c r="CB24" s="12" t="str">
        <f t="shared" si="43"/>
        <v>Data!$BI$1:$BI$5</v>
      </c>
      <c r="CC24" s="12" t="str">
        <f t="shared" si="43"/>
        <v>Data!$BI$1:$BI$5</v>
      </c>
      <c r="CD24" s="12" t="str">
        <f t="shared" si="43"/>
        <v>Data!$BI$1:$BI$5</v>
      </c>
      <c r="CE24" s="12" t="str">
        <f t="shared" si="43"/>
        <v>Data!$BI$1:$BI$5</v>
      </c>
      <c r="CF24" s="12" t="str">
        <f t="shared" si="43"/>
        <v>Data!$BI$1:$BI$5</v>
      </c>
      <c r="CG24" s="12" t="str">
        <f t="shared" si="43"/>
        <v>Data!$BI$1:$BI$5</v>
      </c>
      <c r="CH24" s="12" t="str">
        <f t="shared" si="43"/>
        <v>Data!$BI$1:$BI$5</v>
      </c>
      <c r="CI24" s="12" t="str">
        <f t="shared" si="43"/>
        <v>Data!$BI$1:$BI$5</v>
      </c>
      <c r="CJ24" s="12" t="str">
        <f t="shared" si="43"/>
        <v>Data!$BI$1:$BI$5</v>
      </c>
      <c r="CK24" s="12" t="str">
        <f t="shared" si="43"/>
        <v>Data!$BI$1:$BI$5</v>
      </c>
      <c r="CL24" s="12" t="str">
        <f t="shared" si="43"/>
        <v>Data!$BI$1:$BI$5</v>
      </c>
      <c r="CM24" s="131"/>
      <c r="CN24" s="131"/>
      <c r="CO24" s="124" t="str">
        <f>IFERROR(IF(AND($BV$6="T",$BV$8="T",LEFT(F23,4)="Acro",AO24&gt;3),"X",IF($N$7="X",IF(AND(E24="C",AO24&gt;$CN$6),"X",IF(AND(E24="A",AO24&gt;$CN$4),"X",IF(AND(E24="B",AO24&gt;$CN$5),"X",IF(AND(E24="P",AO24&gt;$CN$7),"X","")))),"")),"")</f>
        <v/>
      </c>
      <c r="CP24" s="63"/>
      <c r="CQ24" s="5"/>
      <c r="CR24" s="15"/>
      <c r="CS24" s="5"/>
      <c r="CT24" s="5"/>
      <c r="CU24" s="5"/>
      <c r="CV24" s="5"/>
      <c r="CW24" s="5"/>
      <c r="CX24" s="5"/>
      <c r="CY24" s="5"/>
      <c r="CZ24" s="5"/>
      <c r="DA24" s="15"/>
      <c r="DB24" s="15"/>
      <c r="DC24" s="15"/>
      <c r="DD24" s="15" t="str">
        <f t="shared" si="10"/>
        <v/>
      </c>
      <c r="DE24" s="15" t="str">
        <f t="shared" si="11"/>
        <v/>
      </c>
      <c r="DF24" s="15" t="str">
        <f t="shared" si="12"/>
        <v/>
      </c>
      <c r="DG24" s="15" t="str">
        <f t="shared" si="13"/>
        <v/>
      </c>
      <c r="DH24" s="15"/>
      <c r="DI24" s="15"/>
      <c r="DJ24" s="15"/>
      <c r="DK24" s="15"/>
      <c r="DL24" s="15"/>
      <c r="DM24" s="15"/>
      <c r="DN24" s="15"/>
      <c r="DO24" s="15">
        <v>6</v>
      </c>
      <c r="DP24" s="15"/>
      <c r="DQ24" s="15"/>
      <c r="DR24" s="15"/>
      <c r="DS24" s="15"/>
      <c r="DT24" s="15"/>
      <c r="DU24" s="15"/>
      <c r="DV24" s="15"/>
      <c r="DW24" s="15"/>
      <c r="DX24" s="15"/>
      <c r="DY24" s="15"/>
      <c r="DZ24" s="15"/>
      <c r="EA24" s="15"/>
      <c r="EB24" s="15"/>
      <c r="EC24" s="15"/>
      <c r="ED24" s="15"/>
      <c r="EE24" s="15"/>
      <c r="EF24" s="15" t="str">
        <f t="array" ref="EF24">IFERROR(INDEX(EH24:FK24,MATCH(TRUE,INDEX((EH24:FK24&lt;&gt;""),),0)),"")</f>
        <v/>
      </c>
      <c r="EG24" s="15"/>
      <c r="EH24" s="15" t="str">
        <f t="shared" ref="EH24:FK24" si="44">IF(F23="Hybrid - Thrust + 2 connections",IF(COUNTIF($EH23:$FA23,EH23)&gt;1,EH23,""),IF(COUNTIF($EH23:$FA23,EH23)&gt;5,EH23,""))</f>
        <v/>
      </c>
      <c r="EI24" s="15" t="str">
        <f t="shared" si="44"/>
        <v/>
      </c>
      <c r="EJ24" s="15" t="str">
        <f t="shared" si="44"/>
        <v/>
      </c>
      <c r="EK24" s="15" t="str">
        <f t="shared" si="44"/>
        <v/>
      </c>
      <c r="EL24" s="15" t="str">
        <f t="shared" si="44"/>
        <v/>
      </c>
      <c r="EM24" s="15" t="str">
        <f t="shared" si="44"/>
        <v/>
      </c>
      <c r="EN24" s="15" t="str">
        <f t="shared" si="44"/>
        <v/>
      </c>
      <c r="EO24" s="15" t="str">
        <f t="shared" si="44"/>
        <v/>
      </c>
      <c r="EP24" s="15" t="str">
        <f t="shared" si="44"/>
        <v/>
      </c>
      <c r="EQ24" s="15" t="str">
        <f t="shared" si="44"/>
        <v/>
      </c>
      <c r="ER24" s="15" t="str">
        <f t="shared" si="44"/>
        <v/>
      </c>
      <c r="ES24" s="15" t="str">
        <f t="shared" si="44"/>
        <v/>
      </c>
      <c r="ET24" s="15" t="str">
        <f t="shared" si="44"/>
        <v/>
      </c>
      <c r="EU24" s="15" t="str">
        <f t="shared" si="44"/>
        <v/>
      </c>
      <c r="EV24" s="15" t="str">
        <f t="shared" si="44"/>
        <v/>
      </c>
      <c r="EW24" s="15" t="str">
        <f t="shared" si="44"/>
        <v/>
      </c>
      <c r="EX24" s="15" t="str">
        <f t="shared" si="44"/>
        <v/>
      </c>
      <c r="EY24" s="15" t="str">
        <f t="shared" si="44"/>
        <v/>
      </c>
      <c r="EZ24" s="15" t="str">
        <f t="shared" si="44"/>
        <v/>
      </c>
      <c r="FA24" s="15" t="str">
        <f t="shared" si="44"/>
        <v/>
      </c>
      <c r="FB24" s="15" t="str">
        <f t="shared" si="44"/>
        <v/>
      </c>
      <c r="FC24" s="15" t="str">
        <f t="shared" si="44"/>
        <v/>
      </c>
      <c r="FD24" s="15" t="str">
        <f t="shared" si="44"/>
        <v/>
      </c>
      <c r="FE24" s="15" t="str">
        <f t="shared" si="44"/>
        <v/>
      </c>
      <c r="FF24" s="15" t="str">
        <f t="shared" si="44"/>
        <v/>
      </c>
      <c r="FG24" s="15" t="str">
        <f t="shared" si="44"/>
        <v/>
      </c>
      <c r="FH24" s="15" t="str">
        <f t="shared" si="44"/>
        <v/>
      </c>
      <c r="FI24" s="15" t="str">
        <f t="shared" si="44"/>
        <v/>
      </c>
      <c r="FJ24" s="15" t="str">
        <f t="shared" si="44"/>
        <v/>
      </c>
      <c r="FK24" s="15" t="str">
        <f t="shared" si="44"/>
        <v/>
      </c>
      <c r="FL24" s="15">
        <f>FL22+5</f>
        <v>10</v>
      </c>
      <c r="FM24" s="15" t="str">
        <f ca="1">OFFSET($FM$75,FL24,0)</f>
        <v/>
      </c>
      <c r="FN24" s="15" t="str">
        <f ca="1">OFFSET($FN$75,FL24,0)</f>
        <v/>
      </c>
      <c r="FO24" s="244"/>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6"/>
      <c r="GS24" s="15"/>
      <c r="GT24" s="15"/>
      <c r="GU24" s="15"/>
      <c r="GV24" s="15"/>
      <c r="GW24" s="15"/>
      <c r="GX24" s="15"/>
      <c r="GY24" s="15"/>
      <c r="GZ24" s="15"/>
      <c r="HA24" s="15" t="str">
        <f>IF($F23="Hybrid - Thrust + 2 connections",COUNTBLANK(J23:L23),"")</f>
        <v/>
      </c>
      <c r="HB24" s="15"/>
      <c r="HC24" s="5"/>
      <c r="HD24" s="5"/>
      <c r="HE24" s="5"/>
      <c r="HF24" s="5"/>
    </row>
    <row r="25" spans="1:214" ht="12.75" customHeight="1" x14ac:dyDescent="0.3">
      <c r="A25" s="118">
        <f>IF(AND(E23="",A23&lt;&gt;""),IF(CP23=$CP$18,"",IF(C23&lt;&gt;"",IF(D23=59,MINUTE(CP23)+1,MINUTE(CP23)),"")),"")</f>
        <v>1</v>
      </c>
      <c r="B25" s="119">
        <f>IF(AND(E23="",B23&lt;&gt;""),IF(CP23=$CP$18,"",IF(C23&lt;&gt;"",IF(D23=59,0,SECOND(CP23)+1),"")),"")</f>
        <v>1</v>
      </c>
      <c r="C25" s="119">
        <v>1</v>
      </c>
      <c r="D25" s="133">
        <v>7</v>
      </c>
      <c r="E25" s="119" t="s">
        <v>136</v>
      </c>
      <c r="F25" s="57"/>
      <c r="G25" s="120">
        <v>2</v>
      </c>
      <c r="H25" s="223" t="str">
        <f>IFERROR(IF(E26="3","",IF(OR(F25="Hybrid - min 4 swimmers (no DD)",LEFT(F25,5)="Trans"),"No DD",CONCATENATE("BM = ",I26))),"")</f>
        <v/>
      </c>
      <c r="I25" s="224"/>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2"/>
      <c r="AO25" s="123"/>
      <c r="AP25" s="52"/>
      <c r="AQ25" s="52"/>
      <c r="AR25" s="12"/>
      <c r="AS25" s="12"/>
      <c r="AT25" s="12"/>
      <c r="AU25" s="12"/>
      <c r="AV25" s="12"/>
      <c r="AW25" s="12"/>
      <c r="AX25" s="12"/>
      <c r="AY25" s="12"/>
      <c r="AZ25" s="12"/>
      <c r="BA25" s="12"/>
      <c r="BB25" s="12"/>
      <c r="BC25" s="12"/>
      <c r="BD25" s="12"/>
      <c r="BE25" s="12"/>
      <c r="BF25" s="12"/>
      <c r="BG25" s="12" t="str">
        <f t="array" ref="BG25">IFERROR(IF(F25&lt;&gt;"",INDEX(Parts_Active,MATCH(F25,Parts_Active,0)),""),"No")</f>
        <v/>
      </c>
      <c r="BH25" s="12"/>
      <c r="BI25" s="12" t="str">
        <f>IF($E26="H",IF($F25="Hybrid - Thrust + 2 connections","Hybrid_Mix_Req",IF($F25="Hybrid - min 4 swimmers (no DD)","Hybrid_ChoHY","HybridDD_Code")),IF($E26=3,"TreDD_Code",IF($E26="PA","AcroPair_Code",IF(LEFT($F25,4)="Acro",CONCATENATE(BI$16,$E26,"_Code"),"Data!$BI$1:$BI$5"))))</f>
        <v>Data!$BI$1:$BI$5</v>
      </c>
      <c r="BJ25" s="12" t="str">
        <f t="shared" ref="BJ25:BQ25" si="45">IF($E26="H",IF($F25="Hybrid - Thrust + 2 connections","Hybrid_Mix_Req",IF($F25="Hybrid - min 4 swimmers (no DD)","Data!$BI$1:$BI$5","HybridDD_Code")),IF($E26=3,"TreDD_Code",IF($E26="PA","AcroPair_Code",IF(LEFT($F25,4)="Acro",CONCATENATE(BJ$16,$E26,"_Code"),"Data!$BI$1:$BI$5"))))</f>
        <v>Data!$BI$1:$BI$5</v>
      </c>
      <c r="BK25" s="12" t="str">
        <f t="shared" si="45"/>
        <v>Data!$BI$1:$BI$5</v>
      </c>
      <c r="BL25" s="12" t="str">
        <f t="shared" si="45"/>
        <v>Data!$BI$1:$BI$5</v>
      </c>
      <c r="BM25" s="12" t="str">
        <f t="shared" si="45"/>
        <v>Data!$BI$1:$BI$5</v>
      </c>
      <c r="BN25" s="12" t="str">
        <f t="shared" si="45"/>
        <v>Data!$BI$1:$BI$5</v>
      </c>
      <c r="BO25" s="12" t="str">
        <f t="shared" si="45"/>
        <v>Data!$BI$1:$BI$5</v>
      </c>
      <c r="BP25" s="12" t="str">
        <f t="shared" si="45"/>
        <v>Data!$BI$1:$BI$5</v>
      </c>
      <c r="BQ25" s="12" t="str">
        <f t="shared" si="45"/>
        <v>Data!$BI$1:$BI$5</v>
      </c>
      <c r="BR25" s="12" t="str">
        <f>IF($E26="H",IF($F25="Hybrid - Thrust + 2 connections","Data!$BI$1:$BI$5","HybridDD_Code"),"Data!$BI$1:$BI$5")</f>
        <v>Data!$BI$1:$BI$5</v>
      </c>
      <c r="BS25" s="12" t="str">
        <f t="shared" ref="BS25:CL25" si="46">$BR25</f>
        <v>Data!$BI$1:$BI$5</v>
      </c>
      <c r="BT25" s="12" t="str">
        <f t="shared" si="46"/>
        <v>Data!$BI$1:$BI$5</v>
      </c>
      <c r="BU25" s="12" t="str">
        <f t="shared" si="46"/>
        <v>Data!$BI$1:$BI$5</v>
      </c>
      <c r="BV25" s="12" t="str">
        <f t="shared" si="46"/>
        <v>Data!$BI$1:$BI$5</v>
      </c>
      <c r="BW25" s="12" t="str">
        <f t="shared" si="46"/>
        <v>Data!$BI$1:$BI$5</v>
      </c>
      <c r="BX25" s="12" t="str">
        <f t="shared" si="46"/>
        <v>Data!$BI$1:$BI$5</v>
      </c>
      <c r="BY25" s="12" t="str">
        <f t="shared" si="46"/>
        <v>Data!$BI$1:$BI$5</v>
      </c>
      <c r="BZ25" s="12" t="str">
        <f t="shared" si="46"/>
        <v>Data!$BI$1:$BI$5</v>
      </c>
      <c r="CA25" s="12" t="str">
        <f t="shared" si="46"/>
        <v>Data!$BI$1:$BI$5</v>
      </c>
      <c r="CB25" s="12" t="str">
        <f t="shared" si="46"/>
        <v>Data!$BI$1:$BI$5</v>
      </c>
      <c r="CC25" s="12" t="str">
        <f t="shared" si="46"/>
        <v>Data!$BI$1:$BI$5</v>
      </c>
      <c r="CD25" s="12" t="str">
        <f t="shared" si="46"/>
        <v>Data!$BI$1:$BI$5</v>
      </c>
      <c r="CE25" s="12" t="str">
        <f t="shared" si="46"/>
        <v>Data!$BI$1:$BI$5</v>
      </c>
      <c r="CF25" s="12" t="str">
        <f t="shared" si="46"/>
        <v>Data!$BI$1:$BI$5</v>
      </c>
      <c r="CG25" s="12" t="str">
        <f t="shared" si="46"/>
        <v>Data!$BI$1:$BI$5</v>
      </c>
      <c r="CH25" s="12" t="str">
        <f t="shared" si="46"/>
        <v>Data!$BI$1:$BI$5</v>
      </c>
      <c r="CI25" s="12" t="str">
        <f t="shared" si="46"/>
        <v>Data!$BI$1:$BI$5</v>
      </c>
      <c r="CJ25" s="12" t="str">
        <f t="shared" si="46"/>
        <v>Data!$BI$1:$BI$5</v>
      </c>
      <c r="CK25" s="12" t="str">
        <f t="shared" si="46"/>
        <v>Data!$BI$1:$BI$5</v>
      </c>
      <c r="CL25" s="12" t="str">
        <f t="shared" si="46"/>
        <v>Data!$BI$1:$BI$5</v>
      </c>
      <c r="CM25" s="12"/>
      <c r="CN25" s="12"/>
      <c r="CO25" s="63">
        <f>IFERROR(TIME(0,A25,B25),"")</f>
        <v>7.0601851851851847E-4</v>
      </c>
      <c r="CP25" s="63">
        <f>IFERROR(TIME(0,C25,D25),"")</f>
        <v>7.7546296296296293E-4</v>
      </c>
      <c r="CQ25" s="63" t="str">
        <f>IF(CP25&gt;$D$12,"X","")</f>
        <v/>
      </c>
      <c r="CR25" s="15" t="str">
        <f>IF(AND(F25="Hybrid - Thrust + 2 connections",OR(LEFT(J25,1)="T",LEFT(K25,1)="T",LEFT(L25,1)="T",LEFT(OY25,1)="T",LEFT(M25,1)="T",LEFT(N25,1)="T",LEFT(O25,1)="T",LEFT(P25,1)="T",LEFT(Q25,1)="T",LEFT(R25,1)="T",LEFT(S25,1)="T",LEFT(T25,1)="T",LEFT(U25,1)="T",LEFT(V25,1)="T",LEFT(W25,1)="T",LEFT(X25,1)="T",LEFT(AK25,1)="T",LEFT(AL25,1)="T",LEFT(AM25,1)="T")),IF(OR(LEN(J25)=2,LEN(K25)=2,LEN(L25)=2,LEN(M25)=2,LEN(N25)=2,LEN(O25)=2,LEN(P25)=2,LEN(Q25)=2,LEN(R25)=2,LEN(S25)=2,LEN(T25)=2,LEN(U25)=2,LEN(V25)=2,LEN(W25)=2,LEN(X25)=2,LEN(Y25)=2,LEN(Z25)=2,LEN(AK25)=2,LEN(AL25)=2,LEN(AM25)=2),"X",""),"")</f>
        <v/>
      </c>
      <c r="CS25" s="5"/>
      <c r="CT25" s="15" t="str">
        <f>IF(LEFT(F25,4)="Acro",IF(AND(N25&lt;&gt;"",M25=RIGHT(N25,2)),"X","OK"),"")</f>
        <v/>
      </c>
      <c r="CU25" s="12" t="str">
        <f t="array" ref="CU25">IFERROR(IF(AND(LEFT($F25,4)="Acro",INDEX(Requ_App,MATCH(BI25,Requ_Code,0))="No"),"X",""),"")</f>
        <v/>
      </c>
      <c r="CV25" s="12" t="str">
        <f t="array" ref="CV25">IFERROR(IF(AND(LEFT($F25,4)="Acro",INDEX(Requ_App,MATCH(BJ25,Requ_Code,0))="No"),"X",""),"")</f>
        <v/>
      </c>
      <c r="CW25" s="12" t="str">
        <f t="array" ref="CW25">IFERROR(IF(AND(LEFT($F25,4)="Acro",INDEX(Requ_App,MATCH(BK25,Requ_Code,0))="No"),"X",""),"")</f>
        <v/>
      </c>
      <c r="CX25" s="12" t="str">
        <f t="array" ref="CX25">IFERROR(IF(AND(LEFT($F25,4)="Acro",INDEX(Requ_App,MATCH(BL25,Requ_Code,0))="No"),"X",""),"")</f>
        <v/>
      </c>
      <c r="CY25" s="12" t="str">
        <f t="array" ref="CY25">IFERROR(IF(AND(LEFT($F25,4)="Acro",INDEX(Requ_App,MATCH(BM25,Requ_Code,0))="No"),"X",""),"")</f>
        <v/>
      </c>
      <c r="CZ25" s="12" t="str">
        <f t="array" ref="CZ25">IFERROR(IF(AND(LEFT($F25,4)="Acro",INDEX(Requ_App,MATCH(BN25,Requ_Code,0))="No"),"X",""),"")</f>
        <v/>
      </c>
      <c r="DA25" s="12" t="str">
        <f t="array" ref="DA25">IFERROR(IF(AND(LEFT($F25,4)="Acro",INDEX(Requ_App,MATCH(BO25,Requ_Code,0))="No"),"X",""),"")</f>
        <v/>
      </c>
      <c r="DB25" s="12" t="str">
        <f t="array" ref="DB25">IFERROR(IF(AND(LEFT($F25,4)="Acro",INDEX(Requ_App,MATCH(BP25,Requ_Code,0))="No"),"X",""),"")</f>
        <v/>
      </c>
      <c r="DC25" s="12" t="str">
        <f t="array" ref="DC25">IFERROR(IF(AND(LEFT($F25,4)="Acro",INDEX(Requ_App,MATCH(BP25,Requ_Code,0))="No"),"X",""),"")</f>
        <v/>
      </c>
      <c r="DD25" s="15" t="str">
        <f t="shared" si="10"/>
        <v/>
      </c>
      <c r="DE25" s="15" t="str">
        <f t="shared" si="11"/>
        <v/>
      </c>
      <c r="DF25" s="15" t="str">
        <f t="shared" si="12"/>
        <v/>
      </c>
      <c r="DG25" s="15" t="str">
        <f t="shared" si="13"/>
        <v/>
      </c>
      <c r="DH25" s="15"/>
      <c r="DI25" s="15"/>
      <c r="DJ25" s="15"/>
      <c r="DK25" s="15">
        <f>IF(AND(E26="A",OR(Q25="Grip",Q25="Conn",Q25="Catch")),"A1",IF(AND(E26="A",OR(Q25="Hula",Q25="RetSq",Q25="RetPa")),"A2",IF(AND(E26="B",OR(Q25="Twirl",Q25="RotF")),"B1",IF(AND(E26="B",OR(Q25="Moon",Q25="Mov")),"B2",IF(AND(E26="B",Q25="Hold"),"B3",IF(AND(E26="P",OR(Q25="Porp",Q25="Spitch")),"P1",IF(AND(E26="P",OR(Q25="Dive",Q25="Ps1",Q25="Ps1t0.5",Q25="Ps1op",Q25="Ps1t0,5o",Q25="Ps1t1",Q25="CH+")),"P2",IF(AND(E26="P",OR(Q25="Spider",Q25="Climb")),"P3",IF(AND(E26="P",OR(Q25="Fall",Q25="FTurn")),"P4",IF(AND(E26="C",OR(Q25="Jump",Q25="Jump&gt;",Q25="On1Foot",Q25="1F&gt;1F")),"C1",IF(AND(E26="C",OR(Q25="Run",Q25="BRun")),"C2",1)))))))))))</f>
        <v>1</v>
      </c>
      <c r="DL25" s="15">
        <f>IF(AND(E26="A",OR(R25="Grip",R25="Conn",R25="Catch")),"A1",IF(AND(E26="A",OR(R25="Hula",R25="RetSq",R25="RetPa")),"A2",IF(AND(E26="B",OR(R25="Twirl",R25="RotF")),"B1",IF(AND(E26="B",OR(R25="Moon",R25="Mov")),"B3",IF(AND(E26="B",R25="Hold"),"B2",IF(AND(E26="P",OR(R25="Porp",R25="Spitch")),"P1",IF(AND(E26="P",OR(R25="Dive",R25="Ps1",R25="Ps1t0.5",R25="Ps1op",R25="Ps1t0,5o",R25="Ps1t1",R25="CH+")),"P2",IF(AND(E26="P",OR(R25="Spider",R25="Climb")),"P3",IF(AND(E26="P",OR(R25="Fall",R25="FTurn")),"P4",IF(AND(E26="C",OR(R25="Jump",R25="Jump&gt;",R25="On1Foot",R25="1F&gt;1F")),"C1",IF(AND(E26="C",OR(R25="Run",R25="BRun")),"C2",2)))))))))))</f>
        <v>2</v>
      </c>
      <c r="DM25" s="15" t="str">
        <f>IF(AND(LEFT(F25,4)="Acro",Q25&lt;&gt;"",OR(Q25=R25,DK25=DL25)),IF(R25="C-Roll","","X"),IF(OR(AND(E26="A",Q25="Catch",R25&lt;&gt;"Dbl"),AND(E26="A",R25="Catch",Q25&lt;&gt;"Dbl")),"X",""))</f>
        <v/>
      </c>
      <c r="DN25" s="15" t="str">
        <f>IF(E26="PA",J25,"")</f>
        <v/>
      </c>
      <c r="DO25" s="15">
        <v>7</v>
      </c>
      <c r="DP25" s="15"/>
      <c r="DQ25" s="15" t="str">
        <f t="shared" ref="DQ25:DR25" si="47">IF(AND($E26="A",COUNTIF($DZ$19:$EA$68,DZ25)&gt;1),DZ25,"")</f>
        <v/>
      </c>
      <c r="DR25" s="15" t="str">
        <f t="shared" si="47"/>
        <v/>
      </c>
      <c r="DS25" s="15" t="str">
        <f ca="1">IF(AND($E26="B",COUNTIF($J$19:$J$68,J25)&gt;1),J25,"")</f>
        <v/>
      </c>
      <c r="DT25" s="15" t="str">
        <f ca="1">IF(AND($E26="B",COUNTIF($K$19:$K$68,K25)&gt;1),K25,"")</f>
        <v/>
      </c>
      <c r="DU25" s="15" t="str">
        <f ca="1">IF(AND($E26="C",COUNTIF($J$19:$J$68,J25)&gt;1),J25,"")</f>
        <v/>
      </c>
      <c r="DV25" s="15" t="str">
        <f ca="1">IF(AND($E26="P",COUNTIF($J$19:$J$68,J25)&gt;1),J25,"")</f>
        <v/>
      </c>
      <c r="DW25" s="15" t="str">
        <f ca="1">IF(AND($E26="P",COUNTIF($K$19:$K$68,K25)&gt;1),K25,"")</f>
        <v/>
      </c>
      <c r="DX25" s="15" t="str">
        <f t="shared" ref="DX25:DY25" si="48">IF(AND($E26="P",COUNTIF($DZ$19:$EA$68,DZ25)&gt;1),DZ25,"")</f>
        <v/>
      </c>
      <c r="DY25" s="15" t="str">
        <f t="shared" si="48"/>
        <v/>
      </c>
      <c r="DZ25" s="15" t="str">
        <f>IFERROR(IF(OR(E26="A",E26="P"),M25,""),"")</f>
        <v/>
      </c>
      <c r="EA25" s="15" t="str">
        <f>IFERROR(IF(OR(E26="A",E26="P"),RIGHT(N25,2),""),"")</f>
        <v/>
      </c>
      <c r="EB25" s="15"/>
      <c r="EC25" s="15" t="str">
        <f>IF(AND($F$8="Open Team Acrobatic",LEFT(F25,4)="Acro"),E26,"")</f>
        <v/>
      </c>
      <c r="ED25" s="15" t="str">
        <f>IFERROR(IF(HLOOKUP(EC25,$DQ$12:$DT$13,2,FALSE)&gt;2,"X",""),"")</f>
        <v/>
      </c>
      <c r="EE25" s="15"/>
      <c r="EF25" s="15" t="str">
        <f>IF(OR(AND(F25="Hybrid - Thrust + 2 connections",EF26="T"),AND(E26="H",EF26&lt;&gt;"")),"X","")</f>
        <v/>
      </c>
      <c r="EG25" s="15"/>
      <c r="EH25" s="15">
        <f t="shared" ref="EH25:EX25" si="49">IFERROR(IF(AND($E26="H",J25&lt;&gt;""),IF(OR(LEFT(J25,1)="T",LEFT(J25,1)="S",LEFT(J25,1)="A",LEFT(J25,1)="F",LEFT(J25,1)="C"),LEFT(J25,1),"R"),EH$18),"")</f>
        <v>1</v>
      </c>
      <c r="EI25" s="15">
        <f t="shared" si="49"/>
        <v>2</v>
      </c>
      <c r="EJ25" s="15">
        <f t="shared" si="49"/>
        <v>3</v>
      </c>
      <c r="EK25" s="15">
        <f t="shared" si="49"/>
        <v>4</v>
      </c>
      <c r="EL25" s="15">
        <f t="shared" si="49"/>
        <v>5</v>
      </c>
      <c r="EM25" s="15">
        <f t="shared" si="49"/>
        <v>6</v>
      </c>
      <c r="EN25" s="15">
        <f t="shared" si="49"/>
        <v>7</v>
      </c>
      <c r="EO25" s="15">
        <f t="shared" si="49"/>
        <v>8</v>
      </c>
      <c r="EP25" s="15">
        <f t="shared" si="49"/>
        <v>9</v>
      </c>
      <c r="EQ25" s="15">
        <f t="shared" si="49"/>
        <v>10</v>
      </c>
      <c r="ER25" s="15">
        <f t="shared" si="49"/>
        <v>11</v>
      </c>
      <c r="ES25" s="15">
        <f t="shared" si="49"/>
        <v>12</v>
      </c>
      <c r="ET25" s="15">
        <f t="shared" si="49"/>
        <v>13</v>
      </c>
      <c r="EU25" s="15">
        <f t="shared" si="49"/>
        <v>14</v>
      </c>
      <c r="EV25" s="15">
        <f t="shared" si="49"/>
        <v>15</v>
      </c>
      <c r="EW25" s="15">
        <f t="shared" si="49"/>
        <v>16</v>
      </c>
      <c r="EX25" s="15">
        <f t="shared" si="49"/>
        <v>17</v>
      </c>
      <c r="EY25" s="15">
        <f t="shared" ref="EY25:FK25" si="50">IFERROR(IF(AND($E26="H",AK25&lt;&gt;""),IF(OR(LEFT(AK25,1)="T",LEFT(AK25,1)="S",LEFT(AK25,1)="A",LEFT(AK25,1)="F",LEFT(AK25,1)="C"),LEFT(AK25,1),"R"),EY$18),"")</f>
        <v>18</v>
      </c>
      <c r="EZ25" s="15">
        <f t="shared" si="50"/>
        <v>19</v>
      </c>
      <c r="FA25" s="15">
        <f t="shared" si="50"/>
        <v>20</v>
      </c>
      <c r="FB25" s="15">
        <f t="shared" si="50"/>
        <v>21</v>
      </c>
      <c r="FC25" s="15">
        <f t="shared" si="50"/>
        <v>22</v>
      </c>
      <c r="FD25" s="15">
        <f t="shared" si="50"/>
        <v>23</v>
      </c>
      <c r="FE25" s="15">
        <f t="shared" si="50"/>
        <v>24</v>
      </c>
      <c r="FF25" s="15">
        <f t="shared" si="50"/>
        <v>25</v>
      </c>
      <c r="FG25" s="15">
        <f t="shared" si="50"/>
        <v>26</v>
      </c>
      <c r="FH25" s="15">
        <f t="shared" si="50"/>
        <v>27</v>
      </c>
      <c r="FI25" s="15">
        <f t="shared" si="50"/>
        <v>28</v>
      </c>
      <c r="FJ25" s="15">
        <f t="shared" si="50"/>
        <v>29</v>
      </c>
      <c r="FK25" s="15">
        <f t="shared" si="50"/>
        <v>30</v>
      </c>
      <c r="FL25" s="15"/>
      <c r="FM25" s="15"/>
      <c r="FN25" s="15"/>
      <c r="FO25" s="244"/>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6"/>
      <c r="GS25" s="15"/>
      <c r="GT25" s="15">
        <f t="shared" ref="GT25:GY25" si="51">COUNTIF($EH25:$FK25,GT$18)</f>
        <v>0</v>
      </c>
      <c r="GU25" s="15">
        <f t="shared" si="51"/>
        <v>0</v>
      </c>
      <c r="GV25" s="15">
        <f t="shared" si="51"/>
        <v>0</v>
      </c>
      <c r="GW25" s="15">
        <f t="shared" si="51"/>
        <v>0</v>
      </c>
      <c r="GX25" s="15">
        <f t="shared" si="51"/>
        <v>0</v>
      </c>
      <c r="GY25" s="15">
        <f t="shared" si="51"/>
        <v>0</v>
      </c>
      <c r="GZ25" s="15"/>
      <c r="HA25" s="15" t="str">
        <f>IF(AND($F25="Hybrid - Thrust + 2 connections",HA26=0,LEFT($J25,1)="C",LEFT($K25,1)="C",LEFT($L25,1)="C"),"X","")</f>
        <v/>
      </c>
      <c r="HB25" s="15"/>
      <c r="HC25" s="5"/>
      <c r="HD25" s="124"/>
      <c r="HE25" s="124"/>
      <c r="HF25" s="5" t="str">
        <f>IF(E26=3,_xludf.NUMBERVALUE(LEFT(J25,1)),"")</f>
        <v/>
      </c>
    </row>
    <row r="26" spans="1:214" ht="12.75" customHeight="1" x14ac:dyDescent="0.3">
      <c r="A26" s="118"/>
      <c r="B26" s="119"/>
      <c r="C26" s="119"/>
      <c r="D26" s="119"/>
      <c r="E26" s="50" t="str">
        <f>IF(F25="Acrobatic - Pair","PA",IF(F25="Acrobatic Airborn","A",IF(F25="Acrobatic Balance","B",IF(F25="Acrobatic Combined","C",IF(F25="Acrobatic Platform","P",IF(F25="Technical Required Element",3,IF(LEFT(F25,4)="Hybr","H","")))))))</f>
        <v/>
      </c>
      <c r="F26" s="125" t="s">
        <v>137</v>
      </c>
      <c r="G26" s="120"/>
      <c r="H26" s="126" t="str">
        <f>IF(E26="PA",IF(OR(LEFT(J25,1)="L",LEFT(J25,1)="S"),"A-Pair-Lift",IF(OR(LEFT(J25,1)="W",LEFT(J25,1)="T"),"A-Pair-Throw",IF(LEFT(J25,1)="J","A-Pair-Jump","A-Pair"))),IF(OR(E26="A",E26="B",E26="C",E26="P"),CONCATENATE("Acro-",E26),""))</f>
        <v/>
      </c>
      <c r="I26" s="127" t="e">
        <f t="array" ref="I26">IF(OR(F25="Hybrid - min 4 swimmers (no DD)",LEFT(F25,5)="Trans"),0,INDEX($BY$3:$BY$9,MATCH(E26,$BX$3:$BX$9,0)))</f>
        <v>#N/A</v>
      </c>
      <c r="J26" s="128">
        <f t="array" aca="1" ref="J26" ca="1">IFERROR(IF($H25="No DD",IF(J25="ChoHY",1,0),IF(OR(ISBLANK(J25),J25="N/A"),0,INDEX(INDIRECT(BI26),MATCH(J25,INDIRECT(BI25),0)))),0)</f>
        <v>0</v>
      </c>
      <c r="K26" s="128">
        <f t="shared" ref="K26:AM26" ca="1" si="52">IFERROR(IF($H25="No DD",0,IF(OR(ISBLANK(K25),K25="N/A"),0,INDEX(INDIRECT(BJ26),MATCH(K25,INDIRECT(BJ25),0)))),0)</f>
        <v>0</v>
      </c>
      <c r="L26" s="128">
        <f t="shared" ca="1" si="52"/>
        <v>0</v>
      </c>
      <c r="M26" s="128">
        <f t="shared" ca="1" si="52"/>
        <v>0</v>
      </c>
      <c r="N26" s="128">
        <f t="shared" ca="1" si="52"/>
        <v>0</v>
      </c>
      <c r="O26" s="128">
        <f t="shared" ca="1" si="52"/>
        <v>0</v>
      </c>
      <c r="P26" s="128">
        <f t="shared" ca="1" si="52"/>
        <v>0</v>
      </c>
      <c r="Q26" s="128">
        <f t="shared" ca="1" si="52"/>
        <v>0</v>
      </c>
      <c r="R26" s="128">
        <f t="shared" ca="1" si="52"/>
        <v>0</v>
      </c>
      <c r="S26" s="128">
        <f t="shared" ca="1" si="52"/>
        <v>0</v>
      </c>
      <c r="T26" s="128">
        <f t="shared" ca="1" si="52"/>
        <v>0</v>
      </c>
      <c r="U26" s="128">
        <f t="shared" ca="1" si="52"/>
        <v>0</v>
      </c>
      <c r="V26" s="128">
        <f t="shared" ca="1" si="52"/>
        <v>0</v>
      </c>
      <c r="W26" s="128">
        <f t="shared" ca="1" si="52"/>
        <v>0</v>
      </c>
      <c r="X26" s="128">
        <f t="shared" ca="1" si="52"/>
        <v>0</v>
      </c>
      <c r="Y26" s="128">
        <f t="shared" ca="1" si="52"/>
        <v>0</v>
      </c>
      <c r="Z26" s="128">
        <f t="shared" ca="1" si="52"/>
        <v>0</v>
      </c>
      <c r="AA26" s="128">
        <f t="shared" ca="1" si="52"/>
        <v>0</v>
      </c>
      <c r="AB26" s="128">
        <f t="shared" ca="1" si="52"/>
        <v>0</v>
      </c>
      <c r="AC26" s="128">
        <f t="shared" ca="1" si="52"/>
        <v>0</v>
      </c>
      <c r="AD26" s="128">
        <f t="shared" ca="1" si="52"/>
        <v>0</v>
      </c>
      <c r="AE26" s="128">
        <f t="shared" ca="1" si="52"/>
        <v>0</v>
      </c>
      <c r="AF26" s="128">
        <f t="shared" ca="1" si="52"/>
        <v>0</v>
      </c>
      <c r="AG26" s="128">
        <f t="shared" ca="1" si="52"/>
        <v>0</v>
      </c>
      <c r="AH26" s="128">
        <f t="shared" ca="1" si="52"/>
        <v>0</v>
      </c>
      <c r="AI26" s="128">
        <f t="shared" ca="1" si="52"/>
        <v>0</v>
      </c>
      <c r="AJ26" s="128">
        <f t="shared" ca="1" si="52"/>
        <v>0</v>
      </c>
      <c r="AK26" s="128">
        <f t="shared" ca="1" si="52"/>
        <v>0</v>
      </c>
      <c r="AL26" s="128">
        <f t="shared" ca="1" si="52"/>
        <v>0</v>
      </c>
      <c r="AM26" s="128">
        <f t="shared" ca="1" si="52"/>
        <v>0</v>
      </c>
      <c r="AN26" s="129" t="str">
        <f t="array" ref="AN26">IFERROR(IF(E26="H",INDEX(HybridBonus_Value,MATCH(AN25,HybridBonus_Code,0)),""),"")</f>
        <v/>
      </c>
      <c r="AO26" s="130" t="str">
        <f>IFERROR(SUM(I26:AN26),"")</f>
        <v/>
      </c>
      <c r="AP26" s="132"/>
      <c r="AQ26" s="132"/>
      <c r="AR26" s="131"/>
      <c r="AS26" s="131"/>
      <c r="AT26" s="131"/>
      <c r="AU26" s="131"/>
      <c r="AV26" s="131"/>
      <c r="AW26" s="131"/>
      <c r="AX26" s="131"/>
      <c r="AY26" s="131"/>
      <c r="AZ26" s="131"/>
      <c r="BA26" s="131"/>
      <c r="BB26" s="131"/>
      <c r="BC26" s="131"/>
      <c r="BD26" s="131"/>
      <c r="BE26" s="131"/>
      <c r="BF26" s="131"/>
      <c r="BG26" s="12"/>
      <c r="BH26" s="131"/>
      <c r="BI26" s="5" t="str">
        <f t="shared" ref="BI26:BQ26" si="53">IF($E26="H",IF($F25="Hybrid - Thrust + 2 connections","Hybrid_Mix_Req_Value","HybridDD_Value"),IF($E26=3,"TreDD_Value",IF($E26="PA","AcroPair_Value",IF(LEFT($F25,4)="Acro",CONCATENATE(BI$16,$E26,"_Value"),""))))</f>
        <v/>
      </c>
      <c r="BJ26" s="5" t="str">
        <f t="shared" si="53"/>
        <v/>
      </c>
      <c r="BK26" s="5" t="str">
        <f t="shared" si="53"/>
        <v/>
      </c>
      <c r="BL26" s="5" t="str">
        <f t="shared" si="53"/>
        <v/>
      </c>
      <c r="BM26" s="5" t="str">
        <f t="shared" si="53"/>
        <v/>
      </c>
      <c r="BN26" s="5" t="str">
        <f t="shared" si="53"/>
        <v/>
      </c>
      <c r="BO26" s="5" t="str">
        <f t="shared" si="53"/>
        <v/>
      </c>
      <c r="BP26" s="5" t="str">
        <f t="shared" si="53"/>
        <v/>
      </c>
      <c r="BQ26" s="5" t="str">
        <f t="shared" si="53"/>
        <v/>
      </c>
      <c r="BR26" s="12" t="str">
        <f t="shared" ref="BR26:CL26" si="54">IF($E26="H",IF($F25="Hybrid - Thrust + 2 connections","Data!$BI$1:$BI$5","HybridDD_Value"),"Data!$BI$1:$BI$5")</f>
        <v>Data!$BI$1:$BI$5</v>
      </c>
      <c r="BS26" s="12" t="str">
        <f t="shared" si="54"/>
        <v>Data!$BI$1:$BI$5</v>
      </c>
      <c r="BT26" s="12" t="str">
        <f t="shared" si="54"/>
        <v>Data!$BI$1:$BI$5</v>
      </c>
      <c r="BU26" s="12" t="str">
        <f t="shared" si="54"/>
        <v>Data!$BI$1:$BI$5</v>
      </c>
      <c r="BV26" s="12" t="str">
        <f t="shared" si="54"/>
        <v>Data!$BI$1:$BI$5</v>
      </c>
      <c r="BW26" s="12" t="str">
        <f t="shared" si="54"/>
        <v>Data!$BI$1:$BI$5</v>
      </c>
      <c r="BX26" s="12" t="str">
        <f t="shared" si="54"/>
        <v>Data!$BI$1:$BI$5</v>
      </c>
      <c r="BY26" s="12" t="str">
        <f t="shared" si="54"/>
        <v>Data!$BI$1:$BI$5</v>
      </c>
      <c r="BZ26" s="12" t="str">
        <f t="shared" si="54"/>
        <v>Data!$BI$1:$BI$5</v>
      </c>
      <c r="CA26" s="12" t="str">
        <f t="shared" si="54"/>
        <v>Data!$BI$1:$BI$5</v>
      </c>
      <c r="CB26" s="12" t="str">
        <f t="shared" si="54"/>
        <v>Data!$BI$1:$BI$5</v>
      </c>
      <c r="CC26" s="12" t="str">
        <f t="shared" si="54"/>
        <v>Data!$BI$1:$BI$5</v>
      </c>
      <c r="CD26" s="12" t="str">
        <f t="shared" si="54"/>
        <v>Data!$BI$1:$BI$5</v>
      </c>
      <c r="CE26" s="12" t="str">
        <f t="shared" si="54"/>
        <v>Data!$BI$1:$BI$5</v>
      </c>
      <c r="CF26" s="12" t="str">
        <f t="shared" si="54"/>
        <v>Data!$BI$1:$BI$5</v>
      </c>
      <c r="CG26" s="12" t="str">
        <f t="shared" si="54"/>
        <v>Data!$BI$1:$BI$5</v>
      </c>
      <c r="CH26" s="12" t="str">
        <f t="shared" si="54"/>
        <v>Data!$BI$1:$BI$5</v>
      </c>
      <c r="CI26" s="12" t="str">
        <f t="shared" si="54"/>
        <v>Data!$BI$1:$BI$5</v>
      </c>
      <c r="CJ26" s="12" t="str">
        <f t="shared" si="54"/>
        <v>Data!$BI$1:$BI$5</v>
      </c>
      <c r="CK26" s="12" t="str">
        <f t="shared" si="54"/>
        <v>Data!$BI$1:$BI$5</v>
      </c>
      <c r="CL26" s="12" t="str">
        <f t="shared" si="54"/>
        <v>Data!$BI$1:$BI$5</v>
      </c>
      <c r="CM26" s="131"/>
      <c r="CN26" s="131"/>
      <c r="CO26" s="124" t="str">
        <f>IFERROR(IF(AND($BV$6="T",$BV$8="T",LEFT(F25,4)="Acro",AO26&gt;3),"X",IF($N$7="X",IF(AND(E26="C",AO26&gt;$CN$6),"X",IF(AND(E26="A",AO26&gt;$CN$4),"X",IF(AND(E26="B",AO26&gt;$CN$5),"X",IF(AND(E26="P",AO26&gt;$CN$7),"X","")))),"")),"")</f>
        <v/>
      </c>
      <c r="CP26" s="63"/>
      <c r="CQ26" s="5"/>
      <c r="CR26" s="15"/>
      <c r="CS26" s="5"/>
      <c r="CT26" s="5"/>
      <c r="CU26" s="5"/>
      <c r="CV26" s="5"/>
      <c r="CW26" s="5"/>
      <c r="CX26" s="5"/>
      <c r="CY26" s="5"/>
      <c r="CZ26" s="5"/>
      <c r="DA26" s="15"/>
      <c r="DB26" s="15"/>
      <c r="DC26" s="15"/>
      <c r="DD26" s="15" t="str">
        <f t="shared" si="10"/>
        <v/>
      </c>
      <c r="DE26" s="15" t="str">
        <f t="shared" si="11"/>
        <v/>
      </c>
      <c r="DF26" s="15" t="str">
        <f t="shared" si="12"/>
        <v/>
      </c>
      <c r="DG26" s="15" t="str">
        <f t="shared" si="13"/>
        <v/>
      </c>
      <c r="DH26" s="15"/>
      <c r="DI26" s="15"/>
      <c r="DJ26" s="15"/>
      <c r="DK26" s="15"/>
      <c r="DL26" s="15"/>
      <c r="DM26" s="15"/>
      <c r="DN26" s="15"/>
      <c r="DO26" s="15">
        <v>8</v>
      </c>
      <c r="DP26" s="15"/>
      <c r="DQ26" s="15"/>
      <c r="DR26" s="15"/>
      <c r="DS26" s="15"/>
      <c r="DT26" s="15"/>
      <c r="DU26" s="15"/>
      <c r="DV26" s="15"/>
      <c r="DW26" s="15"/>
      <c r="DX26" s="15"/>
      <c r="DY26" s="15"/>
      <c r="DZ26" s="15"/>
      <c r="EA26" s="15"/>
      <c r="EB26" s="15"/>
      <c r="EC26" s="15"/>
      <c r="ED26" s="15"/>
      <c r="EE26" s="15"/>
      <c r="EF26" s="15" t="str">
        <f t="array" ref="EF26">IFERROR(INDEX(EH26:FK26,MATCH(TRUE,INDEX((EH26:FK26&lt;&gt;""),),0)),"")</f>
        <v/>
      </c>
      <c r="EG26" s="15"/>
      <c r="EH26" s="15" t="str">
        <f t="shared" ref="EH26:FK26" si="55">IF(F25="Hybrid - Thrust + 2 connections",IF(COUNTIF($EH25:$FA25,EH25)&gt;1,EH25,""),IF(COUNTIF($EH25:$FA25,EH25)&gt;5,EH25,""))</f>
        <v/>
      </c>
      <c r="EI26" s="15" t="str">
        <f t="shared" si="55"/>
        <v/>
      </c>
      <c r="EJ26" s="15" t="str">
        <f t="shared" si="55"/>
        <v/>
      </c>
      <c r="EK26" s="15" t="str">
        <f t="shared" si="55"/>
        <v/>
      </c>
      <c r="EL26" s="15" t="str">
        <f t="shared" si="55"/>
        <v/>
      </c>
      <c r="EM26" s="15" t="str">
        <f t="shared" si="55"/>
        <v/>
      </c>
      <c r="EN26" s="15" t="str">
        <f t="shared" si="55"/>
        <v/>
      </c>
      <c r="EO26" s="15" t="str">
        <f t="shared" si="55"/>
        <v/>
      </c>
      <c r="EP26" s="15" t="str">
        <f t="shared" si="55"/>
        <v/>
      </c>
      <c r="EQ26" s="15" t="str">
        <f t="shared" si="55"/>
        <v/>
      </c>
      <c r="ER26" s="15" t="str">
        <f t="shared" si="55"/>
        <v/>
      </c>
      <c r="ES26" s="15" t="str">
        <f t="shared" si="55"/>
        <v/>
      </c>
      <c r="ET26" s="15" t="str">
        <f t="shared" si="55"/>
        <v/>
      </c>
      <c r="EU26" s="15" t="str">
        <f t="shared" si="55"/>
        <v/>
      </c>
      <c r="EV26" s="15" t="str">
        <f t="shared" si="55"/>
        <v/>
      </c>
      <c r="EW26" s="15" t="str">
        <f t="shared" si="55"/>
        <v/>
      </c>
      <c r="EX26" s="15" t="str">
        <f t="shared" si="55"/>
        <v/>
      </c>
      <c r="EY26" s="15" t="str">
        <f t="shared" si="55"/>
        <v/>
      </c>
      <c r="EZ26" s="15" t="str">
        <f t="shared" si="55"/>
        <v/>
      </c>
      <c r="FA26" s="15" t="str">
        <f t="shared" si="55"/>
        <v/>
      </c>
      <c r="FB26" s="15" t="str">
        <f t="shared" si="55"/>
        <v/>
      </c>
      <c r="FC26" s="15" t="str">
        <f t="shared" si="55"/>
        <v/>
      </c>
      <c r="FD26" s="15" t="str">
        <f t="shared" si="55"/>
        <v/>
      </c>
      <c r="FE26" s="15" t="str">
        <f t="shared" si="55"/>
        <v/>
      </c>
      <c r="FF26" s="15" t="str">
        <f t="shared" si="55"/>
        <v/>
      </c>
      <c r="FG26" s="15" t="str">
        <f t="shared" si="55"/>
        <v/>
      </c>
      <c r="FH26" s="15" t="str">
        <f t="shared" si="55"/>
        <v/>
      </c>
      <c r="FI26" s="15" t="str">
        <f t="shared" si="55"/>
        <v/>
      </c>
      <c r="FJ26" s="15" t="str">
        <f t="shared" si="55"/>
        <v/>
      </c>
      <c r="FK26" s="15" t="str">
        <f t="shared" si="55"/>
        <v/>
      </c>
      <c r="FL26" s="15">
        <f>FL24+5</f>
        <v>15</v>
      </c>
      <c r="FM26" s="15" t="str">
        <f ca="1">OFFSET($FM$75,FL26,0)</f>
        <v/>
      </c>
      <c r="FN26" s="15" t="str">
        <f ca="1">OFFSET($FN$75,FL26,0)</f>
        <v/>
      </c>
      <c r="FO26" s="244"/>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6"/>
      <c r="GS26" s="15"/>
      <c r="GT26" s="15"/>
      <c r="GU26" s="15"/>
      <c r="GV26" s="15"/>
      <c r="GW26" s="15"/>
      <c r="GX26" s="15"/>
      <c r="GY26" s="15"/>
      <c r="GZ26" s="15"/>
      <c r="HA26" s="15" t="str">
        <f>IF($F25="Hybrid - Thrust + 2 connections",COUNTBLANK(J25:L25),"")</f>
        <v/>
      </c>
      <c r="HB26" s="15"/>
      <c r="HC26" s="5"/>
      <c r="HD26" s="5"/>
      <c r="HE26" s="5"/>
      <c r="HF26" s="5"/>
    </row>
    <row r="27" spans="1:214" ht="12.75" customHeight="1" x14ac:dyDescent="0.3">
      <c r="A27" s="118" t="str">
        <f>IF(AND(E25="",A25&lt;&gt;""),IF(CP25=$CP$18,"",IF(C25&lt;&gt;"",IF(D25=59,MINUTE(CP25)+1,MINUTE(CP25)),"")),"")</f>
        <v/>
      </c>
      <c r="B27" s="119" t="str">
        <f>IF(AND(E25="",B25&lt;&gt;""),IF(CP25=$CP$18,"",IF(C25&lt;&gt;"",IF(D25=59,0,SECOND(CP25)+1),"")),"")</f>
        <v/>
      </c>
      <c r="C27" s="119"/>
      <c r="D27" s="119"/>
      <c r="E27" s="119"/>
      <c r="F27" s="57"/>
      <c r="G27" s="120" t="str">
        <f>IF(F27&lt;&gt;"",IF(OR(F27="Transition",F27="Transition - Surface Connection"),0,MAX($G$19:G26)+1),"")</f>
        <v/>
      </c>
      <c r="H27" s="223" t="str">
        <f>IFERROR(IF(E28="3","",IF(OR(F27="Hybrid - min 4 swimmers (no DD)",LEFT(F27,5)="Trans"),"No DD",CONCATENATE("BM = ",I28))),"")</f>
        <v/>
      </c>
      <c r="I27" s="224"/>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2"/>
      <c r="AO27" s="123"/>
      <c r="AP27" s="52"/>
      <c r="AQ27" s="52"/>
      <c r="AR27" s="12"/>
      <c r="AS27" s="12"/>
      <c r="AT27" s="12"/>
      <c r="AU27" s="12"/>
      <c r="AV27" s="12"/>
      <c r="AW27" s="12"/>
      <c r="AX27" s="12"/>
      <c r="AY27" s="12"/>
      <c r="AZ27" s="12"/>
      <c r="BA27" s="12"/>
      <c r="BB27" s="12"/>
      <c r="BC27" s="12"/>
      <c r="BD27" s="12"/>
      <c r="BE27" s="12"/>
      <c r="BF27" s="12"/>
      <c r="BG27" s="12" t="str">
        <f t="array" ref="BG27">IFERROR(IF(F27&lt;&gt;"",INDEX(Parts_Active,MATCH(F27,Parts_Active,0)),""),"No")</f>
        <v/>
      </c>
      <c r="BH27" s="12"/>
      <c r="BI27" s="12" t="str">
        <f>IF($E28="H",IF($F27="Hybrid - Thrust + 2 connections","Hybrid_Mix_Req",IF($F27="Hybrid - min 4 swimmers (no DD)","Hybrid_ChoHY","HybridDD_Code")),IF($E28=3,"TreDD_Code",IF($E28="PA","AcroPair_Code",IF(LEFT($F27,4)="Acro",CONCATENATE(BI$16,$E28,"_Code"),"Data!$BI$1:$BI$5"))))</f>
        <v>Data!$BI$1:$BI$5</v>
      </c>
      <c r="BJ27" s="12" t="str">
        <f t="shared" ref="BJ27:BQ27" si="56">IF($E28="H",IF($F27="Hybrid - Thrust + 2 connections","Hybrid_Mix_Req",IF($F27="Hybrid - min 4 swimmers (no DD)","Data!$BI$1:$BI$5","HybridDD_Code")),IF($E28=3,"TreDD_Code",IF($E28="PA","AcroPair_Code",IF(LEFT($F27,4)="Acro",CONCATENATE(BJ$16,$E28,"_Code"),"Data!$BI$1:$BI$5"))))</f>
        <v>Data!$BI$1:$BI$5</v>
      </c>
      <c r="BK27" s="12" t="str">
        <f t="shared" si="56"/>
        <v>Data!$BI$1:$BI$5</v>
      </c>
      <c r="BL27" s="12" t="str">
        <f t="shared" si="56"/>
        <v>Data!$BI$1:$BI$5</v>
      </c>
      <c r="BM27" s="12" t="str">
        <f t="shared" si="56"/>
        <v>Data!$BI$1:$BI$5</v>
      </c>
      <c r="BN27" s="12" t="str">
        <f t="shared" si="56"/>
        <v>Data!$BI$1:$BI$5</v>
      </c>
      <c r="BO27" s="12" t="str">
        <f t="shared" si="56"/>
        <v>Data!$BI$1:$BI$5</v>
      </c>
      <c r="BP27" s="12" t="str">
        <f t="shared" si="56"/>
        <v>Data!$BI$1:$BI$5</v>
      </c>
      <c r="BQ27" s="12" t="str">
        <f t="shared" si="56"/>
        <v>Data!$BI$1:$BI$5</v>
      </c>
      <c r="BR27" s="12" t="str">
        <f>IF($E28="H",IF($F27="Hybrid - Thrust + 2 connections","Data!$BI$1:$BI$5","HybridDD_Code"),"Data!$BI$1:$BI$5")</f>
        <v>Data!$BI$1:$BI$5</v>
      </c>
      <c r="BS27" s="12" t="str">
        <f t="shared" ref="BS27:CL27" si="57">$BR27</f>
        <v>Data!$BI$1:$BI$5</v>
      </c>
      <c r="BT27" s="12" t="str">
        <f t="shared" si="57"/>
        <v>Data!$BI$1:$BI$5</v>
      </c>
      <c r="BU27" s="12" t="str">
        <f t="shared" si="57"/>
        <v>Data!$BI$1:$BI$5</v>
      </c>
      <c r="BV27" s="12" t="str">
        <f t="shared" si="57"/>
        <v>Data!$BI$1:$BI$5</v>
      </c>
      <c r="BW27" s="12" t="str">
        <f t="shared" si="57"/>
        <v>Data!$BI$1:$BI$5</v>
      </c>
      <c r="BX27" s="12" t="str">
        <f t="shared" si="57"/>
        <v>Data!$BI$1:$BI$5</v>
      </c>
      <c r="BY27" s="12" t="str">
        <f t="shared" si="57"/>
        <v>Data!$BI$1:$BI$5</v>
      </c>
      <c r="BZ27" s="12" t="str">
        <f t="shared" si="57"/>
        <v>Data!$BI$1:$BI$5</v>
      </c>
      <c r="CA27" s="12" t="str">
        <f t="shared" si="57"/>
        <v>Data!$BI$1:$BI$5</v>
      </c>
      <c r="CB27" s="12" t="str">
        <f t="shared" si="57"/>
        <v>Data!$BI$1:$BI$5</v>
      </c>
      <c r="CC27" s="12" t="str">
        <f t="shared" si="57"/>
        <v>Data!$BI$1:$BI$5</v>
      </c>
      <c r="CD27" s="12" t="str">
        <f t="shared" si="57"/>
        <v>Data!$BI$1:$BI$5</v>
      </c>
      <c r="CE27" s="12" t="str">
        <f t="shared" si="57"/>
        <v>Data!$BI$1:$BI$5</v>
      </c>
      <c r="CF27" s="12" t="str">
        <f t="shared" si="57"/>
        <v>Data!$BI$1:$BI$5</v>
      </c>
      <c r="CG27" s="12" t="str">
        <f t="shared" si="57"/>
        <v>Data!$BI$1:$BI$5</v>
      </c>
      <c r="CH27" s="12" t="str">
        <f t="shared" si="57"/>
        <v>Data!$BI$1:$BI$5</v>
      </c>
      <c r="CI27" s="12" t="str">
        <f t="shared" si="57"/>
        <v>Data!$BI$1:$BI$5</v>
      </c>
      <c r="CJ27" s="12" t="str">
        <f t="shared" si="57"/>
        <v>Data!$BI$1:$BI$5</v>
      </c>
      <c r="CK27" s="12" t="str">
        <f t="shared" si="57"/>
        <v>Data!$BI$1:$BI$5</v>
      </c>
      <c r="CL27" s="12" t="str">
        <f t="shared" si="57"/>
        <v>Data!$BI$1:$BI$5</v>
      </c>
      <c r="CM27" s="12"/>
      <c r="CN27" s="12"/>
      <c r="CO27" s="63" t="str">
        <f>IFERROR(TIME(0,A27,B27),"")</f>
        <v/>
      </c>
      <c r="CP27" s="63">
        <f>IFERROR(TIME(0,C27,D27),"")</f>
        <v>0</v>
      </c>
      <c r="CQ27" s="63" t="str">
        <f>IF(CP27&gt;$D$12,"X","")</f>
        <v/>
      </c>
      <c r="CR27" s="15" t="str">
        <f>IF(AND(F27="Hybrid - Thrust + 2 connections",OR(LEFT(J27,1)="T",LEFT(K27,1)="T",LEFT(L27,1)="T",LEFT(OY27,1)="T",LEFT(M27,1)="T",LEFT(N27,1)="T",LEFT(O27,1)="T",LEFT(P27,1)="T",LEFT(Q27,1)="T",LEFT(R27,1)="T",LEFT(S27,1)="T",LEFT(T27,1)="T",LEFT(U27,1)="T",LEFT(V27,1)="T",LEFT(W27,1)="T",LEFT(X27,1)="T",LEFT(AK27,1)="T",LEFT(AL27,1)="T",LEFT(AM27,1)="T")),IF(OR(LEN(J27)=2,LEN(K27)=2,LEN(L27)=2,LEN(M27)=2,LEN(N27)=2,LEN(O27)=2,LEN(P27)=2,LEN(Q27)=2,LEN(R27)=2,LEN(S27)=2,LEN(T27)=2,LEN(U27)=2,LEN(V27)=2,LEN(W27)=2,LEN(X27)=2,LEN(Y27)=2,LEN(Z27)=2,LEN(AK27)=2,LEN(AL27)=2,LEN(AM27)=2),"X",""),"")</f>
        <v/>
      </c>
      <c r="CS27" s="5"/>
      <c r="CT27" s="15" t="str">
        <f>IF(LEFT(F27,4)="Acro",IF(AND(N27&lt;&gt;"",M27=RIGHT(N27,2)),"X","OK"),"")</f>
        <v/>
      </c>
      <c r="CU27" s="12" t="str">
        <f t="array" ref="CU27">IFERROR(IF(AND(LEFT($F27,4)="Acro",INDEX(Requ_App,MATCH(BI27,Requ_Code,0))="No"),"X",""),"")</f>
        <v/>
      </c>
      <c r="CV27" s="12" t="str">
        <f t="array" ref="CV27">IFERROR(IF(AND(LEFT($F27,4)="Acro",INDEX(Requ_App,MATCH(BJ27,Requ_Code,0))="No"),"X",""),"")</f>
        <v/>
      </c>
      <c r="CW27" s="12" t="str">
        <f t="array" ref="CW27">IFERROR(IF(AND(LEFT($F27,4)="Acro",INDEX(Requ_App,MATCH(BK27,Requ_Code,0))="No"),"X",""),"")</f>
        <v/>
      </c>
      <c r="CX27" s="12" t="str">
        <f t="array" ref="CX27">IFERROR(IF(AND(LEFT($F27,4)="Acro",INDEX(Requ_App,MATCH(BL27,Requ_Code,0))="No"),"X",""),"")</f>
        <v/>
      </c>
      <c r="CY27" s="12" t="str">
        <f t="array" ref="CY27">IFERROR(IF(AND(LEFT($F27,4)="Acro",INDEX(Requ_App,MATCH(BM27,Requ_Code,0))="No"),"X",""),"")</f>
        <v/>
      </c>
      <c r="CZ27" s="12" t="str">
        <f t="array" ref="CZ27">IFERROR(IF(AND(LEFT($F27,4)="Acro",INDEX(Requ_App,MATCH(BN27,Requ_Code,0))="No"),"X",""),"")</f>
        <v/>
      </c>
      <c r="DA27" s="12" t="str">
        <f t="array" ref="DA27">IFERROR(IF(AND(LEFT($F27,4)="Acro",INDEX(Requ_App,MATCH(BO27,Requ_Code,0))="No"),"X",""),"")</f>
        <v/>
      </c>
      <c r="DB27" s="12" t="str">
        <f t="array" ref="DB27">IFERROR(IF(AND(LEFT($F27,4)="Acro",INDEX(Requ_App,MATCH(BP27,Requ_Code,0))="No"),"X",""),"")</f>
        <v/>
      </c>
      <c r="DC27" s="12" t="str">
        <f t="array" ref="DC27">IFERROR(IF(AND(LEFT($F27,4)="Acro",INDEX(Requ_App,MATCH(BP27,Requ_Code,0))="No"),"X",""),"")</f>
        <v/>
      </c>
      <c r="DD27" s="15" t="str">
        <f t="shared" si="10"/>
        <v/>
      </c>
      <c r="DE27" s="15" t="str">
        <f t="shared" si="11"/>
        <v/>
      </c>
      <c r="DF27" s="15" t="str">
        <f t="shared" si="12"/>
        <v/>
      </c>
      <c r="DG27" s="15" t="str">
        <f t="shared" si="13"/>
        <v/>
      </c>
      <c r="DH27" s="15"/>
      <c r="DI27" s="15"/>
      <c r="DJ27" s="15"/>
      <c r="DK27" s="15">
        <f>IF(AND(E28="A",OR(Q27="Grip",Q27="Conn",Q27="Catch")),"A1",IF(AND(E28="A",OR(Q27="Hula",Q27="RetSq",Q27="RetPa")),"A2",IF(AND(E28="B",OR(Q27="Twirl",Q27="RotF")),"B1",IF(AND(E28="B",OR(Q27="Moon",Q27="Mov")),"B2",IF(AND(E28="B",Q27="Hold"),"B3",IF(AND(E28="P",OR(Q27="Porp",Q27="Spitch")),"P1",IF(AND(E28="P",OR(Q27="Dive",Q27="Ps1",Q27="Ps1t0.5",Q27="Ps1op",Q27="Ps1t0,5o",Q27="Ps1t1",Q27="CH+")),"P2",IF(AND(E28="P",OR(Q27="Spider",Q27="Climb")),"P3",IF(AND(E28="P",OR(Q27="Fall",Q27="FTurn")),"P4",IF(AND(E28="C",OR(Q27="Jump",Q27="Jump&gt;",Q27="On1Foot",Q27="1F&gt;1F")),"C1",IF(AND(E28="C",OR(Q27="Run",Q27="BRun")),"C2",1)))))))))))</f>
        <v>1</v>
      </c>
      <c r="DL27" s="15">
        <f>IF(AND(E28="A",OR(R27="Grip",R27="Conn",R27="Catch")),"A1",IF(AND(E28="A",OR(R27="Hula",R27="RetSq",R27="RetPa")),"A2",IF(AND(E28="B",OR(R27="Twirl",R27="RotF")),"B1",IF(AND(E28="B",OR(R27="Moon",R27="Mov")),"B3",IF(AND(E28="B",R27="Hold"),"B2",IF(AND(E28="P",OR(R27="Porp",R27="Spitch")),"P1",IF(AND(E28="P",OR(R27="Dive",R27="Ps1",R27="Ps1t0.5",R27="Ps1op",R27="Ps1t0,5o",R27="Ps1t1",R27="CH+")),"P2",IF(AND(E28="P",OR(R27="Spider",R27="Climb")),"P3",IF(AND(E28="P",OR(R27="Fall",R27="FTurn")),"P4",IF(AND(E28="C",OR(R27="Jump",R27="Jump&gt;",R27="On1Foot",R27="1F&gt;1F")),"C1",IF(AND(E28="C",OR(R27="Run",R27="BRun")),"C2",2)))))))))))</f>
        <v>2</v>
      </c>
      <c r="DM27" s="15" t="str">
        <f>IF(AND(LEFT(F27,4)="Acro",Q27&lt;&gt;"",OR(Q27=R27,DK27=DL27)),IF(R27="C-Roll","","X"),IF(OR(AND(E28="A",Q27="Catch",R27&lt;&gt;"Dbl"),AND(E28="A",R27="Catch",Q27&lt;&gt;"Dbl")),"X",""))</f>
        <v/>
      </c>
      <c r="DN27" s="15" t="str">
        <f>IF(E28="PA",J27,"")</f>
        <v/>
      </c>
      <c r="DO27" s="15">
        <v>9</v>
      </c>
      <c r="DP27" s="15"/>
      <c r="DQ27" s="15" t="str">
        <f t="shared" ref="DQ27:DR27" si="58">IF(AND($E28="A",COUNTIF($DZ$19:$EA$68,DZ27)&gt;1),DZ27,"")</f>
        <v/>
      </c>
      <c r="DR27" s="15" t="str">
        <f t="shared" si="58"/>
        <v/>
      </c>
      <c r="DS27" s="15" t="str">
        <f ca="1">IF(AND($E28="B",COUNTIF($J$19:$J$68,J27)&gt;1),J27,"")</f>
        <v/>
      </c>
      <c r="DT27" s="15" t="str">
        <f ca="1">IF(AND($E28="B",COUNTIF($K$19:$K$68,K27)&gt;1),K27,"")</f>
        <v/>
      </c>
      <c r="DU27" s="15" t="str">
        <f ca="1">IF(AND($E28="C",COUNTIF($J$19:$J$68,J27)&gt;1),J27,"")</f>
        <v/>
      </c>
      <c r="DV27" s="15" t="str">
        <f ca="1">IF(AND($E28="P",COUNTIF($J$19:$J$68,J27)&gt;1),J27,"")</f>
        <v/>
      </c>
      <c r="DW27" s="15" t="str">
        <f ca="1">IF(AND($E28="P",COUNTIF($K$19:$K$68,K27)&gt;1),K27,"")</f>
        <v/>
      </c>
      <c r="DX27" s="15" t="str">
        <f t="shared" ref="DX27:DY27" si="59">IF(AND($E28="P",COUNTIF($DZ$19:$EA$68,DZ27)&gt;1),DZ27,"")</f>
        <v/>
      </c>
      <c r="DY27" s="15" t="str">
        <f t="shared" si="59"/>
        <v/>
      </c>
      <c r="DZ27" s="15" t="str">
        <f>IFERROR(IF(OR(E28="A",E28="P"),M27,""),"")</f>
        <v/>
      </c>
      <c r="EA27" s="15" t="str">
        <f>IFERROR(IF(OR(E28="A",E28="P"),RIGHT(N27,2),""),"")</f>
        <v/>
      </c>
      <c r="EB27" s="15"/>
      <c r="EC27" s="15" t="str">
        <f>IF(AND($F$8="Open Team Acrobatic",LEFT(F27,4)="Acro"),E28,"")</f>
        <v/>
      </c>
      <c r="ED27" s="15" t="str">
        <f>IFERROR(IF(HLOOKUP(EC27,$DQ$12:$DT$13,2,FALSE)&gt;2,"X",""),"")</f>
        <v/>
      </c>
      <c r="EE27" s="15"/>
      <c r="EF27" s="15" t="str">
        <f>IF(OR(AND(F27="Hybrid - Thrust + 2 connections",EF28="T"),AND(E28="H",EF28&lt;&gt;"")),"X","")</f>
        <v/>
      </c>
      <c r="EG27" s="15"/>
      <c r="EH27" s="15">
        <f t="shared" ref="EH27:EX27" si="60">IFERROR(IF(AND($E28="H",J27&lt;&gt;""),IF(OR(LEFT(J27,1)="T",LEFT(J27,1)="S",LEFT(J27,1)="A",LEFT(J27,1)="F",LEFT(J27,1)="C"),LEFT(J27,1),"R"),EH$18),"")</f>
        <v>1</v>
      </c>
      <c r="EI27" s="15">
        <f t="shared" si="60"/>
        <v>2</v>
      </c>
      <c r="EJ27" s="15">
        <f t="shared" si="60"/>
        <v>3</v>
      </c>
      <c r="EK27" s="15">
        <f t="shared" si="60"/>
        <v>4</v>
      </c>
      <c r="EL27" s="15">
        <f t="shared" si="60"/>
        <v>5</v>
      </c>
      <c r="EM27" s="15">
        <f t="shared" si="60"/>
        <v>6</v>
      </c>
      <c r="EN27" s="15">
        <f t="shared" si="60"/>
        <v>7</v>
      </c>
      <c r="EO27" s="15">
        <f t="shared" si="60"/>
        <v>8</v>
      </c>
      <c r="EP27" s="15">
        <f t="shared" si="60"/>
        <v>9</v>
      </c>
      <c r="EQ27" s="15">
        <f t="shared" si="60"/>
        <v>10</v>
      </c>
      <c r="ER27" s="15">
        <f t="shared" si="60"/>
        <v>11</v>
      </c>
      <c r="ES27" s="15">
        <f t="shared" si="60"/>
        <v>12</v>
      </c>
      <c r="ET27" s="15">
        <f t="shared" si="60"/>
        <v>13</v>
      </c>
      <c r="EU27" s="15">
        <f t="shared" si="60"/>
        <v>14</v>
      </c>
      <c r="EV27" s="15">
        <f t="shared" si="60"/>
        <v>15</v>
      </c>
      <c r="EW27" s="15">
        <f t="shared" si="60"/>
        <v>16</v>
      </c>
      <c r="EX27" s="15">
        <f t="shared" si="60"/>
        <v>17</v>
      </c>
      <c r="EY27" s="15">
        <f t="shared" ref="EY27:FK27" si="61">IFERROR(IF(AND($E28="H",AK27&lt;&gt;""),IF(OR(LEFT(AK27,1)="T",LEFT(AK27,1)="S",LEFT(AK27,1)="A",LEFT(AK27,1)="F",LEFT(AK27,1)="C"),LEFT(AK27,1),"R"),EY$18),"")</f>
        <v>18</v>
      </c>
      <c r="EZ27" s="15">
        <f t="shared" si="61"/>
        <v>19</v>
      </c>
      <c r="FA27" s="15">
        <f t="shared" si="61"/>
        <v>20</v>
      </c>
      <c r="FB27" s="15">
        <f t="shared" si="61"/>
        <v>21</v>
      </c>
      <c r="FC27" s="15">
        <f t="shared" si="61"/>
        <v>22</v>
      </c>
      <c r="FD27" s="15">
        <f t="shared" si="61"/>
        <v>23</v>
      </c>
      <c r="FE27" s="15">
        <f t="shared" si="61"/>
        <v>24</v>
      </c>
      <c r="FF27" s="15">
        <f t="shared" si="61"/>
        <v>25</v>
      </c>
      <c r="FG27" s="15">
        <f t="shared" si="61"/>
        <v>26</v>
      </c>
      <c r="FH27" s="15">
        <f t="shared" si="61"/>
        <v>27</v>
      </c>
      <c r="FI27" s="15">
        <f t="shared" si="61"/>
        <v>28</v>
      </c>
      <c r="FJ27" s="15">
        <f t="shared" si="61"/>
        <v>29</v>
      </c>
      <c r="FK27" s="15">
        <f t="shared" si="61"/>
        <v>30</v>
      </c>
      <c r="FL27" s="15"/>
      <c r="FM27" s="15"/>
      <c r="FN27" s="15"/>
      <c r="FO27" s="244"/>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6"/>
      <c r="GS27" s="15"/>
      <c r="GT27" s="15">
        <f t="shared" ref="GT27:GY27" si="62">COUNTIF($EH27:$FK27,GT$18)</f>
        <v>0</v>
      </c>
      <c r="GU27" s="15">
        <f t="shared" si="62"/>
        <v>0</v>
      </c>
      <c r="GV27" s="15">
        <f t="shared" si="62"/>
        <v>0</v>
      </c>
      <c r="GW27" s="15">
        <f t="shared" si="62"/>
        <v>0</v>
      </c>
      <c r="GX27" s="15">
        <f t="shared" si="62"/>
        <v>0</v>
      </c>
      <c r="GY27" s="15">
        <f t="shared" si="62"/>
        <v>0</v>
      </c>
      <c r="GZ27" s="15"/>
      <c r="HA27" s="15" t="str">
        <f>IF(AND($F27="Hybrid - Thrust + 2 connections",HA28=0,LEFT($J27,1)="C",LEFT($K27,1)="C",LEFT($L27,1)="C"),"X","")</f>
        <v/>
      </c>
      <c r="HB27" s="15"/>
      <c r="HC27" s="5"/>
      <c r="HD27" s="124"/>
      <c r="HE27" s="124"/>
      <c r="HF27" s="5" t="str">
        <f>IF(E28=3,_xludf.NUMBERVALUE(LEFT(J27,1)),"")</f>
        <v/>
      </c>
    </row>
    <row r="28" spans="1:214" ht="12.75" customHeight="1" x14ac:dyDescent="0.3">
      <c r="A28" s="118"/>
      <c r="B28" s="119"/>
      <c r="C28" s="119"/>
      <c r="D28" s="119"/>
      <c r="E28" s="50" t="str">
        <f>IF(F27="Acrobatic - Pair","PA",IF(F27="Acrobatic Airborn","A",IF(F27="Acrobatic Balance","B",IF(F27="Acrobatic Combined","C",IF(F27="Acrobatic Platform","P",IF(F27="Technical Required Element",3,IF(LEFT(F27,4)="Hybr","H","")))))))</f>
        <v/>
      </c>
      <c r="F28" s="50" t="str">
        <f>IF(AND(F27="Hybrid - Thrust + 2 connections",CR27="X"),"Hybrid - Thrust",IF(OR(E28="A",E28="B",E28="C",E28="P"),"Acrobatic",""))</f>
        <v/>
      </c>
      <c r="G28" s="120"/>
      <c r="H28" s="126" t="str">
        <f>IF(E28="PA",IF(OR(LEFT(J27,1)="L",LEFT(J27,1)="S"),"A-Pair-Lift",IF(OR(LEFT(J27,1)="W",LEFT(J27,1)="T"),"A-Pair-Throw",IF(LEFT(J27,1)="J","A-Pair-Jump","A-Pair"))),IF(OR(E28="A",E28="B",E28="C",E28="P"),CONCATENATE("Acro-",E28),""))</f>
        <v/>
      </c>
      <c r="I28" s="127" t="e">
        <f t="array" ref="I28">IF(OR(F27="Hybrid - min 4 swimmers (no DD)",LEFT(F27,5)="Trans"),0,INDEX($BY$3:$BY$9,MATCH(E28,$BX$3:$BX$9,0)))</f>
        <v>#N/A</v>
      </c>
      <c r="J28" s="128">
        <f t="array" aca="1" ref="J28" ca="1">IFERROR(IF($H27="No DD",IF(J27="ChoHY",1,0),IF(OR(ISBLANK(J27),J27="N/A"),0,INDEX(INDIRECT(BI28),MATCH(J27,INDIRECT(BI27),0)))),0)</f>
        <v>0</v>
      </c>
      <c r="K28" s="128">
        <f t="shared" ref="K28:AM28" ca="1" si="63">IFERROR(IF($H27="No DD",0,IF(OR(ISBLANK(K27),K27="N/A"),0,INDEX(INDIRECT(BJ28),MATCH(K27,INDIRECT(BJ27),0)))),0)</f>
        <v>0</v>
      </c>
      <c r="L28" s="128">
        <f t="shared" ca="1" si="63"/>
        <v>0</v>
      </c>
      <c r="M28" s="128">
        <f t="shared" ca="1" si="63"/>
        <v>0</v>
      </c>
      <c r="N28" s="128">
        <f t="shared" ca="1" si="63"/>
        <v>0</v>
      </c>
      <c r="O28" s="128">
        <f t="shared" ca="1" si="63"/>
        <v>0</v>
      </c>
      <c r="P28" s="128">
        <f t="shared" ca="1" si="63"/>
        <v>0</v>
      </c>
      <c r="Q28" s="128">
        <f t="shared" ca="1" si="63"/>
        <v>0</v>
      </c>
      <c r="R28" s="128">
        <f t="shared" ca="1" si="63"/>
        <v>0</v>
      </c>
      <c r="S28" s="128">
        <f t="shared" ca="1" si="63"/>
        <v>0</v>
      </c>
      <c r="T28" s="128">
        <f t="shared" ca="1" si="63"/>
        <v>0</v>
      </c>
      <c r="U28" s="128">
        <f t="shared" ca="1" si="63"/>
        <v>0</v>
      </c>
      <c r="V28" s="128">
        <f t="shared" ca="1" si="63"/>
        <v>0</v>
      </c>
      <c r="W28" s="128">
        <f t="shared" ca="1" si="63"/>
        <v>0</v>
      </c>
      <c r="X28" s="128">
        <f t="shared" ca="1" si="63"/>
        <v>0</v>
      </c>
      <c r="Y28" s="128">
        <f t="shared" ca="1" si="63"/>
        <v>0</v>
      </c>
      <c r="Z28" s="128">
        <f t="shared" ca="1" si="63"/>
        <v>0</v>
      </c>
      <c r="AA28" s="128">
        <f t="shared" ca="1" si="63"/>
        <v>0</v>
      </c>
      <c r="AB28" s="128">
        <f t="shared" ca="1" si="63"/>
        <v>0</v>
      </c>
      <c r="AC28" s="128">
        <f t="shared" ca="1" si="63"/>
        <v>0</v>
      </c>
      <c r="AD28" s="128">
        <f t="shared" ca="1" si="63"/>
        <v>0</v>
      </c>
      <c r="AE28" s="128">
        <f t="shared" ca="1" si="63"/>
        <v>0</v>
      </c>
      <c r="AF28" s="128">
        <f t="shared" ca="1" si="63"/>
        <v>0</v>
      </c>
      <c r="AG28" s="128">
        <f t="shared" ca="1" si="63"/>
        <v>0</v>
      </c>
      <c r="AH28" s="128">
        <f t="shared" ca="1" si="63"/>
        <v>0</v>
      </c>
      <c r="AI28" s="128">
        <f t="shared" ca="1" si="63"/>
        <v>0</v>
      </c>
      <c r="AJ28" s="128">
        <f t="shared" ca="1" si="63"/>
        <v>0</v>
      </c>
      <c r="AK28" s="128">
        <f t="shared" ca="1" si="63"/>
        <v>0</v>
      </c>
      <c r="AL28" s="128">
        <f t="shared" ca="1" si="63"/>
        <v>0</v>
      </c>
      <c r="AM28" s="128">
        <f t="shared" ca="1" si="63"/>
        <v>0</v>
      </c>
      <c r="AN28" s="129" t="str">
        <f t="array" ref="AN28">IFERROR(IF(E28="H",INDEX(HybridBonus_Value,MATCH(AN27,HybridBonus_Code,0)),""),"")</f>
        <v/>
      </c>
      <c r="AO28" s="130" t="str">
        <f>IFERROR(SUM(I28:AN28),"")</f>
        <v/>
      </c>
      <c r="AP28" s="132"/>
      <c r="AQ28" s="132"/>
      <c r="AR28" s="131"/>
      <c r="AS28" s="131"/>
      <c r="AT28" s="131"/>
      <c r="AU28" s="131"/>
      <c r="AV28" s="131"/>
      <c r="AW28" s="131"/>
      <c r="AX28" s="131"/>
      <c r="AY28" s="131"/>
      <c r="AZ28" s="131"/>
      <c r="BA28" s="131"/>
      <c r="BB28" s="131"/>
      <c r="BC28" s="131"/>
      <c r="BD28" s="131"/>
      <c r="BE28" s="131"/>
      <c r="BF28" s="131"/>
      <c r="BG28" s="12"/>
      <c r="BH28" s="131"/>
      <c r="BI28" s="5" t="str">
        <f t="shared" ref="BI28:BQ28" si="64">IF($E28="H",IF($F27="Hybrid - Thrust + 2 connections","Hybrid_Mix_Req_Value","HybridDD_Value"),IF($E28=3,"TreDD_Value",IF($E28="PA","AcroPair_Value",IF(LEFT($F27,4)="Acro",CONCATENATE(BI$16,$E28,"_Value"),""))))</f>
        <v/>
      </c>
      <c r="BJ28" s="5" t="str">
        <f t="shared" si="64"/>
        <v/>
      </c>
      <c r="BK28" s="5" t="str">
        <f t="shared" si="64"/>
        <v/>
      </c>
      <c r="BL28" s="5" t="str">
        <f t="shared" si="64"/>
        <v/>
      </c>
      <c r="BM28" s="5" t="str">
        <f t="shared" si="64"/>
        <v/>
      </c>
      <c r="BN28" s="5" t="str">
        <f t="shared" si="64"/>
        <v/>
      </c>
      <c r="BO28" s="5" t="str">
        <f t="shared" si="64"/>
        <v/>
      </c>
      <c r="BP28" s="5" t="str">
        <f t="shared" si="64"/>
        <v/>
      </c>
      <c r="BQ28" s="5" t="str">
        <f t="shared" si="64"/>
        <v/>
      </c>
      <c r="BR28" s="12" t="str">
        <f t="shared" ref="BR28:CL28" si="65">IF($E28="H",IF($F27="Hybrid - Thrust + 2 connections","Data!$BI$1:$BI$5","HybridDD_Value"),"Data!$BI$1:$BI$5")</f>
        <v>Data!$BI$1:$BI$5</v>
      </c>
      <c r="BS28" s="12" t="str">
        <f t="shared" si="65"/>
        <v>Data!$BI$1:$BI$5</v>
      </c>
      <c r="BT28" s="12" t="str">
        <f t="shared" si="65"/>
        <v>Data!$BI$1:$BI$5</v>
      </c>
      <c r="BU28" s="12" t="str">
        <f t="shared" si="65"/>
        <v>Data!$BI$1:$BI$5</v>
      </c>
      <c r="BV28" s="12" t="str">
        <f t="shared" si="65"/>
        <v>Data!$BI$1:$BI$5</v>
      </c>
      <c r="BW28" s="12" t="str">
        <f t="shared" si="65"/>
        <v>Data!$BI$1:$BI$5</v>
      </c>
      <c r="BX28" s="12" t="str">
        <f t="shared" si="65"/>
        <v>Data!$BI$1:$BI$5</v>
      </c>
      <c r="BY28" s="12" t="str">
        <f t="shared" si="65"/>
        <v>Data!$BI$1:$BI$5</v>
      </c>
      <c r="BZ28" s="12" t="str">
        <f t="shared" si="65"/>
        <v>Data!$BI$1:$BI$5</v>
      </c>
      <c r="CA28" s="12" t="str">
        <f t="shared" si="65"/>
        <v>Data!$BI$1:$BI$5</v>
      </c>
      <c r="CB28" s="12" t="str">
        <f t="shared" si="65"/>
        <v>Data!$BI$1:$BI$5</v>
      </c>
      <c r="CC28" s="12" t="str">
        <f t="shared" si="65"/>
        <v>Data!$BI$1:$BI$5</v>
      </c>
      <c r="CD28" s="12" t="str">
        <f t="shared" si="65"/>
        <v>Data!$BI$1:$BI$5</v>
      </c>
      <c r="CE28" s="12" t="str">
        <f t="shared" si="65"/>
        <v>Data!$BI$1:$BI$5</v>
      </c>
      <c r="CF28" s="12" t="str">
        <f t="shared" si="65"/>
        <v>Data!$BI$1:$BI$5</v>
      </c>
      <c r="CG28" s="12" t="str">
        <f t="shared" si="65"/>
        <v>Data!$BI$1:$BI$5</v>
      </c>
      <c r="CH28" s="12" t="str">
        <f t="shared" si="65"/>
        <v>Data!$BI$1:$BI$5</v>
      </c>
      <c r="CI28" s="12" t="str">
        <f t="shared" si="65"/>
        <v>Data!$BI$1:$BI$5</v>
      </c>
      <c r="CJ28" s="12" t="str">
        <f t="shared" si="65"/>
        <v>Data!$BI$1:$BI$5</v>
      </c>
      <c r="CK28" s="12" t="str">
        <f t="shared" si="65"/>
        <v>Data!$BI$1:$BI$5</v>
      </c>
      <c r="CL28" s="12" t="str">
        <f t="shared" si="65"/>
        <v>Data!$BI$1:$BI$5</v>
      </c>
      <c r="CM28" s="131"/>
      <c r="CN28" s="131"/>
      <c r="CO28" s="124" t="str">
        <f>IFERROR(IF(AND($BV$6="T",$BV$8="T",LEFT(F27,4)="Acro",AO28&gt;3),"X",IF($N$7="X",IF(AND(E28="C",AO28&gt;$CN$6),"X",IF(AND(E28="A",AO28&gt;$CN$4),"X",IF(AND(E28="B",AO28&gt;$CN$5),"X",IF(AND(E28="P",AO28&gt;$CN$7),"X","")))),"")),"")</f>
        <v/>
      </c>
      <c r="CP28" s="63"/>
      <c r="CQ28" s="5"/>
      <c r="CR28" s="15"/>
      <c r="CS28" s="5"/>
      <c r="CT28" s="5"/>
      <c r="CU28" s="5"/>
      <c r="CV28" s="5"/>
      <c r="CW28" s="5"/>
      <c r="CX28" s="5"/>
      <c r="CY28" s="5"/>
      <c r="CZ28" s="5"/>
      <c r="DA28" s="15"/>
      <c r="DB28" s="15"/>
      <c r="DC28" s="15"/>
      <c r="DD28" s="15" t="str">
        <f t="shared" si="10"/>
        <v/>
      </c>
      <c r="DE28" s="15" t="str">
        <f t="shared" si="11"/>
        <v/>
      </c>
      <c r="DF28" s="15" t="str">
        <f t="shared" si="12"/>
        <v/>
      </c>
      <c r="DG28" s="15" t="str">
        <f t="shared" si="13"/>
        <v/>
      </c>
      <c r="DH28" s="15"/>
      <c r="DI28" s="15"/>
      <c r="DJ28" s="15"/>
      <c r="DK28" s="15"/>
      <c r="DL28" s="15"/>
      <c r="DM28" s="15"/>
      <c r="DN28" s="15"/>
      <c r="DO28" s="15">
        <v>10</v>
      </c>
      <c r="DP28" s="15"/>
      <c r="DQ28" s="15"/>
      <c r="DR28" s="15"/>
      <c r="DS28" s="15"/>
      <c r="DT28" s="15"/>
      <c r="DU28" s="15"/>
      <c r="DV28" s="15"/>
      <c r="DW28" s="15"/>
      <c r="DX28" s="15"/>
      <c r="DY28" s="15"/>
      <c r="DZ28" s="15"/>
      <c r="EA28" s="15"/>
      <c r="EB28" s="15"/>
      <c r="EC28" s="15"/>
      <c r="ED28" s="15"/>
      <c r="EE28" s="15"/>
      <c r="EF28" s="15" t="str">
        <f t="array" ref="EF28">IFERROR(INDEX(EH28:FK28,MATCH(TRUE,INDEX((EH28:FK28&lt;&gt;""),),0)),"")</f>
        <v/>
      </c>
      <c r="EG28" s="15"/>
      <c r="EH28" s="15" t="str">
        <f t="shared" ref="EH28:FK28" si="66">IF(F27="Hybrid - Thrust + 2 connections",IF(COUNTIF($EH27:$FA27,EH27)&gt;1,EH27,""),IF(COUNTIF($EH27:$FA27,EH27)&gt;5,EH27,""))</f>
        <v/>
      </c>
      <c r="EI28" s="15" t="str">
        <f t="shared" si="66"/>
        <v/>
      </c>
      <c r="EJ28" s="15" t="str">
        <f t="shared" si="66"/>
        <v/>
      </c>
      <c r="EK28" s="15" t="str">
        <f t="shared" si="66"/>
        <v/>
      </c>
      <c r="EL28" s="15" t="str">
        <f t="shared" si="66"/>
        <v/>
      </c>
      <c r="EM28" s="15" t="str">
        <f t="shared" si="66"/>
        <v/>
      </c>
      <c r="EN28" s="15" t="str">
        <f t="shared" si="66"/>
        <v/>
      </c>
      <c r="EO28" s="15" t="str">
        <f t="shared" si="66"/>
        <v/>
      </c>
      <c r="EP28" s="15" t="str">
        <f t="shared" si="66"/>
        <v/>
      </c>
      <c r="EQ28" s="15" t="str">
        <f t="shared" si="66"/>
        <v/>
      </c>
      <c r="ER28" s="15" t="str">
        <f t="shared" si="66"/>
        <v/>
      </c>
      <c r="ES28" s="15" t="str">
        <f t="shared" si="66"/>
        <v/>
      </c>
      <c r="ET28" s="15" t="str">
        <f t="shared" si="66"/>
        <v/>
      </c>
      <c r="EU28" s="15" t="str">
        <f t="shared" si="66"/>
        <v/>
      </c>
      <c r="EV28" s="15" t="str">
        <f t="shared" si="66"/>
        <v/>
      </c>
      <c r="EW28" s="15" t="str">
        <f t="shared" si="66"/>
        <v/>
      </c>
      <c r="EX28" s="15" t="str">
        <f t="shared" si="66"/>
        <v/>
      </c>
      <c r="EY28" s="15" t="str">
        <f t="shared" si="66"/>
        <v/>
      </c>
      <c r="EZ28" s="15" t="str">
        <f t="shared" si="66"/>
        <v/>
      </c>
      <c r="FA28" s="15" t="str">
        <f t="shared" si="66"/>
        <v/>
      </c>
      <c r="FB28" s="15" t="str">
        <f t="shared" si="66"/>
        <v/>
      </c>
      <c r="FC28" s="15" t="str">
        <f t="shared" si="66"/>
        <v/>
      </c>
      <c r="FD28" s="15" t="str">
        <f t="shared" si="66"/>
        <v/>
      </c>
      <c r="FE28" s="15" t="str">
        <f t="shared" si="66"/>
        <v/>
      </c>
      <c r="FF28" s="15" t="str">
        <f t="shared" si="66"/>
        <v/>
      </c>
      <c r="FG28" s="15" t="str">
        <f t="shared" si="66"/>
        <v/>
      </c>
      <c r="FH28" s="15" t="str">
        <f t="shared" si="66"/>
        <v/>
      </c>
      <c r="FI28" s="15" t="str">
        <f t="shared" si="66"/>
        <v/>
      </c>
      <c r="FJ28" s="15" t="str">
        <f t="shared" si="66"/>
        <v/>
      </c>
      <c r="FK28" s="15" t="str">
        <f t="shared" si="66"/>
        <v/>
      </c>
      <c r="FL28" s="15">
        <f>FL26+5</f>
        <v>20</v>
      </c>
      <c r="FM28" s="15" t="str">
        <f ca="1">OFFSET($FM$75,FL28,0)</f>
        <v/>
      </c>
      <c r="FN28" s="15" t="str">
        <f ca="1">OFFSET($FN$75,FL28,0)</f>
        <v/>
      </c>
      <c r="FO28" s="244"/>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6"/>
      <c r="GS28" s="15"/>
      <c r="GT28" s="15"/>
      <c r="GU28" s="15"/>
      <c r="GV28" s="15"/>
      <c r="GW28" s="15"/>
      <c r="GX28" s="15"/>
      <c r="GY28" s="15"/>
      <c r="GZ28" s="15"/>
      <c r="HA28" s="15" t="str">
        <f>IF($F27="Hybrid - Thrust + 2 connections",COUNTBLANK(J27:L27),"")</f>
        <v/>
      </c>
      <c r="HB28" s="15"/>
      <c r="HC28" s="5"/>
      <c r="HD28" s="5"/>
      <c r="HE28" s="5"/>
      <c r="HF28" s="5"/>
    </row>
    <row r="29" spans="1:214" ht="12.75" customHeight="1" x14ac:dyDescent="0.3">
      <c r="A29" s="118" t="str">
        <f>IF(AND(E27="",A27&lt;&gt;""),IF(CP27=$CP$18,"",IF(C27&lt;&gt;"",IF(D27=59,MINUTE(CP27)+1,MINUTE(CP27)),"")),"")</f>
        <v/>
      </c>
      <c r="B29" s="119" t="str">
        <f>IF(AND(E27="",B27&lt;&gt;""),IF(CP27=$CP$18,"",IF(C27&lt;&gt;"",IF(D27=59,0,SECOND(CP27)+1),"")),"")</f>
        <v/>
      </c>
      <c r="C29" s="119"/>
      <c r="D29" s="119"/>
      <c r="E29" s="119"/>
      <c r="F29" s="57"/>
      <c r="G29" s="120" t="str">
        <f>IF(F29&lt;&gt;"",IF(OR(F29="Transition",F29="Transition - Surface Connection"),0,MAX($G$19:G28)+1),"")</f>
        <v/>
      </c>
      <c r="H29" s="223" t="str">
        <f>IFERROR(IF(E30="3","",IF(OR(F29="Hybrid - min 4 swimmers (no DD)",LEFT(F29,5)="Trans"),"No DD",CONCATENATE("BM = ",I30))),"")</f>
        <v/>
      </c>
      <c r="I29" s="224"/>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2"/>
      <c r="AO29" s="123"/>
      <c r="AP29" s="52"/>
      <c r="AQ29" s="52"/>
      <c r="AR29" s="12"/>
      <c r="AS29" s="12"/>
      <c r="AT29" s="12"/>
      <c r="AU29" s="12"/>
      <c r="AV29" s="12"/>
      <c r="AW29" s="12"/>
      <c r="AX29" s="12"/>
      <c r="AY29" s="12"/>
      <c r="AZ29" s="12"/>
      <c r="BA29" s="12"/>
      <c r="BB29" s="12"/>
      <c r="BC29" s="12"/>
      <c r="BD29" s="12"/>
      <c r="BE29" s="12"/>
      <c r="BF29" s="12"/>
      <c r="BG29" s="12" t="str">
        <f t="array" ref="BG29">IFERROR(IF(F29&lt;&gt;"",INDEX(Parts_Active,MATCH(F29,Parts_Active,0)),""),"No")</f>
        <v/>
      </c>
      <c r="BH29" s="12"/>
      <c r="BI29" s="12" t="str">
        <f>IF($E30="H",IF($F29="Hybrid - Thrust + 2 connections","Hybrid_Mix_Req",IF($F29="Hybrid - min 4 swimmers (no DD)","Hybrid_ChoHY","HybridDD_Code")),IF($E30=3,"TreDD_Code",IF($E30="PA","AcroPair_Code",IF(LEFT($F29,4)="Acro",CONCATENATE(BI$16,$E30,"_Code"),"Data!$BI$1:$BI$5"))))</f>
        <v>Data!$BI$1:$BI$5</v>
      </c>
      <c r="BJ29" s="12" t="str">
        <f t="shared" ref="BJ29:BQ29" si="67">IF($E30="H",IF($F29="Hybrid - Thrust + 2 connections","Hybrid_Mix_Req",IF($F29="Hybrid - min 4 swimmers (no DD)","Data!$BI$1:$BI$5","HybridDD_Code")),IF($E30=3,"TreDD_Code",IF($E30="PA","AcroPair_Code",IF(LEFT($F29,4)="Acro",CONCATENATE(BJ$16,$E30,"_Code"),"Data!$BI$1:$BI$5"))))</f>
        <v>Data!$BI$1:$BI$5</v>
      </c>
      <c r="BK29" s="12" t="str">
        <f t="shared" si="67"/>
        <v>Data!$BI$1:$BI$5</v>
      </c>
      <c r="BL29" s="12" t="str">
        <f t="shared" si="67"/>
        <v>Data!$BI$1:$BI$5</v>
      </c>
      <c r="BM29" s="12" t="str">
        <f t="shared" si="67"/>
        <v>Data!$BI$1:$BI$5</v>
      </c>
      <c r="BN29" s="12" t="str">
        <f t="shared" si="67"/>
        <v>Data!$BI$1:$BI$5</v>
      </c>
      <c r="BO29" s="12" t="str">
        <f t="shared" si="67"/>
        <v>Data!$BI$1:$BI$5</v>
      </c>
      <c r="BP29" s="12" t="str">
        <f t="shared" si="67"/>
        <v>Data!$BI$1:$BI$5</v>
      </c>
      <c r="BQ29" s="12" t="str">
        <f t="shared" si="67"/>
        <v>Data!$BI$1:$BI$5</v>
      </c>
      <c r="BR29" s="12" t="str">
        <f>IF($E30="H",IF($F29="Hybrid - Thrust + 2 connections","Data!$BI$1:$BI$5","HybridDD_Code"),"Data!$BI$1:$BI$5")</f>
        <v>Data!$BI$1:$BI$5</v>
      </c>
      <c r="BS29" s="12" t="str">
        <f t="shared" ref="BS29:CL29" si="68">$BR29</f>
        <v>Data!$BI$1:$BI$5</v>
      </c>
      <c r="BT29" s="12" t="str">
        <f t="shared" si="68"/>
        <v>Data!$BI$1:$BI$5</v>
      </c>
      <c r="BU29" s="12" t="str">
        <f t="shared" si="68"/>
        <v>Data!$BI$1:$BI$5</v>
      </c>
      <c r="BV29" s="12" t="str">
        <f t="shared" si="68"/>
        <v>Data!$BI$1:$BI$5</v>
      </c>
      <c r="BW29" s="12" t="str">
        <f t="shared" si="68"/>
        <v>Data!$BI$1:$BI$5</v>
      </c>
      <c r="BX29" s="12" t="str">
        <f t="shared" si="68"/>
        <v>Data!$BI$1:$BI$5</v>
      </c>
      <c r="BY29" s="12" t="str">
        <f t="shared" si="68"/>
        <v>Data!$BI$1:$BI$5</v>
      </c>
      <c r="BZ29" s="12" t="str">
        <f t="shared" si="68"/>
        <v>Data!$BI$1:$BI$5</v>
      </c>
      <c r="CA29" s="12" t="str">
        <f t="shared" si="68"/>
        <v>Data!$BI$1:$BI$5</v>
      </c>
      <c r="CB29" s="12" t="str">
        <f t="shared" si="68"/>
        <v>Data!$BI$1:$BI$5</v>
      </c>
      <c r="CC29" s="12" t="str">
        <f t="shared" si="68"/>
        <v>Data!$BI$1:$BI$5</v>
      </c>
      <c r="CD29" s="12" t="str">
        <f t="shared" si="68"/>
        <v>Data!$BI$1:$BI$5</v>
      </c>
      <c r="CE29" s="12" t="str">
        <f t="shared" si="68"/>
        <v>Data!$BI$1:$BI$5</v>
      </c>
      <c r="CF29" s="12" t="str">
        <f t="shared" si="68"/>
        <v>Data!$BI$1:$BI$5</v>
      </c>
      <c r="CG29" s="12" t="str">
        <f t="shared" si="68"/>
        <v>Data!$BI$1:$BI$5</v>
      </c>
      <c r="CH29" s="12" t="str">
        <f t="shared" si="68"/>
        <v>Data!$BI$1:$BI$5</v>
      </c>
      <c r="CI29" s="12" t="str">
        <f t="shared" si="68"/>
        <v>Data!$BI$1:$BI$5</v>
      </c>
      <c r="CJ29" s="12" t="str">
        <f t="shared" si="68"/>
        <v>Data!$BI$1:$BI$5</v>
      </c>
      <c r="CK29" s="12" t="str">
        <f t="shared" si="68"/>
        <v>Data!$BI$1:$BI$5</v>
      </c>
      <c r="CL29" s="12" t="str">
        <f t="shared" si="68"/>
        <v>Data!$BI$1:$BI$5</v>
      </c>
      <c r="CM29" s="12"/>
      <c r="CN29" s="12"/>
      <c r="CO29" s="63" t="str">
        <f>IFERROR(TIME(0,A29,B29),"")</f>
        <v/>
      </c>
      <c r="CP29" s="63">
        <f>IFERROR(TIME(0,C29,D29),"")</f>
        <v>0</v>
      </c>
      <c r="CQ29" s="63" t="str">
        <f>IF(CP29&gt;$D$12,"X","")</f>
        <v/>
      </c>
      <c r="CR29" s="15" t="str">
        <f>IF(AND(F29="Hybrid - Thrust + 2 connections",OR(LEFT(J29,1)="T",LEFT(K29,1)="T",LEFT(L29,1)="T",LEFT(OY29,1)="T",LEFT(M29,1)="T",LEFT(N29,1)="T",LEFT(O29,1)="T",LEFT(P29,1)="T",LEFT(Q29,1)="T",LEFT(R29,1)="T",LEFT(S29,1)="T",LEFT(T29,1)="T",LEFT(U29,1)="T",LEFT(V29,1)="T",LEFT(W29,1)="T",LEFT(X29,1)="T",LEFT(AK29,1)="T",LEFT(AL29,1)="T",LEFT(AM29,1)="T")),IF(OR(LEN(J29)=2,LEN(K29)=2,LEN(L29)=2,LEN(M29)=2,LEN(N29)=2,LEN(O29)=2,LEN(P29)=2,LEN(Q29)=2,LEN(R29)=2,LEN(S29)=2,LEN(T29)=2,LEN(U29)=2,LEN(V29)=2,LEN(W29)=2,LEN(X29)=2,LEN(Y29)=2,LEN(Z29)=2,LEN(AK29)=2,LEN(AL29)=2,LEN(AM29)=2),"X",""),"")</f>
        <v/>
      </c>
      <c r="CS29" s="5"/>
      <c r="CT29" s="15" t="str">
        <f>IF(LEFT(F29,4)="Acro",IF(AND(N29&lt;&gt;"",M29=RIGHT(N29,2)),"X","OK"),"")</f>
        <v/>
      </c>
      <c r="CU29" s="12" t="str">
        <f t="array" ref="CU29">IFERROR(IF(AND(LEFT($F29,4)="Acro",INDEX(Requ_App,MATCH(BI29,Requ_Code,0))="No"),"X",""),"")</f>
        <v/>
      </c>
      <c r="CV29" s="12" t="str">
        <f t="array" ref="CV29">IFERROR(IF(AND(LEFT($F29,4)="Acro",INDEX(Requ_App,MATCH(BJ29,Requ_Code,0))="No"),"X",""),"")</f>
        <v/>
      </c>
      <c r="CW29" s="12" t="str">
        <f t="array" ref="CW29">IFERROR(IF(AND(LEFT($F29,4)="Acro",INDEX(Requ_App,MATCH(BK29,Requ_Code,0))="No"),"X",""),"")</f>
        <v/>
      </c>
      <c r="CX29" s="12" t="str">
        <f t="array" ref="CX29">IFERROR(IF(AND(LEFT($F29,4)="Acro",INDEX(Requ_App,MATCH(BL29,Requ_Code,0))="No"),"X",""),"")</f>
        <v/>
      </c>
      <c r="CY29" s="12" t="str">
        <f t="array" ref="CY29">IFERROR(IF(AND(LEFT($F29,4)="Acro",INDEX(Requ_App,MATCH(BM29,Requ_Code,0))="No"),"X",""),"")</f>
        <v/>
      </c>
      <c r="CZ29" s="12" t="str">
        <f t="array" ref="CZ29">IFERROR(IF(AND(LEFT($F29,4)="Acro",INDEX(Requ_App,MATCH(BN29,Requ_Code,0))="No"),"X",""),"")</f>
        <v/>
      </c>
      <c r="DA29" s="12" t="str">
        <f t="array" ref="DA29">IFERROR(IF(AND(LEFT($F29,4)="Acro",INDEX(Requ_App,MATCH(BO29,Requ_Code,0))="No"),"X",""),"")</f>
        <v/>
      </c>
      <c r="DB29" s="12" t="str">
        <f t="array" ref="DB29">IFERROR(IF(AND(LEFT($F29,4)="Acro",INDEX(Requ_App,MATCH(BP29,Requ_Code,0))="No"),"X",""),"")</f>
        <v/>
      </c>
      <c r="DC29" s="12" t="str">
        <f t="array" ref="DC29">IFERROR(IF(AND(LEFT($F29,4)="Acro",INDEX(Requ_App,MATCH(BP29,Requ_Code,0))="No"),"X",""),"")</f>
        <v/>
      </c>
      <c r="DD29" s="15" t="str">
        <f t="shared" si="10"/>
        <v/>
      </c>
      <c r="DE29" s="15" t="str">
        <f t="shared" si="11"/>
        <v/>
      </c>
      <c r="DF29" s="15" t="str">
        <f t="shared" si="12"/>
        <v/>
      </c>
      <c r="DG29" s="15" t="str">
        <f t="shared" si="13"/>
        <v/>
      </c>
      <c r="DH29" s="15"/>
      <c r="DI29" s="15"/>
      <c r="DJ29" s="15"/>
      <c r="DK29" s="15">
        <f>IF(AND(E30="A",OR(Q29="Grip",Q29="Conn",Q29="Catch")),"A1",IF(AND(E30="A",OR(Q29="Hula",Q29="RetSq",Q29="RetPa")),"A2",IF(AND(E30="B",OR(Q29="Twirl",Q29="RotF")),"B1",IF(AND(E30="B",OR(Q29="Moon",Q29="Mov")),"B2",IF(AND(E30="B",Q29="Hold"),"B3",IF(AND(E30="P",OR(Q29="Porp",Q29="Spitch")),"P1",IF(AND(E30="P",OR(Q29="Dive",Q29="Ps1",Q29="Ps1t0.5",Q29="Ps1op",Q29="Ps1t0,5o",Q29="Ps1t1",Q29="CH+")),"P2",IF(AND(E30="P",OR(Q29="Spider",Q29="Climb")),"P3",IF(AND(E30="P",OR(Q29="Fall",Q29="FTurn")),"P4",IF(AND(E30="C",OR(Q29="Jump",Q29="Jump&gt;",Q29="On1Foot",Q29="1F&gt;1F")),"C1",IF(AND(E30="C",OR(Q29="Run",Q29="BRun")),"C2",1)))))))))))</f>
        <v>1</v>
      </c>
      <c r="DL29" s="15">
        <f>IF(AND(E30="A",OR(R29="Grip",R29="Conn",R29="Catch")),"A1",IF(AND(E30="A",OR(R29="Hula",R29="RetSq",R29="RetPa")),"A2",IF(AND(E30="B",OR(R29="Twirl",R29="RotF")),"B1",IF(AND(E30="B",OR(R29="Moon",R29="Mov")),"B3",IF(AND(E30="B",R29="Hold"),"B2",IF(AND(E30="P",OR(R29="Porp",R29="Spitch")),"P1",IF(AND(E30="P",OR(R29="Dive",R29="Ps1",R29="Ps1t0.5",R29="Ps1op",R29="Ps1t0,5o",R29="Ps1t1",R29="CH+")),"P2",IF(AND(E30="P",OR(R29="Spider",R29="Climb")),"P3",IF(AND(E30="P",OR(R29="Fall",R29="FTurn")),"P4",IF(AND(E30="C",OR(R29="Jump",R29="Jump&gt;",R29="On1Foot",R29="1F&gt;1F")),"C1",IF(AND(E30="C",OR(R29="Run",R29="BRun")),"C2",2)))))))))))</f>
        <v>2</v>
      </c>
      <c r="DM29" s="15" t="str">
        <f>IF(AND(LEFT(F29,4)="Acro",Q29&lt;&gt;"",OR(Q29=R29,DK29=DL29)),IF(R29="C-Roll","","X"),IF(OR(AND(E30="A",Q29="Catch",R29&lt;&gt;"Dbl"),AND(E30="A",R29="Catch",Q29&lt;&gt;"Dbl")),"X",""))</f>
        <v/>
      </c>
      <c r="DN29" s="15" t="str">
        <f>IF(E30="PA",J29,"")</f>
        <v/>
      </c>
      <c r="DO29" s="15">
        <v>11</v>
      </c>
      <c r="DP29" s="15"/>
      <c r="DQ29" s="15" t="str">
        <f t="shared" ref="DQ29:DR29" si="69">IF(AND($E30="A",COUNTIF($DZ$19:$EA$68,DZ29)&gt;1),DZ29,"")</f>
        <v/>
      </c>
      <c r="DR29" s="15" t="str">
        <f t="shared" si="69"/>
        <v/>
      </c>
      <c r="DS29" s="15" t="str">
        <f ca="1">IF(AND($E30="B",COUNTIF($J$19:$J$68,J29)&gt;1),J29,"")</f>
        <v/>
      </c>
      <c r="DT29" s="15" t="str">
        <f ca="1">IF(AND($E30="B",COUNTIF($K$19:$K$68,K29)&gt;1),K29,"")</f>
        <v/>
      </c>
      <c r="DU29" s="15" t="str">
        <f ca="1">IF(AND($E30="C",COUNTIF($J$19:$J$68,J29)&gt;1),J29,"")</f>
        <v/>
      </c>
      <c r="DV29" s="15" t="str">
        <f ca="1">IF(AND($E30="P",COUNTIF($J$19:$J$68,J29)&gt;1),J29,"")</f>
        <v/>
      </c>
      <c r="DW29" s="15" t="str">
        <f ca="1">IF(AND($E30="P",COUNTIF($K$19:$K$68,K29)&gt;1),K29,"")</f>
        <v/>
      </c>
      <c r="DX29" s="15" t="str">
        <f t="shared" ref="DX29:DY29" si="70">IF(AND($E30="P",COUNTIF($DZ$19:$EA$68,DZ29)&gt;1),DZ29,"")</f>
        <v/>
      </c>
      <c r="DY29" s="15" t="str">
        <f t="shared" si="70"/>
        <v/>
      </c>
      <c r="DZ29" s="15" t="str">
        <f>IFERROR(IF(OR(E30="A",E30="P"),M29,""),"")</f>
        <v/>
      </c>
      <c r="EA29" s="15" t="str">
        <f>IFERROR(IF(OR(E30="A",E30="P"),RIGHT(N29,2),""),"")</f>
        <v/>
      </c>
      <c r="EB29" s="15"/>
      <c r="EC29" s="15" t="str">
        <f>IF(AND($F$8="Open Team Acrobatic",LEFT(F29,4)="Acro"),E30,"")</f>
        <v/>
      </c>
      <c r="ED29" s="15" t="str">
        <f>IFERROR(IF(HLOOKUP(EC29,$DQ$12:$DT$13,2,FALSE)&gt;2,"X",""),"")</f>
        <v/>
      </c>
      <c r="EE29" s="15"/>
      <c r="EF29" s="15" t="str">
        <f>IF(OR(AND(F29="Hybrid - Thrust + 2 connections",EF30="T"),AND(E30="H",EF30&lt;&gt;"")),"X","")</f>
        <v/>
      </c>
      <c r="EG29" s="15"/>
      <c r="EH29" s="15">
        <f t="shared" ref="EH29:EX29" si="71">IFERROR(IF(AND($E30="H",J29&lt;&gt;""),IF(OR(LEFT(J29,1)="T",LEFT(J29,1)="S",LEFT(J29,1)="A",LEFT(J29,1)="F",LEFT(J29,1)="C"),LEFT(J29,1),"R"),EH$18),"")</f>
        <v>1</v>
      </c>
      <c r="EI29" s="15">
        <f t="shared" si="71"/>
        <v>2</v>
      </c>
      <c r="EJ29" s="15">
        <f t="shared" si="71"/>
        <v>3</v>
      </c>
      <c r="EK29" s="15">
        <f t="shared" si="71"/>
        <v>4</v>
      </c>
      <c r="EL29" s="15">
        <f t="shared" si="71"/>
        <v>5</v>
      </c>
      <c r="EM29" s="15">
        <f t="shared" si="71"/>
        <v>6</v>
      </c>
      <c r="EN29" s="15">
        <f t="shared" si="71"/>
        <v>7</v>
      </c>
      <c r="EO29" s="15">
        <f t="shared" si="71"/>
        <v>8</v>
      </c>
      <c r="EP29" s="15">
        <f t="shared" si="71"/>
        <v>9</v>
      </c>
      <c r="EQ29" s="15">
        <f t="shared" si="71"/>
        <v>10</v>
      </c>
      <c r="ER29" s="15">
        <f t="shared" si="71"/>
        <v>11</v>
      </c>
      <c r="ES29" s="15">
        <f t="shared" si="71"/>
        <v>12</v>
      </c>
      <c r="ET29" s="15">
        <f t="shared" si="71"/>
        <v>13</v>
      </c>
      <c r="EU29" s="15">
        <f t="shared" si="71"/>
        <v>14</v>
      </c>
      <c r="EV29" s="15">
        <f t="shared" si="71"/>
        <v>15</v>
      </c>
      <c r="EW29" s="15">
        <f t="shared" si="71"/>
        <v>16</v>
      </c>
      <c r="EX29" s="15">
        <f t="shared" si="71"/>
        <v>17</v>
      </c>
      <c r="EY29" s="15">
        <f t="shared" ref="EY29:FK29" si="72">IFERROR(IF(AND($E30="H",AK29&lt;&gt;""),IF(OR(LEFT(AK29,1)="T",LEFT(AK29,1)="S",LEFT(AK29,1)="A",LEFT(AK29,1)="F",LEFT(AK29,1)="C"),LEFT(AK29,1),"R"),EY$18),"")</f>
        <v>18</v>
      </c>
      <c r="EZ29" s="15">
        <f t="shared" si="72"/>
        <v>19</v>
      </c>
      <c r="FA29" s="15">
        <f t="shared" si="72"/>
        <v>20</v>
      </c>
      <c r="FB29" s="15">
        <f t="shared" si="72"/>
        <v>21</v>
      </c>
      <c r="FC29" s="15">
        <f t="shared" si="72"/>
        <v>22</v>
      </c>
      <c r="FD29" s="15">
        <f t="shared" si="72"/>
        <v>23</v>
      </c>
      <c r="FE29" s="15">
        <f t="shared" si="72"/>
        <v>24</v>
      </c>
      <c r="FF29" s="15">
        <f t="shared" si="72"/>
        <v>25</v>
      </c>
      <c r="FG29" s="15">
        <f t="shared" si="72"/>
        <v>26</v>
      </c>
      <c r="FH29" s="15">
        <f t="shared" si="72"/>
        <v>27</v>
      </c>
      <c r="FI29" s="15">
        <f t="shared" si="72"/>
        <v>28</v>
      </c>
      <c r="FJ29" s="15">
        <f t="shared" si="72"/>
        <v>29</v>
      </c>
      <c r="FK29" s="15">
        <f t="shared" si="72"/>
        <v>30</v>
      </c>
      <c r="FL29" s="15"/>
      <c r="FM29" s="15"/>
      <c r="FN29" s="15"/>
      <c r="FO29" s="244"/>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6"/>
      <c r="GS29" s="15"/>
      <c r="GT29" s="15">
        <f t="shared" ref="GT29:GY29" si="73">COUNTIF($EH29:$FK29,GT$18)</f>
        <v>0</v>
      </c>
      <c r="GU29" s="15">
        <f t="shared" si="73"/>
        <v>0</v>
      </c>
      <c r="GV29" s="15">
        <f t="shared" si="73"/>
        <v>0</v>
      </c>
      <c r="GW29" s="15">
        <f t="shared" si="73"/>
        <v>0</v>
      </c>
      <c r="GX29" s="15">
        <f t="shared" si="73"/>
        <v>0</v>
      </c>
      <c r="GY29" s="15">
        <f t="shared" si="73"/>
        <v>0</v>
      </c>
      <c r="GZ29" s="15"/>
      <c r="HA29" s="15" t="str">
        <f>IF(AND($F29="Hybrid - Thrust + 2 connections",HA30=0,LEFT($J29,1)="C",LEFT($K29,1)="C",LEFT($L29,1)="C"),"X","")</f>
        <v/>
      </c>
      <c r="HB29" s="15"/>
      <c r="HC29" s="5"/>
      <c r="HD29" s="124"/>
      <c r="HE29" s="124"/>
      <c r="HF29" s="5" t="str">
        <f>IF(E30=3,_xludf.NUMBERVALUE(LEFT(J29,1)),"")</f>
        <v/>
      </c>
    </row>
    <row r="30" spans="1:214" ht="12.75" customHeight="1" x14ac:dyDescent="0.3">
      <c r="A30" s="118"/>
      <c r="B30" s="119"/>
      <c r="C30" s="119"/>
      <c r="D30" s="119"/>
      <c r="E30" s="50" t="str">
        <f>IF(F29="Acrobatic - Pair","PA",IF(F29="Acrobatic Airborn","A",IF(F29="Acrobatic Balance","B",IF(F29="Acrobatic Combined","C",IF(F29="Acrobatic Platform","P",IF(F29="Technical Required Element",3,IF(LEFT(F29,4)="Hybr","H","")))))))</f>
        <v/>
      </c>
      <c r="F30" s="50" t="str">
        <f>IF(AND(F29="Hybrid - Thrust + 2 connections",CR29="X"),"Hybrid - Thrust",IF(OR(E30="A",E30="B",E30="C",E30="P"),"Acrobatic",""))</f>
        <v/>
      </c>
      <c r="G30" s="120"/>
      <c r="H30" s="126" t="str">
        <f>IF(E30="PA",IF(OR(LEFT(J29,1)="L",LEFT(J29,1)="S"),"A-Pair-Lift",IF(OR(LEFT(J29,1)="W",LEFT(J29,1)="T"),"A-Pair-Throw",IF(LEFT(J29,1)="J","A-Pair-Jump","A-Pair"))),IF(OR(E30="A",E30="B",E30="C",E30="P"),CONCATENATE("Acro-",E30),""))</f>
        <v/>
      </c>
      <c r="I30" s="127" t="e">
        <f t="array" ref="I30">IF(OR(F29="Hybrid - min 4 swimmers (no DD)",LEFT(F29,5)="Trans"),0,INDEX($BY$3:$BY$9,MATCH(E30,$BX$3:$BX$9,0)))</f>
        <v>#N/A</v>
      </c>
      <c r="J30" s="128">
        <f t="array" aca="1" ref="J30" ca="1">IFERROR(IF($H29="No DD",IF(J29="ChoHY",1,0),IF(OR(ISBLANK(J29),J29="N/A"),0,INDEX(INDIRECT(BI30),MATCH(J29,INDIRECT(BI29),0)))),0)</f>
        <v>0</v>
      </c>
      <c r="K30" s="128">
        <f t="shared" ref="K30:AM30" ca="1" si="74">IFERROR(IF($H29="No DD",0,IF(OR(ISBLANK(K29),K29="N/A"),0,INDEX(INDIRECT(BJ30),MATCH(K29,INDIRECT(BJ29),0)))),0)</f>
        <v>0</v>
      </c>
      <c r="L30" s="128">
        <f t="shared" ca="1" si="74"/>
        <v>0</v>
      </c>
      <c r="M30" s="128">
        <f t="shared" ca="1" si="74"/>
        <v>0</v>
      </c>
      <c r="N30" s="128">
        <f t="shared" ca="1" si="74"/>
        <v>0</v>
      </c>
      <c r="O30" s="128">
        <f t="shared" ca="1" si="74"/>
        <v>0</v>
      </c>
      <c r="P30" s="128">
        <f t="shared" ca="1" si="74"/>
        <v>0</v>
      </c>
      <c r="Q30" s="128">
        <f t="shared" ca="1" si="74"/>
        <v>0</v>
      </c>
      <c r="R30" s="128">
        <f t="shared" ca="1" si="74"/>
        <v>0</v>
      </c>
      <c r="S30" s="128">
        <f t="shared" ca="1" si="74"/>
        <v>0</v>
      </c>
      <c r="T30" s="128">
        <f t="shared" ca="1" si="74"/>
        <v>0</v>
      </c>
      <c r="U30" s="128">
        <f t="shared" ca="1" si="74"/>
        <v>0</v>
      </c>
      <c r="V30" s="128">
        <f t="shared" ca="1" si="74"/>
        <v>0</v>
      </c>
      <c r="W30" s="128">
        <f t="shared" ca="1" si="74"/>
        <v>0</v>
      </c>
      <c r="X30" s="128">
        <f t="shared" ca="1" si="74"/>
        <v>0</v>
      </c>
      <c r="Y30" s="128">
        <f t="shared" ca="1" si="74"/>
        <v>0</v>
      </c>
      <c r="Z30" s="128">
        <f t="shared" ca="1" si="74"/>
        <v>0</v>
      </c>
      <c r="AA30" s="128">
        <f t="shared" ca="1" si="74"/>
        <v>0</v>
      </c>
      <c r="AB30" s="128">
        <f t="shared" ca="1" si="74"/>
        <v>0</v>
      </c>
      <c r="AC30" s="128">
        <f t="shared" ca="1" si="74"/>
        <v>0</v>
      </c>
      <c r="AD30" s="128">
        <f t="shared" ca="1" si="74"/>
        <v>0</v>
      </c>
      <c r="AE30" s="128">
        <f t="shared" ca="1" si="74"/>
        <v>0</v>
      </c>
      <c r="AF30" s="128">
        <f t="shared" ca="1" si="74"/>
        <v>0</v>
      </c>
      <c r="AG30" s="128">
        <f t="shared" ca="1" si="74"/>
        <v>0</v>
      </c>
      <c r="AH30" s="128">
        <f t="shared" ca="1" si="74"/>
        <v>0</v>
      </c>
      <c r="AI30" s="128">
        <f t="shared" ca="1" si="74"/>
        <v>0</v>
      </c>
      <c r="AJ30" s="128">
        <f t="shared" ca="1" si="74"/>
        <v>0</v>
      </c>
      <c r="AK30" s="128">
        <f t="shared" ca="1" si="74"/>
        <v>0</v>
      </c>
      <c r="AL30" s="128">
        <f t="shared" ca="1" si="74"/>
        <v>0</v>
      </c>
      <c r="AM30" s="128">
        <f t="shared" ca="1" si="74"/>
        <v>0</v>
      </c>
      <c r="AN30" s="129" t="str">
        <f t="array" ref="AN30">IFERROR(IF(E30="H",INDEX(HybridBonus_Value,MATCH(AN29,HybridBonus_Code,0)),""),"")</f>
        <v/>
      </c>
      <c r="AO30" s="130" t="str">
        <f>IFERROR(SUM(I30:AN30),"")</f>
        <v/>
      </c>
      <c r="AP30" s="132"/>
      <c r="AQ30" s="132"/>
      <c r="AR30" s="131"/>
      <c r="AS30" s="131"/>
      <c r="AT30" s="131"/>
      <c r="AU30" s="131"/>
      <c r="AV30" s="131"/>
      <c r="AW30" s="131"/>
      <c r="AX30" s="131"/>
      <c r="AY30" s="131"/>
      <c r="AZ30" s="131"/>
      <c r="BA30" s="131"/>
      <c r="BB30" s="131"/>
      <c r="BC30" s="131"/>
      <c r="BD30" s="131"/>
      <c r="BE30" s="131"/>
      <c r="BF30" s="131"/>
      <c r="BG30" s="12"/>
      <c r="BH30" s="131"/>
      <c r="BI30" s="5" t="str">
        <f t="shared" ref="BI30:BQ30" si="75">IF($E30="H",IF($F29="Hybrid - Thrust + 2 connections","Hybrid_Mix_Req_Value","HybridDD_Value"),IF($E30=3,"TreDD_Value",IF($E30="PA","AcroPair_Value",IF(LEFT($F29,4)="Acro",CONCATENATE(BI$16,$E30,"_Value"),""))))</f>
        <v/>
      </c>
      <c r="BJ30" s="5" t="str">
        <f t="shared" si="75"/>
        <v/>
      </c>
      <c r="BK30" s="5" t="str">
        <f t="shared" si="75"/>
        <v/>
      </c>
      <c r="BL30" s="5" t="str">
        <f t="shared" si="75"/>
        <v/>
      </c>
      <c r="BM30" s="5" t="str">
        <f t="shared" si="75"/>
        <v/>
      </c>
      <c r="BN30" s="5" t="str">
        <f t="shared" si="75"/>
        <v/>
      </c>
      <c r="BO30" s="5" t="str">
        <f t="shared" si="75"/>
        <v/>
      </c>
      <c r="BP30" s="5" t="str">
        <f t="shared" si="75"/>
        <v/>
      </c>
      <c r="BQ30" s="5" t="str">
        <f t="shared" si="75"/>
        <v/>
      </c>
      <c r="BR30" s="12" t="str">
        <f t="shared" ref="BR30:CL30" si="76">IF($E30="H",IF($F29="Hybrid - Thrust + 2 connections","Data!$BI$1:$BI$5","HybridDD_Value"),"Data!$BI$1:$BI$5")</f>
        <v>Data!$BI$1:$BI$5</v>
      </c>
      <c r="BS30" s="12" t="str">
        <f t="shared" si="76"/>
        <v>Data!$BI$1:$BI$5</v>
      </c>
      <c r="BT30" s="12" t="str">
        <f t="shared" si="76"/>
        <v>Data!$BI$1:$BI$5</v>
      </c>
      <c r="BU30" s="12" t="str">
        <f t="shared" si="76"/>
        <v>Data!$BI$1:$BI$5</v>
      </c>
      <c r="BV30" s="12" t="str">
        <f t="shared" si="76"/>
        <v>Data!$BI$1:$BI$5</v>
      </c>
      <c r="BW30" s="12" t="str">
        <f t="shared" si="76"/>
        <v>Data!$BI$1:$BI$5</v>
      </c>
      <c r="BX30" s="12" t="str">
        <f t="shared" si="76"/>
        <v>Data!$BI$1:$BI$5</v>
      </c>
      <c r="BY30" s="12" t="str">
        <f t="shared" si="76"/>
        <v>Data!$BI$1:$BI$5</v>
      </c>
      <c r="BZ30" s="12" t="str">
        <f t="shared" si="76"/>
        <v>Data!$BI$1:$BI$5</v>
      </c>
      <c r="CA30" s="12" t="str">
        <f t="shared" si="76"/>
        <v>Data!$BI$1:$BI$5</v>
      </c>
      <c r="CB30" s="12" t="str">
        <f t="shared" si="76"/>
        <v>Data!$BI$1:$BI$5</v>
      </c>
      <c r="CC30" s="12" t="str">
        <f t="shared" si="76"/>
        <v>Data!$BI$1:$BI$5</v>
      </c>
      <c r="CD30" s="12" t="str">
        <f t="shared" si="76"/>
        <v>Data!$BI$1:$BI$5</v>
      </c>
      <c r="CE30" s="12" t="str">
        <f t="shared" si="76"/>
        <v>Data!$BI$1:$BI$5</v>
      </c>
      <c r="CF30" s="12" t="str">
        <f t="shared" si="76"/>
        <v>Data!$BI$1:$BI$5</v>
      </c>
      <c r="CG30" s="12" t="str">
        <f t="shared" si="76"/>
        <v>Data!$BI$1:$BI$5</v>
      </c>
      <c r="CH30" s="12" t="str">
        <f t="shared" si="76"/>
        <v>Data!$BI$1:$BI$5</v>
      </c>
      <c r="CI30" s="12" t="str">
        <f t="shared" si="76"/>
        <v>Data!$BI$1:$BI$5</v>
      </c>
      <c r="CJ30" s="12" t="str">
        <f t="shared" si="76"/>
        <v>Data!$BI$1:$BI$5</v>
      </c>
      <c r="CK30" s="12" t="str">
        <f t="shared" si="76"/>
        <v>Data!$BI$1:$BI$5</v>
      </c>
      <c r="CL30" s="12" t="str">
        <f t="shared" si="76"/>
        <v>Data!$BI$1:$BI$5</v>
      </c>
      <c r="CM30" s="131"/>
      <c r="CN30" s="131"/>
      <c r="CO30" s="124" t="str">
        <f>IFERROR(IF(AND($BV$6="T",$BV$8="T",LEFT(F29,4)="Acro",AO30&gt;3),"X",IF($N$7="X",IF(AND(E30="C",AO30&gt;$CN$6),"X",IF(AND(E30="A",AO30&gt;$CN$4),"X",IF(AND(E30="B",AO30&gt;$CN$5),"X",IF(AND(E30="P",AO30&gt;$CN$7),"X","")))),"")),"")</f>
        <v/>
      </c>
      <c r="CP30" s="63"/>
      <c r="CQ30" s="5"/>
      <c r="CR30" s="15"/>
      <c r="CS30" s="5"/>
      <c r="CT30" s="5"/>
      <c r="CU30" s="5"/>
      <c r="CV30" s="5"/>
      <c r="CW30" s="5"/>
      <c r="CX30" s="5"/>
      <c r="CY30" s="5"/>
      <c r="CZ30" s="5"/>
      <c r="DA30" s="15"/>
      <c r="DB30" s="15"/>
      <c r="DC30" s="15"/>
      <c r="DD30" s="15" t="str">
        <f t="shared" si="10"/>
        <v/>
      </c>
      <c r="DE30" s="15" t="str">
        <f t="shared" si="11"/>
        <v/>
      </c>
      <c r="DF30" s="15" t="str">
        <f t="shared" si="12"/>
        <v/>
      </c>
      <c r="DG30" s="15" t="str">
        <f t="shared" si="13"/>
        <v/>
      </c>
      <c r="DH30" s="15"/>
      <c r="DI30" s="15"/>
      <c r="DJ30" s="15"/>
      <c r="DK30" s="15"/>
      <c r="DL30" s="15"/>
      <c r="DM30" s="15"/>
      <c r="DN30" s="15"/>
      <c r="DO30" s="15">
        <v>12</v>
      </c>
      <c r="DP30" s="15"/>
      <c r="DQ30" s="15"/>
      <c r="DR30" s="15"/>
      <c r="DS30" s="15"/>
      <c r="DT30" s="15"/>
      <c r="DU30" s="15"/>
      <c r="DV30" s="15"/>
      <c r="DW30" s="15"/>
      <c r="DX30" s="15"/>
      <c r="DY30" s="15"/>
      <c r="DZ30" s="15"/>
      <c r="EA30" s="15"/>
      <c r="EB30" s="15"/>
      <c r="EC30" s="15"/>
      <c r="ED30" s="15"/>
      <c r="EE30" s="15"/>
      <c r="EF30" s="15" t="str">
        <f t="array" ref="EF30">IFERROR(INDEX(EH30:FK30,MATCH(TRUE,INDEX((EH30:FK30&lt;&gt;""),),0)),"")</f>
        <v/>
      </c>
      <c r="EG30" s="15"/>
      <c r="EH30" s="15" t="str">
        <f t="shared" ref="EH30:FK30" si="77">IF(F29="Hybrid - Thrust + 2 connections",IF(COUNTIF($EH29:$FA29,EH29)&gt;1,EH29,""),IF(COUNTIF($EH29:$FA29,EH29)&gt;5,EH29,""))</f>
        <v/>
      </c>
      <c r="EI30" s="15" t="str">
        <f t="shared" si="77"/>
        <v/>
      </c>
      <c r="EJ30" s="15" t="str">
        <f t="shared" si="77"/>
        <v/>
      </c>
      <c r="EK30" s="15" t="str">
        <f t="shared" si="77"/>
        <v/>
      </c>
      <c r="EL30" s="15" t="str">
        <f t="shared" si="77"/>
        <v/>
      </c>
      <c r="EM30" s="15" t="str">
        <f t="shared" si="77"/>
        <v/>
      </c>
      <c r="EN30" s="15" t="str">
        <f t="shared" si="77"/>
        <v/>
      </c>
      <c r="EO30" s="15" t="str">
        <f t="shared" si="77"/>
        <v/>
      </c>
      <c r="EP30" s="15" t="str">
        <f t="shared" si="77"/>
        <v/>
      </c>
      <c r="EQ30" s="15" t="str">
        <f t="shared" si="77"/>
        <v/>
      </c>
      <c r="ER30" s="15" t="str">
        <f t="shared" si="77"/>
        <v/>
      </c>
      <c r="ES30" s="15" t="str">
        <f t="shared" si="77"/>
        <v/>
      </c>
      <c r="ET30" s="15" t="str">
        <f t="shared" si="77"/>
        <v/>
      </c>
      <c r="EU30" s="15" t="str">
        <f t="shared" si="77"/>
        <v/>
      </c>
      <c r="EV30" s="15" t="str">
        <f t="shared" si="77"/>
        <v/>
      </c>
      <c r="EW30" s="15" t="str">
        <f t="shared" si="77"/>
        <v/>
      </c>
      <c r="EX30" s="15" t="str">
        <f t="shared" si="77"/>
        <v/>
      </c>
      <c r="EY30" s="15" t="str">
        <f t="shared" si="77"/>
        <v/>
      </c>
      <c r="EZ30" s="15" t="str">
        <f t="shared" si="77"/>
        <v/>
      </c>
      <c r="FA30" s="15" t="str">
        <f t="shared" si="77"/>
        <v/>
      </c>
      <c r="FB30" s="15" t="str">
        <f t="shared" si="77"/>
        <v/>
      </c>
      <c r="FC30" s="15" t="str">
        <f t="shared" si="77"/>
        <v/>
      </c>
      <c r="FD30" s="15" t="str">
        <f t="shared" si="77"/>
        <v/>
      </c>
      <c r="FE30" s="15" t="str">
        <f t="shared" si="77"/>
        <v/>
      </c>
      <c r="FF30" s="15" t="str">
        <f t="shared" si="77"/>
        <v/>
      </c>
      <c r="FG30" s="15" t="str">
        <f t="shared" si="77"/>
        <v/>
      </c>
      <c r="FH30" s="15" t="str">
        <f t="shared" si="77"/>
        <v/>
      </c>
      <c r="FI30" s="15" t="str">
        <f t="shared" si="77"/>
        <v/>
      </c>
      <c r="FJ30" s="15" t="str">
        <f t="shared" si="77"/>
        <v/>
      </c>
      <c r="FK30" s="15" t="str">
        <f t="shared" si="77"/>
        <v/>
      </c>
      <c r="FL30" s="15">
        <f>FL28+5</f>
        <v>25</v>
      </c>
      <c r="FM30" s="15" t="str">
        <f ca="1">OFFSET($FM$75,FL30,0)</f>
        <v/>
      </c>
      <c r="FN30" s="15" t="str">
        <f ca="1">OFFSET($FN$75,FL30,0)</f>
        <v/>
      </c>
      <c r="FO30" s="244"/>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6"/>
      <c r="GS30" s="15"/>
      <c r="GT30" s="15"/>
      <c r="GU30" s="15"/>
      <c r="GV30" s="15"/>
      <c r="GW30" s="15"/>
      <c r="GX30" s="15"/>
      <c r="GY30" s="15"/>
      <c r="GZ30" s="15"/>
      <c r="HA30" s="15" t="str">
        <f>IF($F29="Hybrid - Thrust + 2 connections",COUNTBLANK(J29:L29),"")</f>
        <v/>
      </c>
      <c r="HB30" s="15"/>
      <c r="HC30" s="5"/>
      <c r="HD30" s="5"/>
      <c r="HE30" s="5"/>
      <c r="HF30" s="5"/>
    </row>
    <row r="31" spans="1:214" ht="12.75" customHeight="1" x14ac:dyDescent="0.3">
      <c r="A31" s="118" t="str">
        <f>IF(AND(E29="",A29&lt;&gt;""),IF(CP29=$CP$18,"",IF(C29&lt;&gt;"",IF(D29=59,MINUTE(CP29)+1,MINUTE(CP29)),"")),"")</f>
        <v/>
      </c>
      <c r="B31" s="119" t="str">
        <f>IF(AND(E29="",B29&lt;&gt;""),IF(CP29=$CP$18,"",IF(C29&lt;&gt;"",IF(D29=59,0,SECOND(CP29)+1),"")),"")</f>
        <v/>
      </c>
      <c r="C31" s="119"/>
      <c r="D31" s="119"/>
      <c r="E31" s="119"/>
      <c r="F31" s="57"/>
      <c r="G31" s="120" t="str">
        <f>IF(F31&lt;&gt;"",IF(OR(F31="Transition",F31="Transition - Surface Connection"),0,MAX($G$19:G30)+1),"")</f>
        <v/>
      </c>
      <c r="H31" s="223" t="str">
        <f>IFERROR(IF(E32="3","",IF(OR(F31="Hybrid - min 4 swimmers (no DD)",LEFT(F31,5)="Trans"),"No DD",CONCATENATE("BM = ",I32))),"")</f>
        <v/>
      </c>
      <c r="I31" s="224"/>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2"/>
      <c r="AO31" s="123"/>
      <c r="AP31" s="52"/>
      <c r="AQ31" s="52"/>
      <c r="AR31" s="12"/>
      <c r="AS31" s="12"/>
      <c r="AT31" s="12"/>
      <c r="AU31" s="12"/>
      <c r="AV31" s="12"/>
      <c r="AW31" s="12"/>
      <c r="AX31" s="12"/>
      <c r="AY31" s="12"/>
      <c r="AZ31" s="12"/>
      <c r="BA31" s="12"/>
      <c r="BB31" s="12"/>
      <c r="BC31" s="12"/>
      <c r="BD31" s="12"/>
      <c r="BE31" s="12"/>
      <c r="BF31" s="12"/>
      <c r="BG31" s="12" t="str">
        <f t="array" ref="BG31">IFERROR(IF(F31&lt;&gt;"",INDEX(Parts_Active,MATCH(F31,Parts_Active,0)),""),"No")</f>
        <v/>
      </c>
      <c r="BH31" s="12"/>
      <c r="BI31" s="12" t="str">
        <f>IF($E32="H",IF($F31="Hybrid - Thrust + 2 connections","Hybrid_Mix_Req",IF($F31="Hybrid - min 4 swimmers (no DD)","Hybrid_ChoHY","HybridDD_Code")),IF($E32=3,"TreDD_Code",IF($E32="PA","AcroPair_Code",IF(LEFT($F31,4)="Acro",CONCATENATE(BI$16,$E32,"_Code"),"Data!$BI$1:$BI$5"))))</f>
        <v>Data!$BI$1:$BI$5</v>
      </c>
      <c r="BJ31" s="12" t="str">
        <f t="shared" ref="BJ31:BQ31" si="78">IF($E32="H",IF($F31="Hybrid - Thrust + 2 connections","Hybrid_Mix_Req",IF($F31="Hybrid - min 4 swimmers (no DD)","Data!$BI$1:$BI$5","HybridDD_Code")),IF($E32=3,"TreDD_Code",IF($E32="PA","AcroPair_Code",IF(LEFT($F31,4)="Acro",CONCATENATE(BJ$16,$E32,"_Code"),"Data!$BI$1:$BI$5"))))</f>
        <v>Data!$BI$1:$BI$5</v>
      </c>
      <c r="BK31" s="12" t="str">
        <f t="shared" si="78"/>
        <v>Data!$BI$1:$BI$5</v>
      </c>
      <c r="BL31" s="12" t="str">
        <f t="shared" si="78"/>
        <v>Data!$BI$1:$BI$5</v>
      </c>
      <c r="BM31" s="12" t="str">
        <f t="shared" si="78"/>
        <v>Data!$BI$1:$BI$5</v>
      </c>
      <c r="BN31" s="12" t="str">
        <f t="shared" si="78"/>
        <v>Data!$BI$1:$BI$5</v>
      </c>
      <c r="BO31" s="12" t="str">
        <f t="shared" si="78"/>
        <v>Data!$BI$1:$BI$5</v>
      </c>
      <c r="BP31" s="12" t="str">
        <f t="shared" si="78"/>
        <v>Data!$BI$1:$BI$5</v>
      </c>
      <c r="BQ31" s="12" t="str">
        <f t="shared" si="78"/>
        <v>Data!$BI$1:$BI$5</v>
      </c>
      <c r="BR31" s="12" t="str">
        <f>IF($E32="H",IF($F31="Hybrid - Thrust + 2 connections","Data!$BI$1:$BI$5","HybridDD_Code"),"Data!$BI$1:$BI$5")</f>
        <v>Data!$BI$1:$BI$5</v>
      </c>
      <c r="BS31" s="12" t="str">
        <f t="shared" ref="BS31:CL31" si="79">$BR31</f>
        <v>Data!$BI$1:$BI$5</v>
      </c>
      <c r="BT31" s="12" t="str">
        <f t="shared" si="79"/>
        <v>Data!$BI$1:$BI$5</v>
      </c>
      <c r="BU31" s="12" t="str">
        <f t="shared" si="79"/>
        <v>Data!$BI$1:$BI$5</v>
      </c>
      <c r="BV31" s="12" t="str">
        <f t="shared" si="79"/>
        <v>Data!$BI$1:$BI$5</v>
      </c>
      <c r="BW31" s="12" t="str">
        <f t="shared" si="79"/>
        <v>Data!$BI$1:$BI$5</v>
      </c>
      <c r="BX31" s="12" t="str">
        <f t="shared" si="79"/>
        <v>Data!$BI$1:$BI$5</v>
      </c>
      <c r="BY31" s="12" t="str">
        <f t="shared" si="79"/>
        <v>Data!$BI$1:$BI$5</v>
      </c>
      <c r="BZ31" s="12" t="str">
        <f t="shared" si="79"/>
        <v>Data!$BI$1:$BI$5</v>
      </c>
      <c r="CA31" s="12" t="str">
        <f t="shared" si="79"/>
        <v>Data!$BI$1:$BI$5</v>
      </c>
      <c r="CB31" s="12" t="str">
        <f t="shared" si="79"/>
        <v>Data!$BI$1:$BI$5</v>
      </c>
      <c r="CC31" s="12" t="str">
        <f t="shared" si="79"/>
        <v>Data!$BI$1:$BI$5</v>
      </c>
      <c r="CD31" s="12" t="str">
        <f t="shared" si="79"/>
        <v>Data!$BI$1:$BI$5</v>
      </c>
      <c r="CE31" s="12" t="str">
        <f t="shared" si="79"/>
        <v>Data!$BI$1:$BI$5</v>
      </c>
      <c r="CF31" s="12" t="str">
        <f t="shared" si="79"/>
        <v>Data!$BI$1:$BI$5</v>
      </c>
      <c r="CG31" s="12" t="str">
        <f t="shared" si="79"/>
        <v>Data!$BI$1:$BI$5</v>
      </c>
      <c r="CH31" s="12" t="str">
        <f t="shared" si="79"/>
        <v>Data!$BI$1:$BI$5</v>
      </c>
      <c r="CI31" s="12" t="str">
        <f t="shared" si="79"/>
        <v>Data!$BI$1:$BI$5</v>
      </c>
      <c r="CJ31" s="12" t="str">
        <f t="shared" si="79"/>
        <v>Data!$BI$1:$BI$5</v>
      </c>
      <c r="CK31" s="12" t="str">
        <f t="shared" si="79"/>
        <v>Data!$BI$1:$BI$5</v>
      </c>
      <c r="CL31" s="12" t="str">
        <f t="shared" si="79"/>
        <v>Data!$BI$1:$BI$5</v>
      </c>
      <c r="CM31" s="12"/>
      <c r="CN31" s="12"/>
      <c r="CO31" s="63" t="str">
        <f>IFERROR(TIME(0,A31,B31),"")</f>
        <v/>
      </c>
      <c r="CP31" s="63">
        <f>IFERROR(TIME(0,C31,D31),"")</f>
        <v>0</v>
      </c>
      <c r="CQ31" s="63" t="str">
        <f>IF(CP31&gt;$D$12,"X","")</f>
        <v/>
      </c>
      <c r="CR31" s="15" t="str">
        <f>IF(AND(F31="Hybrid - Thrust + 2 connections",OR(LEFT(J31,1)="T",LEFT(K31,1)="T",LEFT(L31,1)="T",LEFT(OY31,1)="T",LEFT(M31,1)="T",LEFT(N31,1)="T",LEFT(O31,1)="T",LEFT(P31,1)="T",LEFT(Q31,1)="T",LEFT(R31,1)="T",LEFT(S31,1)="T",LEFT(T31,1)="T",LEFT(U31,1)="T",LEFT(V31,1)="T",LEFT(W31,1)="T",LEFT(X31,1)="T",LEFT(AK31,1)="T",LEFT(AL31,1)="T",LEFT(AM31,1)="T")),IF(OR(LEN(J31)=2,LEN(K31)=2,LEN(L31)=2,LEN(M31)=2,LEN(N31)=2,LEN(O31)=2,LEN(P31)=2,LEN(Q31)=2,LEN(R31)=2,LEN(S31)=2,LEN(T31)=2,LEN(U31)=2,LEN(V31)=2,LEN(W31)=2,LEN(X31)=2,LEN(Y31)=2,LEN(Z31)=2,LEN(AK31)=2,LEN(AL31)=2,LEN(AM31)=2),"X",""),"")</f>
        <v/>
      </c>
      <c r="CS31" s="5"/>
      <c r="CT31" s="15" t="str">
        <f>IF(LEFT(F31,4)="Acro",IF(AND(N31&lt;&gt;"",M31=RIGHT(N31,2)),"X","OK"),"")</f>
        <v/>
      </c>
      <c r="CU31" s="12" t="str">
        <f t="array" ref="CU31">IFERROR(IF(AND(LEFT($F31,4)="Acro",INDEX(Requ_App,MATCH(BI31,Requ_Code,0))="No"),"X",""),"")</f>
        <v/>
      </c>
      <c r="CV31" s="12" t="str">
        <f t="array" ref="CV31">IFERROR(IF(AND(LEFT($F31,4)="Acro",INDEX(Requ_App,MATCH(BJ31,Requ_Code,0))="No"),"X",""),"")</f>
        <v/>
      </c>
      <c r="CW31" s="12" t="str">
        <f t="array" ref="CW31">IFERROR(IF(AND(LEFT($F31,4)="Acro",INDEX(Requ_App,MATCH(BK31,Requ_Code,0))="No"),"X",""),"")</f>
        <v/>
      </c>
      <c r="CX31" s="12" t="str">
        <f t="array" ref="CX31">IFERROR(IF(AND(LEFT($F31,4)="Acro",INDEX(Requ_App,MATCH(BL31,Requ_Code,0))="No"),"X",""),"")</f>
        <v/>
      </c>
      <c r="CY31" s="12" t="str">
        <f t="array" ref="CY31">IFERROR(IF(AND(LEFT($F31,4)="Acro",INDEX(Requ_App,MATCH(BM31,Requ_Code,0))="No"),"X",""),"")</f>
        <v/>
      </c>
      <c r="CZ31" s="12" t="str">
        <f t="array" ref="CZ31">IFERROR(IF(AND(LEFT($F31,4)="Acro",INDEX(Requ_App,MATCH(BN31,Requ_Code,0))="No"),"X",""),"")</f>
        <v/>
      </c>
      <c r="DA31" s="12" t="str">
        <f t="array" ref="DA31">IFERROR(IF(AND(LEFT($F31,4)="Acro",INDEX(Requ_App,MATCH(BO31,Requ_Code,0))="No"),"X",""),"")</f>
        <v/>
      </c>
      <c r="DB31" s="12" t="str">
        <f t="array" ref="DB31">IFERROR(IF(AND(LEFT($F31,4)="Acro",INDEX(Requ_App,MATCH(BP31,Requ_Code,0))="No"),"X",""),"")</f>
        <v/>
      </c>
      <c r="DC31" s="12" t="str">
        <f t="array" ref="DC31">IFERROR(IF(AND(LEFT($F31,4)="Acro",INDEX(Requ_App,MATCH(BP31,Requ_Code,0))="No"),"X",""),"")</f>
        <v/>
      </c>
      <c r="DD31" s="15" t="str">
        <f t="shared" si="10"/>
        <v/>
      </c>
      <c r="DE31" s="15" t="str">
        <f t="shared" si="11"/>
        <v/>
      </c>
      <c r="DF31" s="15" t="str">
        <f t="shared" si="12"/>
        <v/>
      </c>
      <c r="DG31" s="15" t="str">
        <f t="shared" si="13"/>
        <v/>
      </c>
      <c r="DH31" s="15"/>
      <c r="DI31" s="15"/>
      <c r="DJ31" s="15"/>
      <c r="DK31" s="15">
        <f>IF(AND(E32="A",OR(Q31="Grip",Q31="Conn",Q31="Catch")),"A1",IF(AND(E32="A",OR(Q31="Hula",Q31="RetSq",Q31="RetPa")),"A2",IF(AND(E32="B",OR(Q31="Twirl",Q31="RotF")),"B1",IF(AND(E32="B",OR(Q31="Moon",Q31="Mov")),"B2",IF(AND(E32="B",Q31="Hold"),"B3",IF(AND(E32="P",OR(Q31="Porp",Q31="Spitch")),"P1",IF(AND(E32="P",OR(Q31="Dive",Q31="Ps1",Q31="Ps1t0.5",Q31="Ps1op",Q31="Ps1t0,5o",Q31="Ps1t1",Q31="CH+")),"P2",IF(AND(E32="P",OR(Q31="Spider",Q31="Climb")),"P3",IF(AND(E32="P",OR(Q31="Fall",Q31="FTurn")),"P4",IF(AND(E32="C",OR(Q31="Jump",Q31="Jump&gt;",Q31="On1Foot",Q31="1F&gt;1F")),"C1",IF(AND(E32="C",OR(Q31="Run",Q31="BRun")),"C2",1)))))))))))</f>
        <v>1</v>
      </c>
      <c r="DL31" s="15">
        <f>IF(AND(E32="A",OR(R31="Grip",R31="Conn",R31="Catch")),"A1",IF(AND(E32="A",OR(R31="Hula",R31="RetSq",R31="RetPa")),"A2",IF(AND(E32="B",OR(R31="Twirl",R31="RotF")),"B1",IF(AND(E32="B",OR(R31="Moon",R31="Mov")),"B3",IF(AND(E32="B",R31="Hold"),"B2",IF(AND(E32="P",OR(R31="Porp",R31="Spitch")),"P1",IF(AND(E32="P",OR(R31="Dive",R31="Ps1",R31="Ps1t0.5",R31="Ps1op",R31="Ps1t0,5o",R31="Ps1t1",R31="CH+")),"P2",IF(AND(E32="P",OR(R31="Spider",R31="Climb")),"P3",IF(AND(E32="P",OR(R31="Fall",R31="FTurn")),"P4",IF(AND(E32="C",OR(R31="Jump",R31="Jump&gt;",R31="On1Foot",R31="1F&gt;1F")),"C1",IF(AND(E32="C",OR(R31="Run",R31="BRun")),"C2",2)))))))))))</f>
        <v>2</v>
      </c>
      <c r="DM31" s="15" t="str">
        <f>IF(AND(LEFT(F31,4)="Acro",Q31&lt;&gt;"",OR(Q31=R31,DK31=DL31)),IF(R31="C-Roll","","X"),IF(OR(AND(E32="A",Q31="Catch",R31&lt;&gt;"Dbl"),AND(E32="A",R31="Catch",Q31&lt;&gt;"Dbl")),"X",""))</f>
        <v/>
      </c>
      <c r="DN31" s="15" t="str">
        <f>IF(E32="PA",J31,"")</f>
        <v/>
      </c>
      <c r="DO31" s="15">
        <v>13</v>
      </c>
      <c r="DP31" s="15"/>
      <c r="DQ31" s="15" t="str">
        <f t="shared" ref="DQ31:DR31" si="80">IF(AND($E32="A",COUNTIF($DZ$19:$EA$68,DZ31)&gt;1),DZ31,"")</f>
        <v/>
      </c>
      <c r="DR31" s="15" t="str">
        <f t="shared" si="80"/>
        <v/>
      </c>
      <c r="DS31" s="15" t="str">
        <f ca="1">IF(AND($E32="B",COUNTIF($J$19:$J$68,J31)&gt;1),J31,"")</f>
        <v/>
      </c>
      <c r="DT31" s="15" t="str">
        <f ca="1">IF(AND($E32="B",COUNTIF($K$19:$K$68,K31)&gt;1),K31,"")</f>
        <v/>
      </c>
      <c r="DU31" s="15" t="str">
        <f ca="1">IF(AND($E32="C",COUNTIF($J$19:$J$68,J31)&gt;1),J31,"")</f>
        <v/>
      </c>
      <c r="DV31" s="15" t="str">
        <f ca="1">IF(AND($E32="P",COUNTIF($J$19:$J$68,J31)&gt;1),J31,"")</f>
        <v/>
      </c>
      <c r="DW31" s="15" t="str">
        <f ca="1">IF(AND($E32="P",COUNTIF($K$19:$K$68,K31)&gt;1),K31,"")</f>
        <v/>
      </c>
      <c r="DX31" s="15" t="str">
        <f t="shared" ref="DX31:DY31" si="81">IF(AND($E32="P",COUNTIF($DZ$19:$EA$68,DZ31)&gt;1),DZ31,"")</f>
        <v/>
      </c>
      <c r="DY31" s="15" t="str">
        <f t="shared" si="81"/>
        <v/>
      </c>
      <c r="DZ31" s="15" t="str">
        <f>IFERROR(IF(OR(E32="A",E32="P"),M31,""),"")</f>
        <v/>
      </c>
      <c r="EA31" s="15" t="str">
        <f>IFERROR(IF(OR(E32="A",E32="P"),RIGHT(N31,2),""),"")</f>
        <v/>
      </c>
      <c r="EB31" s="15"/>
      <c r="EC31" s="15" t="str">
        <f>IF(AND($F$8="Open Team Acrobatic",LEFT(F31,4)="Acro"),E32,"")</f>
        <v/>
      </c>
      <c r="ED31" s="15" t="str">
        <f>IFERROR(IF(HLOOKUP(EC31,$DQ$12:$DT$13,2,FALSE)&gt;2,"X",""),"")</f>
        <v/>
      </c>
      <c r="EE31" s="15"/>
      <c r="EF31" s="15" t="str">
        <f>IF(OR(AND(F31="Hybrid - Thrust + 2 connections",EF32="T"),AND(E32="H",EF32&lt;&gt;"")),"X","")</f>
        <v/>
      </c>
      <c r="EG31" s="15"/>
      <c r="EH31" s="15">
        <f t="shared" ref="EH31:EX31" si="82">IFERROR(IF(AND($E32="H",J31&lt;&gt;""),IF(OR(LEFT(J31,1)="T",LEFT(J31,1)="S",LEFT(J31,1)="A",LEFT(J31,1)="F",LEFT(J31,1)="C"),LEFT(J31,1),"R"),EH$18),"")</f>
        <v>1</v>
      </c>
      <c r="EI31" s="15">
        <f t="shared" si="82"/>
        <v>2</v>
      </c>
      <c r="EJ31" s="15">
        <f t="shared" si="82"/>
        <v>3</v>
      </c>
      <c r="EK31" s="15">
        <f t="shared" si="82"/>
        <v>4</v>
      </c>
      <c r="EL31" s="15">
        <f t="shared" si="82"/>
        <v>5</v>
      </c>
      <c r="EM31" s="15">
        <f t="shared" si="82"/>
        <v>6</v>
      </c>
      <c r="EN31" s="15">
        <f t="shared" si="82"/>
        <v>7</v>
      </c>
      <c r="EO31" s="15">
        <f t="shared" si="82"/>
        <v>8</v>
      </c>
      <c r="EP31" s="15">
        <f t="shared" si="82"/>
        <v>9</v>
      </c>
      <c r="EQ31" s="15">
        <f t="shared" si="82"/>
        <v>10</v>
      </c>
      <c r="ER31" s="15">
        <f t="shared" si="82"/>
        <v>11</v>
      </c>
      <c r="ES31" s="15">
        <f t="shared" si="82"/>
        <v>12</v>
      </c>
      <c r="ET31" s="15">
        <f t="shared" si="82"/>
        <v>13</v>
      </c>
      <c r="EU31" s="15">
        <f t="shared" si="82"/>
        <v>14</v>
      </c>
      <c r="EV31" s="15">
        <f t="shared" si="82"/>
        <v>15</v>
      </c>
      <c r="EW31" s="15">
        <f t="shared" si="82"/>
        <v>16</v>
      </c>
      <c r="EX31" s="15">
        <f t="shared" si="82"/>
        <v>17</v>
      </c>
      <c r="EY31" s="15">
        <f t="shared" ref="EY31:FK31" si="83">IFERROR(IF(AND($E32="H",AK31&lt;&gt;""),IF(OR(LEFT(AK31,1)="T",LEFT(AK31,1)="S",LEFT(AK31,1)="A",LEFT(AK31,1)="F",LEFT(AK31,1)="C"),LEFT(AK31,1),"R"),EY$18),"")</f>
        <v>18</v>
      </c>
      <c r="EZ31" s="15">
        <f t="shared" si="83"/>
        <v>19</v>
      </c>
      <c r="FA31" s="15">
        <f t="shared" si="83"/>
        <v>20</v>
      </c>
      <c r="FB31" s="15">
        <f t="shared" si="83"/>
        <v>21</v>
      </c>
      <c r="FC31" s="15">
        <f t="shared" si="83"/>
        <v>22</v>
      </c>
      <c r="FD31" s="15">
        <f t="shared" si="83"/>
        <v>23</v>
      </c>
      <c r="FE31" s="15">
        <f t="shared" si="83"/>
        <v>24</v>
      </c>
      <c r="FF31" s="15">
        <f t="shared" si="83"/>
        <v>25</v>
      </c>
      <c r="FG31" s="15">
        <f t="shared" si="83"/>
        <v>26</v>
      </c>
      <c r="FH31" s="15">
        <f t="shared" si="83"/>
        <v>27</v>
      </c>
      <c r="FI31" s="15">
        <f t="shared" si="83"/>
        <v>28</v>
      </c>
      <c r="FJ31" s="15">
        <f t="shared" si="83"/>
        <v>29</v>
      </c>
      <c r="FK31" s="15">
        <f t="shared" si="83"/>
        <v>30</v>
      </c>
      <c r="FL31" s="15"/>
      <c r="FM31" s="15"/>
      <c r="FN31" s="15"/>
      <c r="FO31" s="244"/>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6"/>
      <c r="GS31" s="15"/>
      <c r="GT31" s="15">
        <f t="shared" ref="GT31:GY31" si="84">COUNTIF($EH31:$FK31,GT$18)</f>
        <v>0</v>
      </c>
      <c r="GU31" s="15">
        <f t="shared" si="84"/>
        <v>0</v>
      </c>
      <c r="GV31" s="15">
        <f t="shared" si="84"/>
        <v>0</v>
      </c>
      <c r="GW31" s="15">
        <f t="shared" si="84"/>
        <v>0</v>
      </c>
      <c r="GX31" s="15">
        <f t="shared" si="84"/>
        <v>0</v>
      </c>
      <c r="GY31" s="15">
        <f t="shared" si="84"/>
        <v>0</v>
      </c>
      <c r="GZ31" s="15"/>
      <c r="HA31" s="15" t="str">
        <f>IF(AND($F31="Hybrid - Thrust + 2 connections",HA32=0,LEFT($J31,1)="C",LEFT($K31,1)="C",LEFT($L31,1)="C"),"X","")</f>
        <v/>
      </c>
      <c r="HB31" s="15"/>
      <c r="HC31" s="5"/>
      <c r="HD31" s="124"/>
      <c r="HE31" s="124"/>
      <c r="HF31" s="5" t="str">
        <f>IF(E32=3,_xludf.NUMBERVALUE(LEFT(J31,1)),"")</f>
        <v/>
      </c>
    </row>
    <row r="32" spans="1:214" ht="12.75" customHeight="1" x14ac:dyDescent="0.3">
      <c r="A32" s="118"/>
      <c r="B32" s="119"/>
      <c r="C32" s="119"/>
      <c r="D32" s="119"/>
      <c r="E32" s="50" t="str">
        <f>IF(F31="Acrobatic - Pair","PA",IF(F31="Acrobatic Airborn","A",IF(F31="Acrobatic Balance","B",IF(F31="Acrobatic Combined","C",IF(F31="Acrobatic Platform","P",IF(F31="Technical Required Element",3,IF(LEFT(F31,4)="Hybr","H","")))))))</f>
        <v/>
      </c>
      <c r="F32" s="50" t="str">
        <f>IF(AND(F31="Hybrid - Thrust + 2 connections",CR31="X"),"Hybrid - Thrust",IF(OR(E32="A",E32="B",E32="C",E32="P"),"Acrobatic",""))</f>
        <v/>
      </c>
      <c r="G32" s="120"/>
      <c r="H32" s="126" t="str">
        <f>IF(E32="PA",IF(OR(LEFT(J31,1)="L",LEFT(J31,1)="S"),"A-Pair-Lift",IF(OR(LEFT(J31,1)="W",LEFT(J31,1)="T"),"A-Pair-Throw",IF(LEFT(J31,1)="J","A-Pair-Jump","A-Pair"))),IF(OR(E32="A",E32="B",E32="C",E32="P"),CONCATENATE("Acro-",E32),""))</f>
        <v/>
      </c>
      <c r="I32" s="127" t="e">
        <f t="array" ref="I32">IF(OR(F31="Hybrid - min 4 swimmers (no DD)",LEFT(F31,5)="Trans"),0,INDEX($BY$3:$BY$9,MATCH(E32,$BX$3:$BX$9,0)))</f>
        <v>#N/A</v>
      </c>
      <c r="J32" s="128">
        <f t="array" aca="1" ref="J32" ca="1">IFERROR(IF($H31="No DD",IF(J31="ChoHY",1,0),IF(OR(ISBLANK(J31),J31="N/A"),0,INDEX(INDIRECT(BI32),MATCH(J31,INDIRECT(BI31),0)))),0)</f>
        <v>0</v>
      </c>
      <c r="K32" s="128">
        <f t="shared" ref="K32:AM32" ca="1" si="85">IFERROR(IF($H31="No DD",0,IF(OR(ISBLANK(K31),K31="N/A"),0,INDEX(INDIRECT(BJ32),MATCH(K31,INDIRECT(BJ31),0)))),0)</f>
        <v>0</v>
      </c>
      <c r="L32" s="128">
        <f t="shared" ca="1" si="85"/>
        <v>0</v>
      </c>
      <c r="M32" s="128">
        <f t="shared" ca="1" si="85"/>
        <v>0</v>
      </c>
      <c r="N32" s="128">
        <f t="shared" ca="1" si="85"/>
        <v>0</v>
      </c>
      <c r="O32" s="128">
        <f t="shared" ca="1" si="85"/>
        <v>0</v>
      </c>
      <c r="P32" s="128">
        <f t="shared" ca="1" si="85"/>
        <v>0</v>
      </c>
      <c r="Q32" s="128">
        <f t="shared" ca="1" si="85"/>
        <v>0</v>
      </c>
      <c r="R32" s="128">
        <f t="shared" ca="1" si="85"/>
        <v>0</v>
      </c>
      <c r="S32" s="128">
        <f t="shared" ca="1" si="85"/>
        <v>0</v>
      </c>
      <c r="T32" s="128">
        <f t="shared" ca="1" si="85"/>
        <v>0</v>
      </c>
      <c r="U32" s="128">
        <f t="shared" ca="1" si="85"/>
        <v>0</v>
      </c>
      <c r="V32" s="128">
        <f t="shared" ca="1" si="85"/>
        <v>0</v>
      </c>
      <c r="W32" s="128">
        <f t="shared" ca="1" si="85"/>
        <v>0</v>
      </c>
      <c r="X32" s="128">
        <f t="shared" ca="1" si="85"/>
        <v>0</v>
      </c>
      <c r="Y32" s="128">
        <f t="shared" ca="1" si="85"/>
        <v>0</v>
      </c>
      <c r="Z32" s="128">
        <f t="shared" ca="1" si="85"/>
        <v>0</v>
      </c>
      <c r="AA32" s="128">
        <f t="shared" ca="1" si="85"/>
        <v>0</v>
      </c>
      <c r="AB32" s="128">
        <f t="shared" ca="1" si="85"/>
        <v>0</v>
      </c>
      <c r="AC32" s="128">
        <f t="shared" ca="1" si="85"/>
        <v>0</v>
      </c>
      <c r="AD32" s="128">
        <f t="shared" ca="1" si="85"/>
        <v>0</v>
      </c>
      <c r="AE32" s="128">
        <f t="shared" ca="1" si="85"/>
        <v>0</v>
      </c>
      <c r="AF32" s="128">
        <f t="shared" ca="1" si="85"/>
        <v>0</v>
      </c>
      <c r="AG32" s="128">
        <f t="shared" ca="1" si="85"/>
        <v>0</v>
      </c>
      <c r="AH32" s="128">
        <f t="shared" ca="1" si="85"/>
        <v>0</v>
      </c>
      <c r="AI32" s="128">
        <f t="shared" ca="1" si="85"/>
        <v>0</v>
      </c>
      <c r="AJ32" s="128">
        <f t="shared" ca="1" si="85"/>
        <v>0</v>
      </c>
      <c r="AK32" s="128">
        <f t="shared" ca="1" si="85"/>
        <v>0</v>
      </c>
      <c r="AL32" s="128">
        <f t="shared" ca="1" si="85"/>
        <v>0</v>
      </c>
      <c r="AM32" s="128">
        <f t="shared" ca="1" si="85"/>
        <v>0</v>
      </c>
      <c r="AN32" s="129" t="str">
        <f t="array" ref="AN32">IFERROR(IF(E32="H",INDEX(HybridBonus_Value,MATCH(AN31,HybridBonus_Code,0)),""),"")</f>
        <v/>
      </c>
      <c r="AO32" s="130" t="str">
        <f>IFERROR(SUM(I32:AN32),"")</f>
        <v/>
      </c>
      <c r="AP32" s="132"/>
      <c r="AQ32" s="132"/>
      <c r="AR32" s="131"/>
      <c r="AS32" s="131"/>
      <c r="AT32" s="131"/>
      <c r="AU32" s="131"/>
      <c r="AV32" s="131"/>
      <c r="AW32" s="131"/>
      <c r="AX32" s="131"/>
      <c r="AY32" s="131"/>
      <c r="AZ32" s="131"/>
      <c r="BA32" s="131"/>
      <c r="BB32" s="131"/>
      <c r="BC32" s="131"/>
      <c r="BD32" s="131"/>
      <c r="BE32" s="131"/>
      <c r="BF32" s="131"/>
      <c r="BG32" s="12"/>
      <c r="BH32" s="131"/>
      <c r="BI32" s="5" t="str">
        <f t="shared" ref="BI32:BQ32" si="86">IF($E32="H",IF($F31="Hybrid - Thrust + 2 connections","Hybrid_Mix_Req_Value","HybridDD_Value"),IF($E32=3,"TreDD_Value",IF($E32="PA","AcroPair_Value",IF(LEFT($F31,4)="Acro",CONCATENATE(BI$16,$E32,"_Value"),""))))</f>
        <v/>
      </c>
      <c r="BJ32" s="5" t="str">
        <f t="shared" si="86"/>
        <v/>
      </c>
      <c r="BK32" s="5" t="str">
        <f t="shared" si="86"/>
        <v/>
      </c>
      <c r="BL32" s="5" t="str">
        <f t="shared" si="86"/>
        <v/>
      </c>
      <c r="BM32" s="5" t="str">
        <f t="shared" si="86"/>
        <v/>
      </c>
      <c r="BN32" s="5" t="str">
        <f t="shared" si="86"/>
        <v/>
      </c>
      <c r="BO32" s="5" t="str">
        <f t="shared" si="86"/>
        <v/>
      </c>
      <c r="BP32" s="5" t="str">
        <f t="shared" si="86"/>
        <v/>
      </c>
      <c r="BQ32" s="5" t="str">
        <f t="shared" si="86"/>
        <v/>
      </c>
      <c r="BR32" s="12" t="str">
        <f t="shared" ref="BR32:CL32" si="87">IF($E32="H",IF($F31="Hybrid - Thrust + 2 connections","Data!$BI$1:$BI$5","HybridDD_Value"),"Data!$BI$1:$BI$5")</f>
        <v>Data!$BI$1:$BI$5</v>
      </c>
      <c r="BS32" s="12" t="str">
        <f t="shared" si="87"/>
        <v>Data!$BI$1:$BI$5</v>
      </c>
      <c r="BT32" s="12" t="str">
        <f t="shared" si="87"/>
        <v>Data!$BI$1:$BI$5</v>
      </c>
      <c r="BU32" s="12" t="str">
        <f t="shared" si="87"/>
        <v>Data!$BI$1:$BI$5</v>
      </c>
      <c r="BV32" s="12" t="str">
        <f t="shared" si="87"/>
        <v>Data!$BI$1:$BI$5</v>
      </c>
      <c r="BW32" s="12" t="str">
        <f t="shared" si="87"/>
        <v>Data!$BI$1:$BI$5</v>
      </c>
      <c r="BX32" s="12" t="str">
        <f t="shared" si="87"/>
        <v>Data!$BI$1:$BI$5</v>
      </c>
      <c r="BY32" s="12" t="str">
        <f t="shared" si="87"/>
        <v>Data!$BI$1:$BI$5</v>
      </c>
      <c r="BZ32" s="12" t="str">
        <f t="shared" si="87"/>
        <v>Data!$BI$1:$BI$5</v>
      </c>
      <c r="CA32" s="12" t="str">
        <f t="shared" si="87"/>
        <v>Data!$BI$1:$BI$5</v>
      </c>
      <c r="CB32" s="12" t="str">
        <f t="shared" si="87"/>
        <v>Data!$BI$1:$BI$5</v>
      </c>
      <c r="CC32" s="12" t="str">
        <f t="shared" si="87"/>
        <v>Data!$BI$1:$BI$5</v>
      </c>
      <c r="CD32" s="12" t="str">
        <f t="shared" si="87"/>
        <v>Data!$BI$1:$BI$5</v>
      </c>
      <c r="CE32" s="12" t="str">
        <f t="shared" si="87"/>
        <v>Data!$BI$1:$BI$5</v>
      </c>
      <c r="CF32" s="12" t="str">
        <f t="shared" si="87"/>
        <v>Data!$BI$1:$BI$5</v>
      </c>
      <c r="CG32" s="12" t="str">
        <f t="shared" si="87"/>
        <v>Data!$BI$1:$BI$5</v>
      </c>
      <c r="CH32" s="12" t="str">
        <f t="shared" si="87"/>
        <v>Data!$BI$1:$BI$5</v>
      </c>
      <c r="CI32" s="12" t="str">
        <f t="shared" si="87"/>
        <v>Data!$BI$1:$BI$5</v>
      </c>
      <c r="CJ32" s="12" t="str">
        <f t="shared" si="87"/>
        <v>Data!$BI$1:$BI$5</v>
      </c>
      <c r="CK32" s="12" t="str">
        <f t="shared" si="87"/>
        <v>Data!$BI$1:$BI$5</v>
      </c>
      <c r="CL32" s="12" t="str">
        <f t="shared" si="87"/>
        <v>Data!$BI$1:$BI$5</v>
      </c>
      <c r="CM32" s="131"/>
      <c r="CN32" s="131"/>
      <c r="CO32" s="124" t="str">
        <f>IFERROR(IF(AND($BV$6="T",$BV$8="T",LEFT(F31,4)="Acro",AO32&gt;3),"X",IF($N$7="X",IF(AND(E32="C",AO32&gt;$CN$6),"X",IF(AND(E32="A",AO32&gt;$CN$4),"X",IF(AND(E32="B",AO32&gt;$CN$5),"X",IF(AND(E32="P",AO32&gt;$CN$7),"X","")))),"")),"")</f>
        <v/>
      </c>
      <c r="CP32" s="63"/>
      <c r="CQ32" s="5"/>
      <c r="CR32" s="15"/>
      <c r="CS32" s="5"/>
      <c r="CT32" s="5"/>
      <c r="CU32" s="5"/>
      <c r="CV32" s="5"/>
      <c r="CW32" s="5"/>
      <c r="CX32" s="5"/>
      <c r="CY32" s="5"/>
      <c r="CZ32" s="5"/>
      <c r="DA32" s="15"/>
      <c r="DB32" s="15"/>
      <c r="DC32" s="15"/>
      <c r="DD32" s="15" t="str">
        <f t="shared" si="10"/>
        <v/>
      </c>
      <c r="DE32" s="15" t="str">
        <f t="shared" si="11"/>
        <v/>
      </c>
      <c r="DF32" s="15" t="str">
        <f t="shared" si="12"/>
        <v/>
      </c>
      <c r="DG32" s="15" t="str">
        <f t="shared" si="13"/>
        <v/>
      </c>
      <c r="DH32" s="15"/>
      <c r="DI32" s="15"/>
      <c r="DJ32" s="15"/>
      <c r="DK32" s="15"/>
      <c r="DL32" s="15"/>
      <c r="DM32" s="15"/>
      <c r="DN32" s="15"/>
      <c r="DO32" s="15">
        <v>14</v>
      </c>
      <c r="DP32" s="15"/>
      <c r="DQ32" s="15"/>
      <c r="DR32" s="15"/>
      <c r="DS32" s="15"/>
      <c r="DT32" s="15"/>
      <c r="DU32" s="15"/>
      <c r="DV32" s="15"/>
      <c r="DW32" s="15"/>
      <c r="DX32" s="15"/>
      <c r="DY32" s="15"/>
      <c r="DZ32" s="15"/>
      <c r="EA32" s="15"/>
      <c r="EB32" s="15"/>
      <c r="EC32" s="15"/>
      <c r="ED32" s="15"/>
      <c r="EE32" s="15"/>
      <c r="EF32" s="15" t="str">
        <f t="array" ref="EF32">IFERROR(INDEX(EH32:FK32,MATCH(TRUE,INDEX((EH32:FK32&lt;&gt;""),),0)),"")</f>
        <v/>
      </c>
      <c r="EG32" s="15"/>
      <c r="EH32" s="15" t="str">
        <f t="shared" ref="EH32:FK32" si="88">IF(F31="Hybrid - Thrust + 2 connections",IF(COUNTIF($EH31:$FA31,EH31)&gt;1,EH31,""),IF(COUNTIF($EH31:$FA31,EH31)&gt;5,EH31,""))</f>
        <v/>
      </c>
      <c r="EI32" s="15" t="str">
        <f t="shared" si="88"/>
        <v/>
      </c>
      <c r="EJ32" s="15" t="str">
        <f t="shared" si="88"/>
        <v/>
      </c>
      <c r="EK32" s="15" t="str">
        <f t="shared" si="88"/>
        <v/>
      </c>
      <c r="EL32" s="15" t="str">
        <f t="shared" si="88"/>
        <v/>
      </c>
      <c r="EM32" s="15" t="str">
        <f t="shared" si="88"/>
        <v/>
      </c>
      <c r="EN32" s="15" t="str">
        <f t="shared" si="88"/>
        <v/>
      </c>
      <c r="EO32" s="15" t="str">
        <f t="shared" si="88"/>
        <v/>
      </c>
      <c r="EP32" s="15" t="str">
        <f t="shared" si="88"/>
        <v/>
      </c>
      <c r="EQ32" s="15" t="str">
        <f t="shared" si="88"/>
        <v/>
      </c>
      <c r="ER32" s="15" t="str">
        <f t="shared" si="88"/>
        <v/>
      </c>
      <c r="ES32" s="15" t="str">
        <f t="shared" si="88"/>
        <v/>
      </c>
      <c r="ET32" s="15" t="str">
        <f t="shared" si="88"/>
        <v/>
      </c>
      <c r="EU32" s="15" t="str">
        <f t="shared" si="88"/>
        <v/>
      </c>
      <c r="EV32" s="15" t="str">
        <f t="shared" si="88"/>
        <v/>
      </c>
      <c r="EW32" s="15" t="str">
        <f t="shared" si="88"/>
        <v/>
      </c>
      <c r="EX32" s="15" t="str">
        <f t="shared" si="88"/>
        <v/>
      </c>
      <c r="EY32" s="15" t="str">
        <f t="shared" si="88"/>
        <v/>
      </c>
      <c r="EZ32" s="15" t="str">
        <f t="shared" si="88"/>
        <v/>
      </c>
      <c r="FA32" s="15" t="str">
        <f t="shared" si="88"/>
        <v/>
      </c>
      <c r="FB32" s="15" t="str">
        <f t="shared" si="88"/>
        <v/>
      </c>
      <c r="FC32" s="15" t="str">
        <f t="shared" si="88"/>
        <v/>
      </c>
      <c r="FD32" s="15" t="str">
        <f t="shared" si="88"/>
        <v/>
      </c>
      <c r="FE32" s="15" t="str">
        <f t="shared" si="88"/>
        <v/>
      </c>
      <c r="FF32" s="15" t="str">
        <f t="shared" si="88"/>
        <v/>
      </c>
      <c r="FG32" s="15" t="str">
        <f t="shared" si="88"/>
        <v/>
      </c>
      <c r="FH32" s="15" t="str">
        <f t="shared" si="88"/>
        <v/>
      </c>
      <c r="FI32" s="15" t="str">
        <f t="shared" si="88"/>
        <v/>
      </c>
      <c r="FJ32" s="15" t="str">
        <f t="shared" si="88"/>
        <v/>
      </c>
      <c r="FK32" s="15" t="str">
        <f t="shared" si="88"/>
        <v/>
      </c>
      <c r="FL32" s="15">
        <f>FL30+5</f>
        <v>30</v>
      </c>
      <c r="FM32" s="15" t="str">
        <f ca="1">OFFSET($FM$75,FL32,0)</f>
        <v/>
      </c>
      <c r="FN32" s="15" t="str">
        <f ca="1">OFFSET($FN$75,FL32,0)</f>
        <v/>
      </c>
      <c r="FO32" s="244"/>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6"/>
      <c r="GS32" s="15"/>
      <c r="GT32" s="15"/>
      <c r="GU32" s="15"/>
      <c r="GV32" s="15"/>
      <c r="GW32" s="15"/>
      <c r="GX32" s="15"/>
      <c r="GY32" s="15"/>
      <c r="GZ32" s="15"/>
      <c r="HA32" s="15" t="str">
        <f>IF($F31="Hybrid - Thrust + 2 connections",COUNTBLANK(J31:L31),"")</f>
        <v/>
      </c>
      <c r="HB32" s="15"/>
      <c r="HC32" s="5"/>
      <c r="HD32" s="5"/>
      <c r="HE32" s="5"/>
      <c r="HF32" s="5"/>
    </row>
    <row r="33" spans="1:214" ht="12.75" customHeight="1" x14ac:dyDescent="0.3">
      <c r="A33" s="118" t="str">
        <f>IF(AND(E31="",A31&lt;&gt;""),IF(CP31=$CP$18,"",IF(C31&lt;&gt;"",IF(D31=59,MINUTE(CP31)+1,MINUTE(CP31)),"")),"")</f>
        <v/>
      </c>
      <c r="B33" s="119" t="str">
        <f>IF(AND(E31="",B31&lt;&gt;""),IF(CP31=$CP$18,"",IF(C31&lt;&gt;"",IF(D31=59,0,SECOND(CP31)+1),"")),"")</f>
        <v/>
      </c>
      <c r="C33" s="119"/>
      <c r="D33" s="119"/>
      <c r="E33" s="119"/>
      <c r="F33" s="57"/>
      <c r="G33" s="120" t="str">
        <f>IF(F33&lt;&gt;"",IF(OR(F33="Transition",F33="Transition - Surface Connection"),0,MAX($G$19:G32)+1),"")</f>
        <v/>
      </c>
      <c r="H33" s="223" t="str">
        <f>IFERROR(IF(E34="3","",IF(OR(F33="Hybrid - min 4 swimmers (no DD)",LEFT(F33,5)="Trans"),"No DD",CONCATENATE("BM = ",I34))),"")</f>
        <v/>
      </c>
      <c r="I33" s="224"/>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2"/>
      <c r="AO33" s="123"/>
      <c r="AP33" s="52"/>
      <c r="AQ33" s="52"/>
      <c r="AR33" s="12"/>
      <c r="AS33" s="12"/>
      <c r="AT33" s="12"/>
      <c r="AU33" s="12"/>
      <c r="AV33" s="12"/>
      <c r="AW33" s="12"/>
      <c r="AX33" s="12"/>
      <c r="AY33" s="12"/>
      <c r="AZ33" s="12"/>
      <c r="BA33" s="12"/>
      <c r="BB33" s="12"/>
      <c r="BC33" s="12"/>
      <c r="BD33" s="12"/>
      <c r="BE33" s="12"/>
      <c r="BF33" s="12"/>
      <c r="BG33" s="12" t="str">
        <f t="array" ref="BG33">IFERROR(IF(F33&lt;&gt;"",INDEX(Parts_Active,MATCH(F33,Parts_Active,0)),""),"No")</f>
        <v/>
      </c>
      <c r="BH33" s="12"/>
      <c r="BI33" s="12" t="str">
        <f>IF($E34="H",IF($F33="Hybrid - Thrust + 2 connections","Hybrid_Mix_Req",IF($F33="Hybrid - min 4 swimmers (no DD)","Hybrid_ChoHY","HybridDD_Code")),IF($E34=3,"TreDD_Code",IF($E34="PA","AcroPair_Code",IF(LEFT($F33,4)="Acro",CONCATENATE(BI$16,$E34,"_Code"),"Data!$BI$1:$BI$5"))))</f>
        <v>Data!$BI$1:$BI$5</v>
      </c>
      <c r="BJ33" s="12" t="str">
        <f t="shared" ref="BJ33:BQ33" si="89">IF($E34="H",IF($F33="Hybrid - Thrust + 2 connections","Hybrid_Mix_Req",IF($F33="Hybrid - min 4 swimmers (no DD)","Data!$BI$1:$BI$5","HybridDD_Code")),IF($E34=3,"TreDD_Code",IF($E34="PA","AcroPair_Code",IF(LEFT($F33,4)="Acro",CONCATENATE(BJ$16,$E34,"_Code"),"Data!$BI$1:$BI$5"))))</f>
        <v>Data!$BI$1:$BI$5</v>
      </c>
      <c r="BK33" s="12" t="str">
        <f t="shared" si="89"/>
        <v>Data!$BI$1:$BI$5</v>
      </c>
      <c r="BL33" s="12" t="str">
        <f t="shared" si="89"/>
        <v>Data!$BI$1:$BI$5</v>
      </c>
      <c r="BM33" s="12" t="str">
        <f t="shared" si="89"/>
        <v>Data!$BI$1:$BI$5</v>
      </c>
      <c r="BN33" s="12" t="str">
        <f t="shared" si="89"/>
        <v>Data!$BI$1:$BI$5</v>
      </c>
      <c r="BO33" s="12" t="str">
        <f t="shared" si="89"/>
        <v>Data!$BI$1:$BI$5</v>
      </c>
      <c r="BP33" s="12" t="str">
        <f t="shared" si="89"/>
        <v>Data!$BI$1:$BI$5</v>
      </c>
      <c r="BQ33" s="12" t="str">
        <f t="shared" si="89"/>
        <v>Data!$BI$1:$BI$5</v>
      </c>
      <c r="BR33" s="12" t="str">
        <f>IF($E34="H",IF($F33="Hybrid - Thrust + 2 connections","Data!$BI$1:$BI$5","HybridDD_Code"),"Data!$BI$1:$BI$5")</f>
        <v>Data!$BI$1:$BI$5</v>
      </c>
      <c r="BS33" s="12" t="str">
        <f t="shared" ref="BS33:CL33" si="90">$BR33</f>
        <v>Data!$BI$1:$BI$5</v>
      </c>
      <c r="BT33" s="12" t="str">
        <f t="shared" si="90"/>
        <v>Data!$BI$1:$BI$5</v>
      </c>
      <c r="BU33" s="12" t="str">
        <f t="shared" si="90"/>
        <v>Data!$BI$1:$BI$5</v>
      </c>
      <c r="BV33" s="12" t="str">
        <f t="shared" si="90"/>
        <v>Data!$BI$1:$BI$5</v>
      </c>
      <c r="BW33" s="12" t="str">
        <f t="shared" si="90"/>
        <v>Data!$BI$1:$BI$5</v>
      </c>
      <c r="BX33" s="12" t="str">
        <f t="shared" si="90"/>
        <v>Data!$BI$1:$BI$5</v>
      </c>
      <c r="BY33" s="12" t="str">
        <f t="shared" si="90"/>
        <v>Data!$BI$1:$BI$5</v>
      </c>
      <c r="BZ33" s="12" t="str">
        <f t="shared" si="90"/>
        <v>Data!$BI$1:$BI$5</v>
      </c>
      <c r="CA33" s="12" t="str">
        <f t="shared" si="90"/>
        <v>Data!$BI$1:$BI$5</v>
      </c>
      <c r="CB33" s="12" t="str">
        <f t="shared" si="90"/>
        <v>Data!$BI$1:$BI$5</v>
      </c>
      <c r="CC33" s="12" t="str">
        <f t="shared" si="90"/>
        <v>Data!$BI$1:$BI$5</v>
      </c>
      <c r="CD33" s="12" t="str">
        <f t="shared" si="90"/>
        <v>Data!$BI$1:$BI$5</v>
      </c>
      <c r="CE33" s="12" t="str">
        <f t="shared" si="90"/>
        <v>Data!$BI$1:$BI$5</v>
      </c>
      <c r="CF33" s="12" t="str">
        <f t="shared" si="90"/>
        <v>Data!$BI$1:$BI$5</v>
      </c>
      <c r="CG33" s="12" t="str">
        <f t="shared" si="90"/>
        <v>Data!$BI$1:$BI$5</v>
      </c>
      <c r="CH33" s="12" t="str">
        <f t="shared" si="90"/>
        <v>Data!$BI$1:$BI$5</v>
      </c>
      <c r="CI33" s="12" t="str">
        <f t="shared" si="90"/>
        <v>Data!$BI$1:$BI$5</v>
      </c>
      <c r="CJ33" s="12" t="str">
        <f t="shared" si="90"/>
        <v>Data!$BI$1:$BI$5</v>
      </c>
      <c r="CK33" s="12" t="str">
        <f t="shared" si="90"/>
        <v>Data!$BI$1:$BI$5</v>
      </c>
      <c r="CL33" s="12" t="str">
        <f t="shared" si="90"/>
        <v>Data!$BI$1:$BI$5</v>
      </c>
      <c r="CM33" s="12"/>
      <c r="CN33" s="12"/>
      <c r="CO33" s="63" t="str">
        <f>IFERROR(TIME(0,A33,B33),"")</f>
        <v/>
      </c>
      <c r="CP33" s="63">
        <f>IFERROR(TIME(0,C33,D33),"")</f>
        <v>0</v>
      </c>
      <c r="CQ33" s="63" t="str">
        <f>IF(CP33&gt;$D$12,"X","")</f>
        <v/>
      </c>
      <c r="CR33" s="15" t="str">
        <f>IF(AND(F33="Hybrid - Thrust + 2 connections",OR(LEFT(J33,1)="T",LEFT(K33,1)="T",LEFT(L33,1)="T",LEFT(OY33,1)="T",LEFT(M33,1)="T",LEFT(N33,1)="T",LEFT(O33,1)="T",LEFT(P33,1)="T",LEFT(Q33,1)="T",LEFT(R33,1)="T",LEFT(S33,1)="T",LEFT(T33,1)="T",LEFT(U33,1)="T",LEFT(V33,1)="T",LEFT(W33,1)="T",LEFT(X33,1)="T",LEFT(AK33,1)="T",LEFT(AL33,1)="T",LEFT(AM33,1)="T")),IF(OR(LEN(J33)=2,LEN(K33)=2,LEN(L33)=2,LEN(M33)=2,LEN(N33)=2,LEN(O33)=2,LEN(P33)=2,LEN(Q33)=2,LEN(R33)=2,LEN(S33)=2,LEN(T33)=2,LEN(U33)=2,LEN(V33)=2,LEN(W33)=2,LEN(X33)=2,LEN(Y33)=2,LEN(Z33)=2,LEN(AK33)=2,LEN(AL33)=2,LEN(AM33)=2),"X",""),"")</f>
        <v/>
      </c>
      <c r="CS33" s="5"/>
      <c r="CT33" s="15" t="str">
        <f>IF(LEFT(F33,4)="Acro",IF(AND(N33&lt;&gt;"",M33=RIGHT(N33,2)),"X","OK"),"")</f>
        <v/>
      </c>
      <c r="CU33" s="12" t="str">
        <f t="array" ref="CU33">IFERROR(IF(AND(LEFT($F33,4)="Acro",INDEX(Requ_App,MATCH(BI33,Requ_Code,0))="No"),"X",""),"")</f>
        <v/>
      </c>
      <c r="CV33" s="12" t="str">
        <f t="array" ref="CV33">IFERROR(IF(AND(LEFT($F33,4)="Acro",INDEX(Requ_App,MATCH(BJ33,Requ_Code,0))="No"),"X",""),"")</f>
        <v/>
      </c>
      <c r="CW33" s="12" t="str">
        <f t="array" ref="CW33">IFERROR(IF(AND(LEFT($F33,4)="Acro",INDEX(Requ_App,MATCH(BK33,Requ_Code,0))="No"),"X",""),"")</f>
        <v/>
      </c>
      <c r="CX33" s="12" t="str">
        <f t="array" ref="CX33">IFERROR(IF(AND(LEFT($F33,4)="Acro",INDEX(Requ_App,MATCH(BL33,Requ_Code,0))="No"),"X",""),"")</f>
        <v/>
      </c>
      <c r="CY33" s="12" t="str">
        <f t="array" ref="CY33">IFERROR(IF(AND(LEFT($F33,4)="Acro",INDEX(Requ_App,MATCH(BM33,Requ_Code,0))="No"),"X",""),"")</f>
        <v/>
      </c>
      <c r="CZ33" s="12" t="str">
        <f t="array" ref="CZ33">IFERROR(IF(AND(LEFT($F33,4)="Acro",INDEX(Requ_App,MATCH(BN33,Requ_Code,0))="No"),"X",""),"")</f>
        <v/>
      </c>
      <c r="DA33" s="12" t="str">
        <f t="array" ref="DA33">IFERROR(IF(AND(LEFT($F33,4)="Acro",INDEX(Requ_App,MATCH(BO33,Requ_Code,0))="No"),"X",""),"")</f>
        <v/>
      </c>
      <c r="DB33" s="12" t="str">
        <f t="array" ref="DB33">IFERROR(IF(AND(LEFT($F33,4)="Acro",INDEX(Requ_App,MATCH(BP33,Requ_Code,0))="No"),"X",""),"")</f>
        <v/>
      </c>
      <c r="DC33" s="12" t="str">
        <f t="array" ref="DC33">IFERROR(IF(AND(LEFT($F33,4)="Acro",INDEX(Requ_App,MATCH(BP33,Requ_Code,0))="No"),"X",""),"")</f>
        <v/>
      </c>
      <c r="DD33" s="15" t="str">
        <f t="shared" si="10"/>
        <v/>
      </c>
      <c r="DE33" s="15" t="str">
        <f t="shared" si="11"/>
        <v/>
      </c>
      <c r="DF33" s="15" t="str">
        <f t="shared" si="12"/>
        <v/>
      </c>
      <c r="DG33" s="15" t="str">
        <f t="shared" si="13"/>
        <v/>
      </c>
      <c r="DH33" s="15"/>
      <c r="DI33" s="15"/>
      <c r="DJ33" s="15"/>
      <c r="DK33" s="15">
        <f>IF(AND(E34="A",OR(Q33="Grip",Q33="Conn",Q33="Catch")),"A1",IF(AND(E34="A",OR(Q33="Hula",Q33="RetSq",Q33="RetPa")),"A2",IF(AND(E34="B",OR(Q33="Twirl",Q33="RotF")),"B1",IF(AND(E34="B",OR(Q33="Moon",Q33="Mov")),"B2",IF(AND(E34="B",Q33="Hold"),"B3",IF(AND(E34="P",OR(Q33="Porp",Q33="Spitch")),"P1",IF(AND(E34="P",OR(Q33="Dive",Q33="Ps1",Q33="Ps1t0.5",Q33="Ps1op",Q33="Ps1t0,5o",Q33="Ps1t1",Q33="CH+")),"P2",IF(AND(E34="P",OR(Q33="Spider",Q33="Climb")),"P3",IF(AND(E34="P",OR(Q33="Fall",Q33="FTurn")),"P4",IF(AND(E34="C",OR(Q33="Jump",Q33="Jump&gt;",Q33="On1Foot",Q33="1F&gt;1F")),"C1",IF(AND(E34="C",OR(Q33="Run",Q33="BRun")),"C2",1)))))))))))</f>
        <v>1</v>
      </c>
      <c r="DL33" s="15">
        <f>IF(AND(E34="A",OR(R33="Grip",R33="Conn",R33="Catch")),"A1",IF(AND(E34="A",OR(R33="Hula",R33="RetSq",R33="RetPa")),"A2",IF(AND(E34="B",OR(R33="Twirl",R33="RotF")),"B1",IF(AND(E34="B",OR(R33="Moon",R33="Mov")),"B3",IF(AND(E34="B",R33="Hold"),"B2",IF(AND(E34="P",OR(R33="Porp",R33="Spitch")),"P1",IF(AND(E34="P",OR(R33="Dive",R33="Ps1",R33="Ps1t0.5",R33="Ps1op",R33="Ps1t0,5o",R33="Ps1t1",R33="CH+")),"P2",IF(AND(E34="P",OR(R33="Spider",R33="Climb")),"P3",IF(AND(E34="P",OR(R33="Fall",R33="FTurn")),"P4",IF(AND(E34="C",OR(R33="Jump",R33="Jump&gt;",R33="On1Foot",R33="1F&gt;1F")),"C1",IF(AND(E34="C",OR(R33="Run",R33="BRun")),"C2",2)))))))))))</f>
        <v>2</v>
      </c>
      <c r="DM33" s="15" t="str">
        <f>IF(AND(LEFT(F33,4)="Acro",Q33&lt;&gt;"",OR(Q33=R33,DK33=DL33)),IF(R33="C-Roll","","X"),IF(OR(AND(E34="A",Q33="Catch",R33&lt;&gt;"Dbl"),AND(E34="A",R33="Catch",Q33&lt;&gt;"Dbl")),"X",""))</f>
        <v/>
      </c>
      <c r="DN33" s="15" t="str">
        <f>IF(E34="PA",J33,"")</f>
        <v/>
      </c>
      <c r="DO33" s="15">
        <v>15</v>
      </c>
      <c r="DP33" s="15"/>
      <c r="DQ33" s="15" t="str">
        <f t="shared" ref="DQ33:DR33" si="91">IF(AND($E34="A",COUNTIF($DZ$19:$EA$68,DZ33)&gt;1),DZ33,"")</f>
        <v/>
      </c>
      <c r="DR33" s="15" t="str">
        <f t="shared" si="91"/>
        <v/>
      </c>
      <c r="DS33" s="15" t="str">
        <f ca="1">IF(AND($E34="B",COUNTIF($J$19:$J$68,J33)&gt;1),J33,"")</f>
        <v/>
      </c>
      <c r="DT33" s="15" t="str">
        <f ca="1">IF(AND($E34="B",COUNTIF($K$19:$K$68,K33)&gt;1),K33,"")</f>
        <v/>
      </c>
      <c r="DU33" s="15" t="str">
        <f ca="1">IF(AND($E34="C",COUNTIF($J$19:$J$68,J33)&gt;1),J33,"")</f>
        <v/>
      </c>
      <c r="DV33" s="15" t="str">
        <f ca="1">IF(AND($E34="P",COUNTIF($J$19:$J$68,J33)&gt;1),J33,"")</f>
        <v/>
      </c>
      <c r="DW33" s="15" t="str">
        <f ca="1">IF(AND($E34="P",COUNTIF($K$19:$K$68,K33)&gt;1),K33,"")</f>
        <v/>
      </c>
      <c r="DX33" s="15" t="str">
        <f t="shared" ref="DX33:DY33" si="92">IF(AND($E34="P",COUNTIF($DZ$19:$EA$68,DZ33)&gt;1),DZ33,"")</f>
        <v/>
      </c>
      <c r="DY33" s="15" t="str">
        <f t="shared" si="92"/>
        <v/>
      </c>
      <c r="DZ33" s="15" t="str">
        <f>IFERROR(IF(OR(E34="A",E34="P"),M33,""),"")</f>
        <v/>
      </c>
      <c r="EA33" s="15" t="str">
        <f>IFERROR(IF(OR(E34="A",E34="P"),RIGHT(N33,2),""),"")</f>
        <v/>
      </c>
      <c r="EB33" s="15"/>
      <c r="EC33" s="15" t="str">
        <f>IF(AND($F$8="Open Team Acrobatic",LEFT(F33,4)="Acro"),E34,"")</f>
        <v/>
      </c>
      <c r="ED33" s="15" t="str">
        <f>IFERROR(IF(HLOOKUP(EC33,$DQ$12:$DT$13,2,FALSE)&gt;2,"X",""),"")</f>
        <v/>
      </c>
      <c r="EE33" s="15"/>
      <c r="EF33" s="15" t="str">
        <f>IF(OR(AND(F33="Hybrid - Thrust + 2 connections",EF34="T"),AND(E34="H",EF34&lt;&gt;"")),"X","")</f>
        <v/>
      </c>
      <c r="EG33" s="15"/>
      <c r="EH33" s="15">
        <f t="shared" ref="EH33:EX33" si="93">IFERROR(IF(AND($E34="H",J33&lt;&gt;""),IF(OR(LEFT(J33,1)="T",LEFT(J33,1)="S",LEFT(J33,1)="A",LEFT(J33,1)="F",LEFT(J33,1)="C"),LEFT(J33,1),"R"),EH$18),"")</f>
        <v>1</v>
      </c>
      <c r="EI33" s="15">
        <f t="shared" si="93"/>
        <v>2</v>
      </c>
      <c r="EJ33" s="15">
        <f t="shared" si="93"/>
        <v>3</v>
      </c>
      <c r="EK33" s="15">
        <f t="shared" si="93"/>
        <v>4</v>
      </c>
      <c r="EL33" s="15">
        <f t="shared" si="93"/>
        <v>5</v>
      </c>
      <c r="EM33" s="15">
        <f t="shared" si="93"/>
        <v>6</v>
      </c>
      <c r="EN33" s="15">
        <f t="shared" si="93"/>
        <v>7</v>
      </c>
      <c r="EO33" s="15">
        <f t="shared" si="93"/>
        <v>8</v>
      </c>
      <c r="EP33" s="15">
        <f t="shared" si="93"/>
        <v>9</v>
      </c>
      <c r="EQ33" s="15">
        <f t="shared" si="93"/>
        <v>10</v>
      </c>
      <c r="ER33" s="15">
        <f t="shared" si="93"/>
        <v>11</v>
      </c>
      <c r="ES33" s="15">
        <f t="shared" si="93"/>
        <v>12</v>
      </c>
      <c r="ET33" s="15">
        <f t="shared" si="93"/>
        <v>13</v>
      </c>
      <c r="EU33" s="15">
        <f t="shared" si="93"/>
        <v>14</v>
      </c>
      <c r="EV33" s="15">
        <f t="shared" si="93"/>
        <v>15</v>
      </c>
      <c r="EW33" s="15">
        <f t="shared" si="93"/>
        <v>16</v>
      </c>
      <c r="EX33" s="15">
        <f t="shared" si="93"/>
        <v>17</v>
      </c>
      <c r="EY33" s="15">
        <f t="shared" ref="EY33:FK33" si="94">IFERROR(IF(AND($E34="H",AK33&lt;&gt;""),IF(OR(LEFT(AK33,1)="T",LEFT(AK33,1)="S",LEFT(AK33,1)="A",LEFT(AK33,1)="F",LEFT(AK33,1)="C"),LEFT(AK33,1),"R"),EY$18),"")</f>
        <v>18</v>
      </c>
      <c r="EZ33" s="15">
        <f t="shared" si="94"/>
        <v>19</v>
      </c>
      <c r="FA33" s="15">
        <f t="shared" si="94"/>
        <v>20</v>
      </c>
      <c r="FB33" s="15">
        <f t="shared" si="94"/>
        <v>21</v>
      </c>
      <c r="FC33" s="15">
        <f t="shared" si="94"/>
        <v>22</v>
      </c>
      <c r="FD33" s="15">
        <f t="shared" si="94"/>
        <v>23</v>
      </c>
      <c r="FE33" s="15">
        <f t="shared" si="94"/>
        <v>24</v>
      </c>
      <c r="FF33" s="15">
        <f t="shared" si="94"/>
        <v>25</v>
      </c>
      <c r="FG33" s="15">
        <f t="shared" si="94"/>
        <v>26</v>
      </c>
      <c r="FH33" s="15">
        <f t="shared" si="94"/>
        <v>27</v>
      </c>
      <c r="FI33" s="15">
        <f t="shared" si="94"/>
        <v>28</v>
      </c>
      <c r="FJ33" s="15">
        <f t="shared" si="94"/>
        <v>29</v>
      </c>
      <c r="FK33" s="15">
        <f t="shared" si="94"/>
        <v>30</v>
      </c>
      <c r="FL33" s="15"/>
      <c r="FM33" s="15"/>
      <c r="FN33" s="15"/>
      <c r="FO33" s="244"/>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6"/>
      <c r="GS33" s="15"/>
      <c r="GT33" s="15">
        <f t="shared" ref="GT33:GY33" si="95">COUNTIF($EH33:$FK33,GT$18)</f>
        <v>0</v>
      </c>
      <c r="GU33" s="15">
        <f t="shared" si="95"/>
        <v>0</v>
      </c>
      <c r="GV33" s="15">
        <f t="shared" si="95"/>
        <v>0</v>
      </c>
      <c r="GW33" s="15">
        <f t="shared" si="95"/>
        <v>0</v>
      </c>
      <c r="GX33" s="15">
        <f t="shared" si="95"/>
        <v>0</v>
      </c>
      <c r="GY33" s="15">
        <f t="shared" si="95"/>
        <v>0</v>
      </c>
      <c r="GZ33" s="15"/>
      <c r="HA33" s="15" t="str">
        <f>IF(AND($F33="Hybrid - Thrust + 2 connections",HA34=0,LEFT($J33,1)="C",LEFT($K33,1)="C",LEFT($L33,1)="C"),"X","")</f>
        <v/>
      </c>
      <c r="HB33" s="15"/>
      <c r="HC33" s="5"/>
      <c r="HD33" s="124"/>
      <c r="HE33" s="124"/>
      <c r="HF33" s="5" t="str">
        <f>IF(E34=3,_xludf.NUMBERVALUE(LEFT(J33,1)),"")</f>
        <v/>
      </c>
    </row>
    <row r="34" spans="1:214" ht="12.75" customHeight="1" x14ac:dyDescent="0.3">
      <c r="A34" s="118"/>
      <c r="B34" s="119"/>
      <c r="C34" s="119"/>
      <c r="D34" s="119"/>
      <c r="E34" s="50" t="str">
        <f>IF(F33="Acrobatic - Pair","PA",IF(F33="Acrobatic Airborn","A",IF(F33="Acrobatic Balance","B",IF(F33="Acrobatic Combined","C",IF(F33="Acrobatic Platform","P",IF(F33="Technical Required Element",3,IF(LEFT(F33,4)="Hybr","H","")))))))</f>
        <v/>
      </c>
      <c r="F34" s="50" t="str">
        <f>IF(AND(F33="Hybrid - Thrust + 2 connections",CR33="X"),"Hybrid - Thrust",IF(OR(E34="A",E34="B",E34="C",E34="P"),"Acrobatic",""))</f>
        <v/>
      </c>
      <c r="G34" s="120"/>
      <c r="H34" s="126" t="str">
        <f>IF(E34="PA",IF(OR(LEFT(J33,1)="L",LEFT(J33,1)="S"),"A-Pair-Lift",IF(OR(LEFT(J33,1)="W",LEFT(J33,1)="T"),"A-Pair-Throw",IF(LEFT(J33,1)="J","A-Pair-Jump","A-Pair"))),IF(OR(E34="A",E34="B",E34="C",E34="P"),CONCATENATE("Acro-",E34),""))</f>
        <v/>
      </c>
      <c r="I34" s="127" t="e">
        <f t="array" ref="I34">IF(OR(F33="Hybrid - min 4 swimmers (no DD)",LEFT(F33,5)="Trans"),0,INDEX($BY$3:$BY$9,MATCH(E34,$BX$3:$BX$9,0)))</f>
        <v>#N/A</v>
      </c>
      <c r="J34" s="128">
        <f t="array" aca="1" ref="J34" ca="1">IFERROR(IF($H33="No DD",IF(J33="ChoHY",1,0),IF(OR(ISBLANK(J33),J33="N/A"),0,INDEX(INDIRECT(BI34),MATCH(J33,INDIRECT(BI33),0)))),0)</f>
        <v>0</v>
      </c>
      <c r="K34" s="128">
        <f t="shared" ref="K34:AM34" ca="1" si="96">IFERROR(IF($H33="No DD",0,IF(OR(ISBLANK(K33),K33="N/A"),0,INDEX(INDIRECT(BJ34),MATCH(K33,INDIRECT(BJ33),0)))),0)</f>
        <v>0</v>
      </c>
      <c r="L34" s="128">
        <f t="shared" ca="1" si="96"/>
        <v>0</v>
      </c>
      <c r="M34" s="128">
        <f t="shared" ca="1" si="96"/>
        <v>0</v>
      </c>
      <c r="N34" s="128">
        <f t="shared" ca="1" si="96"/>
        <v>0</v>
      </c>
      <c r="O34" s="128">
        <f t="shared" ca="1" si="96"/>
        <v>0</v>
      </c>
      <c r="P34" s="128">
        <f t="shared" ca="1" si="96"/>
        <v>0</v>
      </c>
      <c r="Q34" s="128">
        <f t="shared" ca="1" si="96"/>
        <v>0</v>
      </c>
      <c r="R34" s="128">
        <f t="shared" ca="1" si="96"/>
        <v>0</v>
      </c>
      <c r="S34" s="128">
        <f t="shared" ca="1" si="96"/>
        <v>0</v>
      </c>
      <c r="T34" s="128">
        <f t="shared" ca="1" si="96"/>
        <v>0</v>
      </c>
      <c r="U34" s="128">
        <f t="shared" ca="1" si="96"/>
        <v>0</v>
      </c>
      <c r="V34" s="128">
        <f t="shared" ca="1" si="96"/>
        <v>0</v>
      </c>
      <c r="W34" s="128">
        <f t="shared" ca="1" si="96"/>
        <v>0</v>
      </c>
      <c r="X34" s="128">
        <f t="shared" ca="1" si="96"/>
        <v>0</v>
      </c>
      <c r="Y34" s="128">
        <f t="shared" ca="1" si="96"/>
        <v>0</v>
      </c>
      <c r="Z34" s="128">
        <f t="shared" ca="1" si="96"/>
        <v>0</v>
      </c>
      <c r="AA34" s="128">
        <f t="shared" ca="1" si="96"/>
        <v>0</v>
      </c>
      <c r="AB34" s="128">
        <f t="shared" ca="1" si="96"/>
        <v>0</v>
      </c>
      <c r="AC34" s="128">
        <f t="shared" ca="1" si="96"/>
        <v>0</v>
      </c>
      <c r="AD34" s="128">
        <f t="shared" ca="1" si="96"/>
        <v>0</v>
      </c>
      <c r="AE34" s="128">
        <f t="shared" ca="1" si="96"/>
        <v>0</v>
      </c>
      <c r="AF34" s="128">
        <f t="shared" ca="1" si="96"/>
        <v>0</v>
      </c>
      <c r="AG34" s="128">
        <f t="shared" ca="1" si="96"/>
        <v>0</v>
      </c>
      <c r="AH34" s="128">
        <f t="shared" ca="1" si="96"/>
        <v>0</v>
      </c>
      <c r="AI34" s="128">
        <f t="shared" ca="1" si="96"/>
        <v>0</v>
      </c>
      <c r="AJ34" s="128">
        <f t="shared" ca="1" si="96"/>
        <v>0</v>
      </c>
      <c r="AK34" s="128">
        <f t="shared" ca="1" si="96"/>
        <v>0</v>
      </c>
      <c r="AL34" s="128">
        <f t="shared" ca="1" si="96"/>
        <v>0</v>
      </c>
      <c r="AM34" s="128">
        <f t="shared" ca="1" si="96"/>
        <v>0</v>
      </c>
      <c r="AN34" s="129" t="str">
        <f t="array" ref="AN34">IFERROR(IF(E34="H",INDEX(HybridBonus_Value,MATCH(AN33,HybridBonus_Code,0)),""),"")</f>
        <v/>
      </c>
      <c r="AO34" s="130" t="str">
        <f>IFERROR(SUM(I34:AN34),"")</f>
        <v/>
      </c>
      <c r="AP34" s="132"/>
      <c r="AQ34" s="132"/>
      <c r="AR34" s="131"/>
      <c r="AS34" s="131"/>
      <c r="AT34" s="131"/>
      <c r="AU34" s="131"/>
      <c r="AV34" s="131"/>
      <c r="AW34" s="131"/>
      <c r="AX34" s="131"/>
      <c r="AY34" s="131"/>
      <c r="AZ34" s="131"/>
      <c r="BA34" s="131"/>
      <c r="BB34" s="131"/>
      <c r="BC34" s="131"/>
      <c r="BD34" s="131"/>
      <c r="BE34" s="131"/>
      <c r="BF34" s="131"/>
      <c r="BG34" s="12"/>
      <c r="BH34" s="131"/>
      <c r="BI34" s="5" t="str">
        <f t="shared" ref="BI34:BQ34" si="97">IF($E34="H",IF($F33="Hybrid - Thrust + 2 connections","Hybrid_Mix_Req_Value","HybridDD_Value"),IF($E34=3,"TreDD_Value",IF($E34="PA","AcroPair_Value",IF(LEFT($F33,4)="Acro",CONCATENATE(BI$16,$E34,"_Value"),""))))</f>
        <v/>
      </c>
      <c r="BJ34" s="5" t="str">
        <f t="shared" si="97"/>
        <v/>
      </c>
      <c r="BK34" s="5" t="str">
        <f t="shared" si="97"/>
        <v/>
      </c>
      <c r="BL34" s="5" t="str">
        <f t="shared" si="97"/>
        <v/>
      </c>
      <c r="BM34" s="5" t="str">
        <f t="shared" si="97"/>
        <v/>
      </c>
      <c r="BN34" s="5" t="str">
        <f t="shared" si="97"/>
        <v/>
      </c>
      <c r="BO34" s="5" t="str">
        <f t="shared" si="97"/>
        <v/>
      </c>
      <c r="BP34" s="5" t="str">
        <f t="shared" si="97"/>
        <v/>
      </c>
      <c r="BQ34" s="5" t="str">
        <f t="shared" si="97"/>
        <v/>
      </c>
      <c r="BR34" s="12" t="str">
        <f t="shared" ref="BR34:CL34" si="98">IF($E34="H",IF($F33="Hybrid - Thrust + 2 connections","Data!$BI$1:$BI$5","HybridDD_Value"),"Data!$BI$1:$BI$5")</f>
        <v>Data!$BI$1:$BI$5</v>
      </c>
      <c r="BS34" s="12" t="str">
        <f t="shared" si="98"/>
        <v>Data!$BI$1:$BI$5</v>
      </c>
      <c r="BT34" s="12" t="str">
        <f t="shared" si="98"/>
        <v>Data!$BI$1:$BI$5</v>
      </c>
      <c r="BU34" s="12" t="str">
        <f t="shared" si="98"/>
        <v>Data!$BI$1:$BI$5</v>
      </c>
      <c r="BV34" s="12" t="str">
        <f t="shared" si="98"/>
        <v>Data!$BI$1:$BI$5</v>
      </c>
      <c r="BW34" s="12" t="str">
        <f t="shared" si="98"/>
        <v>Data!$BI$1:$BI$5</v>
      </c>
      <c r="BX34" s="12" t="str">
        <f t="shared" si="98"/>
        <v>Data!$BI$1:$BI$5</v>
      </c>
      <c r="BY34" s="12" t="str">
        <f t="shared" si="98"/>
        <v>Data!$BI$1:$BI$5</v>
      </c>
      <c r="BZ34" s="12" t="str">
        <f t="shared" si="98"/>
        <v>Data!$BI$1:$BI$5</v>
      </c>
      <c r="CA34" s="12" t="str">
        <f t="shared" si="98"/>
        <v>Data!$BI$1:$BI$5</v>
      </c>
      <c r="CB34" s="12" t="str">
        <f t="shared" si="98"/>
        <v>Data!$BI$1:$BI$5</v>
      </c>
      <c r="CC34" s="12" t="str">
        <f t="shared" si="98"/>
        <v>Data!$BI$1:$BI$5</v>
      </c>
      <c r="CD34" s="12" t="str">
        <f t="shared" si="98"/>
        <v>Data!$BI$1:$BI$5</v>
      </c>
      <c r="CE34" s="12" t="str">
        <f t="shared" si="98"/>
        <v>Data!$BI$1:$BI$5</v>
      </c>
      <c r="CF34" s="12" t="str">
        <f t="shared" si="98"/>
        <v>Data!$BI$1:$BI$5</v>
      </c>
      <c r="CG34" s="12" t="str">
        <f t="shared" si="98"/>
        <v>Data!$BI$1:$BI$5</v>
      </c>
      <c r="CH34" s="12" t="str">
        <f t="shared" si="98"/>
        <v>Data!$BI$1:$BI$5</v>
      </c>
      <c r="CI34" s="12" t="str">
        <f t="shared" si="98"/>
        <v>Data!$BI$1:$BI$5</v>
      </c>
      <c r="CJ34" s="12" t="str">
        <f t="shared" si="98"/>
        <v>Data!$BI$1:$BI$5</v>
      </c>
      <c r="CK34" s="12" t="str">
        <f t="shared" si="98"/>
        <v>Data!$BI$1:$BI$5</v>
      </c>
      <c r="CL34" s="12" t="str">
        <f t="shared" si="98"/>
        <v>Data!$BI$1:$BI$5</v>
      </c>
      <c r="CM34" s="131"/>
      <c r="CN34" s="131"/>
      <c r="CO34" s="124" t="str">
        <f>IFERROR(IF(AND($BV$6="T",$BV$8="T",LEFT(F33,4)="Acro",AO34&gt;3),"X",IF($N$7="X",IF(AND(E34="C",AO34&gt;$CN$6),"X",IF(AND(E34="A",AO34&gt;$CN$4),"X",IF(AND(E34="B",AO34&gt;$CN$5),"X",IF(AND(E34="P",AO34&gt;$CN$7),"X","")))),"")),"")</f>
        <v/>
      </c>
      <c r="CP34" s="63"/>
      <c r="CQ34" s="5"/>
      <c r="CR34" s="15"/>
      <c r="CS34" s="5"/>
      <c r="CT34" s="5"/>
      <c r="CU34" s="5"/>
      <c r="CV34" s="5"/>
      <c r="CW34" s="5"/>
      <c r="CX34" s="5"/>
      <c r="CY34" s="5"/>
      <c r="CZ34" s="5"/>
      <c r="DA34" s="15"/>
      <c r="DB34" s="15"/>
      <c r="DC34" s="15"/>
      <c r="DD34" s="15" t="str">
        <f t="shared" si="10"/>
        <v/>
      </c>
      <c r="DE34" s="15" t="str">
        <f t="shared" si="11"/>
        <v/>
      </c>
      <c r="DF34" s="15" t="str">
        <f t="shared" si="12"/>
        <v/>
      </c>
      <c r="DG34" s="15" t="str">
        <f t="shared" si="13"/>
        <v/>
      </c>
      <c r="DH34" s="15"/>
      <c r="DI34" s="15"/>
      <c r="DJ34" s="15"/>
      <c r="DK34" s="15"/>
      <c r="DL34" s="15"/>
      <c r="DM34" s="15"/>
      <c r="DN34" s="15"/>
      <c r="DO34" s="15">
        <v>16</v>
      </c>
      <c r="DP34" s="15"/>
      <c r="DQ34" s="15"/>
      <c r="DR34" s="15"/>
      <c r="DS34" s="15"/>
      <c r="DT34" s="15"/>
      <c r="DU34" s="15"/>
      <c r="DV34" s="15"/>
      <c r="DW34" s="15"/>
      <c r="DX34" s="15"/>
      <c r="DY34" s="15"/>
      <c r="DZ34" s="15"/>
      <c r="EA34" s="15"/>
      <c r="EB34" s="15"/>
      <c r="EC34" s="15"/>
      <c r="ED34" s="15"/>
      <c r="EE34" s="15"/>
      <c r="EF34" s="15" t="str">
        <f t="array" ref="EF34">IFERROR(INDEX(EH34:FK34,MATCH(TRUE,INDEX((EH34:FK34&lt;&gt;""),),0)),"")</f>
        <v/>
      </c>
      <c r="EG34" s="15"/>
      <c r="EH34" s="15" t="str">
        <f t="shared" ref="EH34:FK34" si="99">IF(F33="Hybrid - Thrust + 2 connections",IF(COUNTIF($EH33:$FA33,EH33)&gt;1,EH33,""),IF(COUNTIF($EH33:$FA33,EH33)&gt;5,EH33,""))</f>
        <v/>
      </c>
      <c r="EI34" s="15" t="str">
        <f t="shared" si="99"/>
        <v/>
      </c>
      <c r="EJ34" s="15" t="str">
        <f t="shared" si="99"/>
        <v/>
      </c>
      <c r="EK34" s="15" t="str">
        <f t="shared" si="99"/>
        <v/>
      </c>
      <c r="EL34" s="15" t="str">
        <f t="shared" si="99"/>
        <v/>
      </c>
      <c r="EM34" s="15" t="str">
        <f t="shared" si="99"/>
        <v/>
      </c>
      <c r="EN34" s="15" t="str">
        <f t="shared" si="99"/>
        <v/>
      </c>
      <c r="EO34" s="15" t="str">
        <f t="shared" si="99"/>
        <v/>
      </c>
      <c r="EP34" s="15" t="str">
        <f t="shared" si="99"/>
        <v/>
      </c>
      <c r="EQ34" s="15" t="str">
        <f t="shared" si="99"/>
        <v/>
      </c>
      <c r="ER34" s="15" t="str">
        <f t="shared" si="99"/>
        <v/>
      </c>
      <c r="ES34" s="15" t="str">
        <f t="shared" si="99"/>
        <v/>
      </c>
      <c r="ET34" s="15" t="str">
        <f t="shared" si="99"/>
        <v/>
      </c>
      <c r="EU34" s="15" t="str">
        <f t="shared" si="99"/>
        <v/>
      </c>
      <c r="EV34" s="15" t="str">
        <f t="shared" si="99"/>
        <v/>
      </c>
      <c r="EW34" s="15" t="str">
        <f t="shared" si="99"/>
        <v/>
      </c>
      <c r="EX34" s="15" t="str">
        <f t="shared" si="99"/>
        <v/>
      </c>
      <c r="EY34" s="15" t="str">
        <f t="shared" si="99"/>
        <v/>
      </c>
      <c r="EZ34" s="15" t="str">
        <f t="shared" si="99"/>
        <v/>
      </c>
      <c r="FA34" s="15" t="str">
        <f t="shared" si="99"/>
        <v/>
      </c>
      <c r="FB34" s="15" t="str">
        <f t="shared" si="99"/>
        <v/>
      </c>
      <c r="FC34" s="15" t="str">
        <f t="shared" si="99"/>
        <v/>
      </c>
      <c r="FD34" s="15" t="str">
        <f t="shared" si="99"/>
        <v/>
      </c>
      <c r="FE34" s="15" t="str">
        <f t="shared" si="99"/>
        <v/>
      </c>
      <c r="FF34" s="15" t="str">
        <f t="shared" si="99"/>
        <v/>
      </c>
      <c r="FG34" s="15" t="str">
        <f t="shared" si="99"/>
        <v/>
      </c>
      <c r="FH34" s="15" t="str">
        <f t="shared" si="99"/>
        <v/>
      </c>
      <c r="FI34" s="15" t="str">
        <f t="shared" si="99"/>
        <v/>
      </c>
      <c r="FJ34" s="15" t="str">
        <f t="shared" si="99"/>
        <v/>
      </c>
      <c r="FK34" s="15" t="str">
        <f t="shared" si="99"/>
        <v/>
      </c>
      <c r="FL34" s="15">
        <f>FL32+5</f>
        <v>35</v>
      </c>
      <c r="FM34" s="15" t="str">
        <f ca="1">OFFSET($FM$75,FL34,0)</f>
        <v/>
      </c>
      <c r="FN34" s="15" t="str">
        <f ca="1">OFFSET($FN$75,FL34,0)</f>
        <v/>
      </c>
      <c r="FO34" s="244"/>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6"/>
      <c r="GS34" s="15"/>
      <c r="GT34" s="15"/>
      <c r="GU34" s="15"/>
      <c r="GV34" s="15"/>
      <c r="GW34" s="15"/>
      <c r="GX34" s="15"/>
      <c r="GY34" s="15"/>
      <c r="GZ34" s="15"/>
      <c r="HA34" s="15" t="str">
        <f>IF($F33="Hybrid - Thrust + 2 connections",COUNTBLANK(J33:L33),"")</f>
        <v/>
      </c>
      <c r="HB34" s="15"/>
      <c r="HC34" s="5"/>
      <c r="HD34" s="5"/>
      <c r="HE34" s="5"/>
      <c r="HF34" s="5"/>
    </row>
    <row r="35" spans="1:214" ht="12.75" customHeight="1" x14ac:dyDescent="0.3">
      <c r="A35" s="118" t="str">
        <f>IF(AND(E33="",A33&lt;&gt;""),IF(CP33=$CP$18,"",IF(C33&lt;&gt;"",IF(D33=59,MINUTE(CP33)+1,MINUTE(CP33)),"")),"")</f>
        <v/>
      </c>
      <c r="B35" s="119" t="str">
        <f>IF(AND(E33="",B33&lt;&gt;""),IF(CP33=$CP$18,"",IF(C33&lt;&gt;"",IF(D33=59,0,SECOND(CP33)+1),"")),"")</f>
        <v/>
      </c>
      <c r="C35" s="119"/>
      <c r="D35" s="119"/>
      <c r="E35" s="119"/>
      <c r="F35" s="57"/>
      <c r="G35" s="120" t="str">
        <f>IF(F35&lt;&gt;"",IF(OR(F35="Transition",F35="Transition - Surface Connection"),0,MAX($G$19:G34)+1),"")</f>
        <v/>
      </c>
      <c r="H35" s="223" t="str">
        <f>IFERROR(IF(E36="3","",IF(OR(F35="Hybrid - min 4 swimmers (no DD)",LEFT(F35,5)="Trans"),"No DD",CONCATENATE("BM = ",I36))),"")</f>
        <v/>
      </c>
      <c r="I35" s="224"/>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2"/>
      <c r="AO35" s="123"/>
      <c r="AP35" s="52"/>
      <c r="AQ35" s="52"/>
      <c r="AR35" s="12"/>
      <c r="AS35" s="12"/>
      <c r="AT35" s="12"/>
      <c r="AU35" s="12"/>
      <c r="AV35" s="12"/>
      <c r="AW35" s="12"/>
      <c r="AX35" s="12"/>
      <c r="AY35" s="12"/>
      <c r="AZ35" s="12"/>
      <c r="BA35" s="12"/>
      <c r="BB35" s="12"/>
      <c r="BC35" s="12"/>
      <c r="BD35" s="12"/>
      <c r="BE35" s="12"/>
      <c r="BF35" s="12"/>
      <c r="BG35" s="12" t="str">
        <f t="array" ref="BG35">IFERROR(IF(F35&lt;&gt;"",INDEX(Parts_Active,MATCH(F35,Parts_Active,0)),""),"No")</f>
        <v/>
      </c>
      <c r="BH35" s="12"/>
      <c r="BI35" s="12" t="str">
        <f>IF($E36="H",IF($F35="Hybrid - Thrust + 2 connections","Hybrid_Mix_Req",IF($F35="Hybrid - min 4 swimmers (no DD)","Hybrid_ChoHY","HybridDD_Code")),IF($E36=3,"TreDD_Code",IF($E36="PA","AcroPair_Code",IF(LEFT($F35,4)="Acro",CONCATENATE(BI$16,$E36,"_Code"),"Data!$BI$1:$BI$5"))))</f>
        <v>Data!$BI$1:$BI$5</v>
      </c>
      <c r="BJ35" s="12" t="str">
        <f t="shared" ref="BJ35:BQ35" si="100">IF($E36="H",IF($F35="Hybrid - Thrust + 2 connections","Hybrid_Mix_Req",IF($F35="Hybrid - min 4 swimmers (no DD)","Data!$BI$1:$BI$5","HybridDD_Code")),IF($E36=3,"TreDD_Code",IF($E36="PA","AcroPair_Code",IF(LEFT($F35,4)="Acro",CONCATENATE(BJ$16,$E36,"_Code"),"Data!$BI$1:$BI$5"))))</f>
        <v>Data!$BI$1:$BI$5</v>
      </c>
      <c r="BK35" s="12" t="str">
        <f t="shared" si="100"/>
        <v>Data!$BI$1:$BI$5</v>
      </c>
      <c r="BL35" s="12" t="str">
        <f t="shared" si="100"/>
        <v>Data!$BI$1:$BI$5</v>
      </c>
      <c r="BM35" s="12" t="str">
        <f t="shared" si="100"/>
        <v>Data!$BI$1:$BI$5</v>
      </c>
      <c r="BN35" s="12" t="str">
        <f t="shared" si="100"/>
        <v>Data!$BI$1:$BI$5</v>
      </c>
      <c r="BO35" s="12" t="str">
        <f t="shared" si="100"/>
        <v>Data!$BI$1:$BI$5</v>
      </c>
      <c r="BP35" s="12" t="str">
        <f t="shared" si="100"/>
        <v>Data!$BI$1:$BI$5</v>
      </c>
      <c r="BQ35" s="12" t="str">
        <f t="shared" si="100"/>
        <v>Data!$BI$1:$BI$5</v>
      </c>
      <c r="BR35" s="12" t="str">
        <f>IF($E36="H",IF($F35="Hybrid - Thrust + 2 connections","Data!$BI$1:$BI$5","HybridDD_Code"),"Data!$BI$1:$BI$5")</f>
        <v>Data!$BI$1:$BI$5</v>
      </c>
      <c r="BS35" s="12" t="str">
        <f t="shared" ref="BS35:CL35" si="101">$BR35</f>
        <v>Data!$BI$1:$BI$5</v>
      </c>
      <c r="BT35" s="12" t="str">
        <f t="shared" si="101"/>
        <v>Data!$BI$1:$BI$5</v>
      </c>
      <c r="BU35" s="12" t="str">
        <f t="shared" si="101"/>
        <v>Data!$BI$1:$BI$5</v>
      </c>
      <c r="BV35" s="12" t="str">
        <f t="shared" si="101"/>
        <v>Data!$BI$1:$BI$5</v>
      </c>
      <c r="BW35" s="12" t="str">
        <f t="shared" si="101"/>
        <v>Data!$BI$1:$BI$5</v>
      </c>
      <c r="BX35" s="12" t="str">
        <f t="shared" si="101"/>
        <v>Data!$BI$1:$BI$5</v>
      </c>
      <c r="BY35" s="12" t="str">
        <f t="shared" si="101"/>
        <v>Data!$BI$1:$BI$5</v>
      </c>
      <c r="BZ35" s="12" t="str">
        <f t="shared" si="101"/>
        <v>Data!$BI$1:$BI$5</v>
      </c>
      <c r="CA35" s="12" t="str">
        <f t="shared" si="101"/>
        <v>Data!$BI$1:$BI$5</v>
      </c>
      <c r="CB35" s="12" t="str">
        <f t="shared" si="101"/>
        <v>Data!$BI$1:$BI$5</v>
      </c>
      <c r="CC35" s="12" t="str">
        <f t="shared" si="101"/>
        <v>Data!$BI$1:$BI$5</v>
      </c>
      <c r="CD35" s="12" t="str">
        <f t="shared" si="101"/>
        <v>Data!$BI$1:$BI$5</v>
      </c>
      <c r="CE35" s="12" t="str">
        <f t="shared" si="101"/>
        <v>Data!$BI$1:$BI$5</v>
      </c>
      <c r="CF35" s="12" t="str">
        <f t="shared" si="101"/>
        <v>Data!$BI$1:$BI$5</v>
      </c>
      <c r="CG35" s="12" t="str">
        <f t="shared" si="101"/>
        <v>Data!$BI$1:$BI$5</v>
      </c>
      <c r="CH35" s="12" t="str">
        <f t="shared" si="101"/>
        <v>Data!$BI$1:$BI$5</v>
      </c>
      <c r="CI35" s="12" t="str">
        <f t="shared" si="101"/>
        <v>Data!$BI$1:$BI$5</v>
      </c>
      <c r="CJ35" s="12" t="str">
        <f t="shared" si="101"/>
        <v>Data!$BI$1:$BI$5</v>
      </c>
      <c r="CK35" s="12" t="str">
        <f t="shared" si="101"/>
        <v>Data!$BI$1:$BI$5</v>
      </c>
      <c r="CL35" s="12" t="str">
        <f t="shared" si="101"/>
        <v>Data!$BI$1:$BI$5</v>
      </c>
      <c r="CM35" s="12"/>
      <c r="CN35" s="12"/>
      <c r="CO35" s="63" t="str">
        <f>IFERROR(TIME(0,A35,B35),"")</f>
        <v/>
      </c>
      <c r="CP35" s="63">
        <f>IFERROR(TIME(0,C35,D35),"")</f>
        <v>0</v>
      </c>
      <c r="CQ35" s="63" t="str">
        <f>IF(CP35&gt;$D$12,"X","")</f>
        <v/>
      </c>
      <c r="CR35" s="15" t="str">
        <f>IF(AND(F35="Hybrid - Thrust + 2 connections",OR(LEFT(J35,1)="T",LEFT(K35,1)="T",LEFT(L35,1)="T",LEFT(OY35,1)="T",LEFT(M35,1)="T",LEFT(N35,1)="T",LEFT(O35,1)="T",LEFT(P35,1)="T",LEFT(Q35,1)="T",LEFT(R35,1)="T",LEFT(S35,1)="T",LEFT(T35,1)="T",LEFT(U35,1)="T",LEFT(V35,1)="T",LEFT(W35,1)="T",LEFT(X35,1)="T",LEFT(AK35,1)="T",LEFT(AL35,1)="T",LEFT(AM35,1)="T")),IF(OR(LEN(J35)=2,LEN(K35)=2,LEN(L35)=2,LEN(M35)=2,LEN(N35)=2,LEN(O35)=2,LEN(P35)=2,LEN(Q35)=2,LEN(R35)=2,LEN(S35)=2,LEN(T35)=2,LEN(U35)=2,LEN(V35)=2,LEN(W35)=2,LEN(X35)=2,LEN(Y35)=2,LEN(Z35)=2,LEN(AK35)=2,LEN(AL35)=2,LEN(AM35)=2),"X",""),"")</f>
        <v/>
      </c>
      <c r="CS35" s="5"/>
      <c r="CT35" s="15" t="str">
        <f>IF(LEFT(F35,4)="Acro",IF(AND(N35&lt;&gt;"",M35=RIGHT(N35,2)),"X","OK"),"")</f>
        <v/>
      </c>
      <c r="CU35" s="12" t="str">
        <f t="array" ref="CU35">IFERROR(IF(AND(LEFT($F35,4)="Acro",INDEX(Requ_App,MATCH(BI35,Requ_Code,0))="No"),"X",""),"")</f>
        <v/>
      </c>
      <c r="CV35" s="12" t="str">
        <f t="array" ref="CV35">IFERROR(IF(AND(LEFT($F35,4)="Acro",INDEX(Requ_App,MATCH(BJ35,Requ_Code,0))="No"),"X",""),"")</f>
        <v/>
      </c>
      <c r="CW35" s="12" t="str">
        <f t="array" ref="CW35">IFERROR(IF(AND(LEFT($F35,4)="Acro",INDEX(Requ_App,MATCH(BK35,Requ_Code,0))="No"),"X",""),"")</f>
        <v/>
      </c>
      <c r="CX35" s="12" t="str">
        <f t="array" ref="CX35">IFERROR(IF(AND(LEFT($F35,4)="Acro",INDEX(Requ_App,MATCH(BL35,Requ_Code,0))="No"),"X",""),"")</f>
        <v/>
      </c>
      <c r="CY35" s="12" t="str">
        <f t="array" ref="CY35">IFERROR(IF(AND(LEFT($F35,4)="Acro",INDEX(Requ_App,MATCH(BM35,Requ_Code,0))="No"),"X",""),"")</f>
        <v/>
      </c>
      <c r="CZ35" s="12" t="str">
        <f t="array" ref="CZ35">IFERROR(IF(AND(LEFT($F35,4)="Acro",INDEX(Requ_App,MATCH(BN35,Requ_Code,0))="No"),"X",""),"")</f>
        <v/>
      </c>
      <c r="DA35" s="12" t="str">
        <f t="array" ref="DA35">IFERROR(IF(AND(LEFT($F35,4)="Acro",INDEX(Requ_App,MATCH(BO35,Requ_Code,0))="No"),"X",""),"")</f>
        <v/>
      </c>
      <c r="DB35" s="12" t="str">
        <f t="array" ref="DB35">IFERROR(IF(AND(LEFT($F35,4)="Acro",INDEX(Requ_App,MATCH(BP35,Requ_Code,0))="No"),"X",""),"")</f>
        <v/>
      </c>
      <c r="DC35" s="12" t="str">
        <f t="array" ref="DC35">IFERROR(IF(AND(LEFT($F35,4)="Acro",INDEX(Requ_App,MATCH(BP35,Requ_Code,0))="No"),"X",""),"")</f>
        <v/>
      </c>
      <c r="DD35" s="15" t="str">
        <f t="shared" si="10"/>
        <v/>
      </c>
      <c r="DE35" s="15" t="str">
        <f t="shared" si="11"/>
        <v/>
      </c>
      <c r="DF35" s="15" t="str">
        <f t="shared" si="12"/>
        <v/>
      </c>
      <c r="DG35" s="15" t="str">
        <f t="shared" si="13"/>
        <v/>
      </c>
      <c r="DH35" s="15"/>
      <c r="DI35" s="15"/>
      <c r="DJ35" s="15"/>
      <c r="DK35" s="15">
        <f>IF(AND(E36="A",OR(Q35="Grip",Q35="Conn",Q35="Catch")),"A1",IF(AND(E36="A",OR(Q35="Hula",Q35="RetSq",Q35="RetPa")),"A2",IF(AND(E36="B",OR(Q35="Twirl",Q35="RotF")),"B1",IF(AND(E36="B",OR(Q35="Moon",Q35="Mov")),"B2",IF(AND(E36="B",Q35="Hold"),"B3",IF(AND(E36="P",OR(Q35="Porp",Q35="Spitch")),"P1",IF(AND(E36="P",OR(Q35="Dive",Q35="Ps1",Q35="Ps1t0.5",Q35="Ps1op",Q35="Ps1t0,5o",Q35="Ps1t1",Q35="CH+")),"P2",IF(AND(E36="P",OR(Q35="Spider",Q35="Climb")),"P3",IF(AND(E36="P",OR(Q35="Fall",Q35="FTurn")),"P4",IF(AND(E36="C",OR(Q35="Jump",Q35="Jump&gt;",Q35="On1Foot",Q35="1F&gt;1F")),"C1",IF(AND(E36="C",OR(Q35="Run",Q35="BRun")),"C2",1)))))))))))</f>
        <v>1</v>
      </c>
      <c r="DL35" s="15">
        <f>IF(AND(E36="A",OR(R35="Grip",R35="Conn",R35="Catch")),"A1",IF(AND(E36="A",OR(R35="Hula",R35="RetSq",R35="RetPa")),"A2",IF(AND(E36="B",OR(R35="Twirl",R35="RotF")),"B1",IF(AND(E36="B",OR(R35="Moon",R35="Mov")),"B3",IF(AND(E36="B",R35="Hold"),"B2",IF(AND(E36="P",OR(R35="Porp",R35="Spitch")),"P1",IF(AND(E36="P",OR(R35="Dive",R35="Ps1",R35="Ps1t0.5",R35="Ps1op",R35="Ps1t0,5o",R35="Ps1t1",R35="CH+")),"P2",IF(AND(E36="P",OR(R35="Spider",R35="Climb")),"P3",IF(AND(E36="P",OR(R35="Fall",R35="FTurn")),"P4",IF(AND(E36="C",OR(R35="Jump",R35="Jump&gt;",R35="On1Foot",R35="1F&gt;1F")),"C1",IF(AND(E36="C",OR(R35="Run",R35="BRun")),"C2",2)))))))))))</f>
        <v>2</v>
      </c>
      <c r="DM35" s="15" t="str">
        <f>IF(AND(LEFT(F35,4)="Acro",Q35&lt;&gt;"",OR(Q35=R35,DK35=DL35)),IF(R35="C-Roll","","X"),IF(OR(AND(E36="A",Q35="Catch",R35&lt;&gt;"Dbl"),AND(E36="A",R35="Catch",Q35&lt;&gt;"Dbl")),"X",""))</f>
        <v/>
      </c>
      <c r="DN35" s="15" t="str">
        <f>IF(E36="PA",J35,"")</f>
        <v/>
      </c>
      <c r="DO35" s="15">
        <v>17</v>
      </c>
      <c r="DP35" s="15"/>
      <c r="DQ35" s="15" t="str">
        <f t="shared" ref="DQ35:DR35" si="102">IF(AND($E36="A",COUNTIF($DZ$19:$EA$68,DZ35)&gt;1),DZ35,"")</f>
        <v/>
      </c>
      <c r="DR35" s="15" t="str">
        <f t="shared" si="102"/>
        <v/>
      </c>
      <c r="DS35" s="15" t="str">
        <f ca="1">IF(AND($E36="B",COUNTIF($J$19:$J$68,J35)&gt;1),J35,"")</f>
        <v/>
      </c>
      <c r="DT35" s="15" t="str">
        <f ca="1">IF(AND($E36="B",COUNTIF($K$19:$K$68,K35)&gt;1),K35,"")</f>
        <v/>
      </c>
      <c r="DU35" s="15" t="str">
        <f ca="1">IF(AND($E36="C",COUNTIF($J$19:$J$68,J35)&gt;1),J35,"")</f>
        <v/>
      </c>
      <c r="DV35" s="15" t="str">
        <f ca="1">IF(AND($E36="P",COUNTIF($J$19:$J$68,J35)&gt;1),J35,"")</f>
        <v/>
      </c>
      <c r="DW35" s="15" t="str">
        <f ca="1">IF(AND($E36="P",COUNTIF($K$19:$K$68,K35)&gt;1),K35,"")</f>
        <v/>
      </c>
      <c r="DX35" s="15" t="str">
        <f t="shared" ref="DX35:DY35" si="103">IF(AND($E36="P",COUNTIF($DZ$19:$EA$68,DZ35)&gt;1),DZ35,"")</f>
        <v/>
      </c>
      <c r="DY35" s="15" t="str">
        <f t="shared" si="103"/>
        <v/>
      </c>
      <c r="DZ35" s="15" t="str">
        <f>IFERROR(IF(OR(E36="A",E36="P"),M35,""),"")</f>
        <v/>
      </c>
      <c r="EA35" s="15" t="str">
        <f>IFERROR(IF(OR(E36="A",E36="P"),RIGHT(N35,2),""),"")</f>
        <v/>
      </c>
      <c r="EB35" s="15"/>
      <c r="EC35" s="15" t="str">
        <f>IF(AND($F$8="Open Team Acrobatic",LEFT(F35,4)="Acro"),E36,"")</f>
        <v/>
      </c>
      <c r="ED35" s="15" t="str">
        <f>IFERROR(IF(HLOOKUP(EC35,$DQ$12:$DT$13,2,FALSE)&gt;2,"X",""),"")</f>
        <v/>
      </c>
      <c r="EE35" s="15"/>
      <c r="EF35" s="15" t="str">
        <f>IF(OR(AND(F35="Hybrid - Thrust + 2 connections",EF36="T"),AND(E36="H",EF36&lt;&gt;"")),"X","")</f>
        <v/>
      </c>
      <c r="EG35" s="15"/>
      <c r="EH35" s="15">
        <f t="shared" ref="EH35:EX35" si="104">IFERROR(IF(AND($E36="H",J35&lt;&gt;""),IF(OR(LEFT(J35,1)="T",LEFT(J35,1)="S",LEFT(J35,1)="A",LEFT(J35,1)="F",LEFT(J35,1)="C"),LEFT(J35,1),"R"),EH$18),"")</f>
        <v>1</v>
      </c>
      <c r="EI35" s="15">
        <f t="shared" si="104"/>
        <v>2</v>
      </c>
      <c r="EJ35" s="15">
        <f t="shared" si="104"/>
        <v>3</v>
      </c>
      <c r="EK35" s="15">
        <f t="shared" si="104"/>
        <v>4</v>
      </c>
      <c r="EL35" s="15">
        <f t="shared" si="104"/>
        <v>5</v>
      </c>
      <c r="EM35" s="15">
        <f t="shared" si="104"/>
        <v>6</v>
      </c>
      <c r="EN35" s="15">
        <f t="shared" si="104"/>
        <v>7</v>
      </c>
      <c r="EO35" s="15">
        <f t="shared" si="104"/>
        <v>8</v>
      </c>
      <c r="EP35" s="15">
        <f t="shared" si="104"/>
        <v>9</v>
      </c>
      <c r="EQ35" s="15">
        <f t="shared" si="104"/>
        <v>10</v>
      </c>
      <c r="ER35" s="15">
        <f t="shared" si="104"/>
        <v>11</v>
      </c>
      <c r="ES35" s="15">
        <f t="shared" si="104"/>
        <v>12</v>
      </c>
      <c r="ET35" s="15">
        <f t="shared" si="104"/>
        <v>13</v>
      </c>
      <c r="EU35" s="15">
        <f t="shared" si="104"/>
        <v>14</v>
      </c>
      <c r="EV35" s="15">
        <f t="shared" si="104"/>
        <v>15</v>
      </c>
      <c r="EW35" s="15">
        <f t="shared" si="104"/>
        <v>16</v>
      </c>
      <c r="EX35" s="15">
        <f t="shared" si="104"/>
        <v>17</v>
      </c>
      <c r="EY35" s="15">
        <f t="shared" ref="EY35:FK35" si="105">IFERROR(IF(AND($E36="H",AK35&lt;&gt;""),IF(OR(LEFT(AK35,1)="T",LEFT(AK35,1)="S",LEFT(AK35,1)="A",LEFT(AK35,1)="F",LEFT(AK35,1)="C"),LEFT(AK35,1),"R"),EY$18),"")</f>
        <v>18</v>
      </c>
      <c r="EZ35" s="15">
        <f t="shared" si="105"/>
        <v>19</v>
      </c>
      <c r="FA35" s="15">
        <f t="shared" si="105"/>
        <v>20</v>
      </c>
      <c r="FB35" s="15">
        <f t="shared" si="105"/>
        <v>21</v>
      </c>
      <c r="FC35" s="15">
        <f t="shared" si="105"/>
        <v>22</v>
      </c>
      <c r="FD35" s="15">
        <f t="shared" si="105"/>
        <v>23</v>
      </c>
      <c r="FE35" s="15">
        <f t="shared" si="105"/>
        <v>24</v>
      </c>
      <c r="FF35" s="15">
        <f t="shared" si="105"/>
        <v>25</v>
      </c>
      <c r="FG35" s="15">
        <f t="shared" si="105"/>
        <v>26</v>
      </c>
      <c r="FH35" s="15">
        <f t="shared" si="105"/>
        <v>27</v>
      </c>
      <c r="FI35" s="15">
        <f t="shared" si="105"/>
        <v>28</v>
      </c>
      <c r="FJ35" s="15">
        <f t="shared" si="105"/>
        <v>29</v>
      </c>
      <c r="FK35" s="15">
        <f t="shared" si="105"/>
        <v>30</v>
      </c>
      <c r="FL35" s="15"/>
      <c r="FM35" s="15"/>
      <c r="FN35" s="15"/>
      <c r="FO35" s="244"/>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6"/>
      <c r="GS35" s="15"/>
      <c r="GT35" s="15">
        <f t="shared" ref="GT35:GY35" si="106">COUNTIF($EH35:$FK35,GT$18)</f>
        <v>0</v>
      </c>
      <c r="GU35" s="15">
        <f t="shared" si="106"/>
        <v>0</v>
      </c>
      <c r="GV35" s="15">
        <f t="shared" si="106"/>
        <v>0</v>
      </c>
      <c r="GW35" s="15">
        <f t="shared" si="106"/>
        <v>0</v>
      </c>
      <c r="GX35" s="15">
        <f t="shared" si="106"/>
        <v>0</v>
      </c>
      <c r="GY35" s="15">
        <f t="shared" si="106"/>
        <v>0</v>
      </c>
      <c r="GZ35" s="15"/>
      <c r="HA35" s="15" t="str">
        <f>IF(AND($F35="Hybrid - Thrust + 2 connections",HA36=0,LEFT($J35,1)="C",LEFT($K35,1)="C",LEFT($L35,1)="C"),"X","")</f>
        <v/>
      </c>
      <c r="HB35" s="15"/>
      <c r="HC35" s="5"/>
      <c r="HD35" s="124"/>
      <c r="HE35" s="124"/>
      <c r="HF35" s="5" t="str">
        <f>IF(E36=3,_xludf.NUMBERVALUE(LEFT(J35,1)),"")</f>
        <v/>
      </c>
    </row>
    <row r="36" spans="1:214" ht="12.75" customHeight="1" x14ac:dyDescent="0.3">
      <c r="A36" s="118"/>
      <c r="B36" s="119"/>
      <c r="C36" s="119"/>
      <c r="D36" s="119"/>
      <c r="E36" s="50" t="str">
        <f>IF(F35="Acrobatic - Pair","PA",IF(F35="Acrobatic Airborn","A",IF(F35="Acrobatic Balance","B",IF(F35="Acrobatic Combined","C",IF(F35="Acrobatic Platform","P",IF(F35="Technical Required Element",3,IF(LEFT(F35,4)="Hybr","H","")))))))</f>
        <v/>
      </c>
      <c r="F36" s="50" t="str">
        <f>IF(AND(F35="Hybrid - Thrust + 2 connections",CR35="X"),"Hybrid - Thrust",IF(OR(E36="A",E36="B",E36="C",E36="P"),"Acrobatic",""))</f>
        <v/>
      </c>
      <c r="G36" s="120"/>
      <c r="H36" s="126" t="str">
        <f>IF(E36="PA",IF(OR(LEFT(J35,1)="L",LEFT(J35,1)="S"),"A-Pair-Lift",IF(OR(LEFT(J35,1)="W",LEFT(J35,1)="T"),"A-Pair-Throw",IF(LEFT(J35,1)="J","A-Pair-Jump","A-Pair"))),IF(OR(E36="A",E36="B",E36="C",E36="P"),CONCATENATE("Acro-",E36),""))</f>
        <v/>
      </c>
      <c r="I36" s="127" t="e">
        <f t="array" ref="I36">IF(OR(F35="Hybrid - min 4 swimmers (no DD)",LEFT(F35,5)="Trans"),0,INDEX($BY$3:$BY$9,MATCH(E36,$BX$3:$BX$9,0)))</f>
        <v>#N/A</v>
      </c>
      <c r="J36" s="128">
        <f t="array" aca="1" ref="J36" ca="1">IFERROR(IF($H35="No DD",IF(J35="ChoHY",1,0),IF(OR(ISBLANK(J35),J35="N/A"),0,INDEX(INDIRECT(BI36),MATCH(J35,INDIRECT(BI35),0)))),0)</f>
        <v>0</v>
      </c>
      <c r="K36" s="128">
        <f t="shared" ref="K36:AM36" ca="1" si="107">IFERROR(IF($H35="No DD",0,IF(OR(ISBLANK(K35),K35="N/A"),0,INDEX(INDIRECT(BJ36),MATCH(K35,INDIRECT(BJ35),0)))),0)</f>
        <v>0</v>
      </c>
      <c r="L36" s="128">
        <f t="shared" ca="1" si="107"/>
        <v>0</v>
      </c>
      <c r="M36" s="128">
        <f t="shared" ca="1" si="107"/>
        <v>0</v>
      </c>
      <c r="N36" s="128">
        <f t="shared" ca="1" si="107"/>
        <v>0</v>
      </c>
      <c r="O36" s="128">
        <f t="shared" ca="1" si="107"/>
        <v>0</v>
      </c>
      <c r="P36" s="128">
        <f t="shared" ca="1" si="107"/>
        <v>0</v>
      </c>
      <c r="Q36" s="128">
        <f t="shared" ca="1" si="107"/>
        <v>0</v>
      </c>
      <c r="R36" s="128">
        <f t="shared" ca="1" si="107"/>
        <v>0</v>
      </c>
      <c r="S36" s="128">
        <f t="shared" ca="1" si="107"/>
        <v>0</v>
      </c>
      <c r="T36" s="128">
        <f t="shared" ca="1" si="107"/>
        <v>0</v>
      </c>
      <c r="U36" s="128">
        <f t="shared" ca="1" si="107"/>
        <v>0</v>
      </c>
      <c r="V36" s="128">
        <f t="shared" ca="1" si="107"/>
        <v>0</v>
      </c>
      <c r="W36" s="128">
        <f t="shared" ca="1" si="107"/>
        <v>0</v>
      </c>
      <c r="X36" s="128">
        <f t="shared" ca="1" si="107"/>
        <v>0</v>
      </c>
      <c r="Y36" s="128">
        <f t="shared" ca="1" si="107"/>
        <v>0</v>
      </c>
      <c r="Z36" s="128">
        <f t="shared" ca="1" si="107"/>
        <v>0</v>
      </c>
      <c r="AA36" s="128">
        <f t="shared" ca="1" si="107"/>
        <v>0</v>
      </c>
      <c r="AB36" s="128">
        <f t="shared" ca="1" si="107"/>
        <v>0</v>
      </c>
      <c r="AC36" s="128">
        <f t="shared" ca="1" si="107"/>
        <v>0</v>
      </c>
      <c r="AD36" s="128">
        <f t="shared" ca="1" si="107"/>
        <v>0</v>
      </c>
      <c r="AE36" s="128">
        <f t="shared" ca="1" si="107"/>
        <v>0</v>
      </c>
      <c r="AF36" s="128">
        <f t="shared" ca="1" si="107"/>
        <v>0</v>
      </c>
      <c r="AG36" s="128">
        <f t="shared" ca="1" si="107"/>
        <v>0</v>
      </c>
      <c r="AH36" s="128">
        <f t="shared" ca="1" si="107"/>
        <v>0</v>
      </c>
      <c r="AI36" s="128">
        <f t="shared" ca="1" si="107"/>
        <v>0</v>
      </c>
      <c r="AJ36" s="128">
        <f t="shared" ca="1" si="107"/>
        <v>0</v>
      </c>
      <c r="AK36" s="128">
        <f t="shared" ca="1" si="107"/>
        <v>0</v>
      </c>
      <c r="AL36" s="128">
        <f t="shared" ca="1" si="107"/>
        <v>0</v>
      </c>
      <c r="AM36" s="128">
        <f t="shared" ca="1" si="107"/>
        <v>0</v>
      </c>
      <c r="AN36" s="129" t="str">
        <f t="array" ref="AN36">IFERROR(IF(E36="H",INDEX(HybridBonus_Value,MATCH(AN35,HybridBonus_Code,0)),""),"")</f>
        <v/>
      </c>
      <c r="AO36" s="130" t="str">
        <f>IFERROR(SUM(I36:AN36),"")</f>
        <v/>
      </c>
      <c r="AP36" s="132"/>
      <c r="AQ36" s="132"/>
      <c r="AR36" s="131"/>
      <c r="AS36" s="131"/>
      <c r="AT36" s="131"/>
      <c r="AU36" s="131"/>
      <c r="AV36" s="131"/>
      <c r="AW36" s="131"/>
      <c r="AX36" s="131"/>
      <c r="AY36" s="131"/>
      <c r="AZ36" s="131"/>
      <c r="BA36" s="131"/>
      <c r="BB36" s="131"/>
      <c r="BC36" s="131"/>
      <c r="BD36" s="131"/>
      <c r="BE36" s="131"/>
      <c r="BF36" s="131"/>
      <c r="BG36" s="12"/>
      <c r="BH36" s="131"/>
      <c r="BI36" s="5" t="str">
        <f t="shared" ref="BI36:BQ36" si="108">IF($E36="H",IF($F35="Hybrid - Thrust + 2 connections","Hybrid_Mix_Req_Value","HybridDD_Value"),IF($E36=3,"TreDD_Value",IF($E36="PA","AcroPair_Value",IF(LEFT($F35,4)="Acro",CONCATENATE(BI$16,$E36,"_Value"),""))))</f>
        <v/>
      </c>
      <c r="BJ36" s="5" t="str">
        <f t="shared" si="108"/>
        <v/>
      </c>
      <c r="BK36" s="5" t="str">
        <f t="shared" si="108"/>
        <v/>
      </c>
      <c r="BL36" s="5" t="str">
        <f t="shared" si="108"/>
        <v/>
      </c>
      <c r="BM36" s="5" t="str">
        <f t="shared" si="108"/>
        <v/>
      </c>
      <c r="BN36" s="5" t="str">
        <f t="shared" si="108"/>
        <v/>
      </c>
      <c r="BO36" s="5" t="str">
        <f t="shared" si="108"/>
        <v/>
      </c>
      <c r="BP36" s="5" t="str">
        <f t="shared" si="108"/>
        <v/>
      </c>
      <c r="BQ36" s="5" t="str">
        <f t="shared" si="108"/>
        <v/>
      </c>
      <c r="BR36" s="12" t="str">
        <f t="shared" ref="BR36:CL36" si="109">IF($E36="H",IF($F35="Hybrid - Thrust + 2 connections","Data!$BI$1:$BI$5","HybridDD_Value"),"Data!$BI$1:$BI$5")</f>
        <v>Data!$BI$1:$BI$5</v>
      </c>
      <c r="BS36" s="12" t="str">
        <f t="shared" si="109"/>
        <v>Data!$BI$1:$BI$5</v>
      </c>
      <c r="BT36" s="12" t="str">
        <f t="shared" si="109"/>
        <v>Data!$BI$1:$BI$5</v>
      </c>
      <c r="BU36" s="12" t="str">
        <f t="shared" si="109"/>
        <v>Data!$BI$1:$BI$5</v>
      </c>
      <c r="BV36" s="12" t="str">
        <f t="shared" si="109"/>
        <v>Data!$BI$1:$BI$5</v>
      </c>
      <c r="BW36" s="12" t="str">
        <f t="shared" si="109"/>
        <v>Data!$BI$1:$BI$5</v>
      </c>
      <c r="BX36" s="12" t="str">
        <f t="shared" si="109"/>
        <v>Data!$BI$1:$BI$5</v>
      </c>
      <c r="BY36" s="12" t="str">
        <f t="shared" si="109"/>
        <v>Data!$BI$1:$BI$5</v>
      </c>
      <c r="BZ36" s="12" t="str">
        <f t="shared" si="109"/>
        <v>Data!$BI$1:$BI$5</v>
      </c>
      <c r="CA36" s="12" t="str">
        <f t="shared" si="109"/>
        <v>Data!$BI$1:$BI$5</v>
      </c>
      <c r="CB36" s="12" t="str">
        <f t="shared" si="109"/>
        <v>Data!$BI$1:$BI$5</v>
      </c>
      <c r="CC36" s="12" t="str">
        <f t="shared" si="109"/>
        <v>Data!$BI$1:$BI$5</v>
      </c>
      <c r="CD36" s="12" t="str">
        <f t="shared" si="109"/>
        <v>Data!$BI$1:$BI$5</v>
      </c>
      <c r="CE36" s="12" t="str">
        <f t="shared" si="109"/>
        <v>Data!$BI$1:$BI$5</v>
      </c>
      <c r="CF36" s="12" t="str">
        <f t="shared" si="109"/>
        <v>Data!$BI$1:$BI$5</v>
      </c>
      <c r="CG36" s="12" t="str">
        <f t="shared" si="109"/>
        <v>Data!$BI$1:$BI$5</v>
      </c>
      <c r="CH36" s="12" t="str">
        <f t="shared" si="109"/>
        <v>Data!$BI$1:$BI$5</v>
      </c>
      <c r="CI36" s="12" t="str">
        <f t="shared" si="109"/>
        <v>Data!$BI$1:$BI$5</v>
      </c>
      <c r="CJ36" s="12" t="str">
        <f t="shared" si="109"/>
        <v>Data!$BI$1:$BI$5</v>
      </c>
      <c r="CK36" s="12" t="str">
        <f t="shared" si="109"/>
        <v>Data!$BI$1:$BI$5</v>
      </c>
      <c r="CL36" s="12" t="str">
        <f t="shared" si="109"/>
        <v>Data!$BI$1:$BI$5</v>
      </c>
      <c r="CM36" s="131"/>
      <c r="CN36" s="131"/>
      <c r="CO36" s="124" t="str">
        <f>IFERROR(IF(AND($BV$6="T",$BV$8="T",LEFT(F35,4)="Acro",AO36&gt;3),"X",IF($N$7="X",IF(AND(E36="C",AO36&gt;$CN$6),"X",IF(AND(E36="A",AO36&gt;$CN$4),"X",IF(AND(E36="B",AO36&gt;$CN$5),"X",IF(AND(E36="P",AO36&gt;$CN$7),"X","")))),"")),"")</f>
        <v/>
      </c>
      <c r="CP36" s="63"/>
      <c r="CQ36" s="5"/>
      <c r="CR36" s="15"/>
      <c r="CS36" s="5"/>
      <c r="CT36" s="5"/>
      <c r="CU36" s="5"/>
      <c r="CV36" s="5"/>
      <c r="CW36" s="5"/>
      <c r="CX36" s="5"/>
      <c r="CY36" s="5"/>
      <c r="CZ36" s="5"/>
      <c r="DA36" s="15"/>
      <c r="DB36" s="15"/>
      <c r="DC36" s="15"/>
      <c r="DD36" s="15" t="str">
        <f t="shared" si="10"/>
        <v/>
      </c>
      <c r="DE36" s="15" t="str">
        <f t="shared" si="11"/>
        <v/>
      </c>
      <c r="DF36" s="15" t="str">
        <f t="shared" si="12"/>
        <v/>
      </c>
      <c r="DG36" s="15" t="str">
        <f t="shared" si="13"/>
        <v/>
      </c>
      <c r="DH36" s="15"/>
      <c r="DI36" s="15"/>
      <c r="DJ36" s="15"/>
      <c r="DK36" s="15"/>
      <c r="DL36" s="15"/>
      <c r="DM36" s="15"/>
      <c r="DN36" s="15"/>
      <c r="DO36" s="15">
        <v>18</v>
      </c>
      <c r="DP36" s="15"/>
      <c r="DQ36" s="15"/>
      <c r="DR36" s="15"/>
      <c r="DS36" s="15"/>
      <c r="DT36" s="15"/>
      <c r="DU36" s="15"/>
      <c r="DV36" s="15"/>
      <c r="DW36" s="15"/>
      <c r="DX36" s="15"/>
      <c r="DY36" s="15"/>
      <c r="DZ36" s="15"/>
      <c r="EA36" s="15"/>
      <c r="EB36" s="15"/>
      <c r="EC36" s="15"/>
      <c r="ED36" s="15"/>
      <c r="EE36" s="15"/>
      <c r="EF36" s="15" t="str">
        <f t="array" ref="EF36">IFERROR(INDEX(EH36:FK36,MATCH(TRUE,INDEX((EH36:FK36&lt;&gt;""),),0)),"")</f>
        <v/>
      </c>
      <c r="EG36" s="15"/>
      <c r="EH36" s="15" t="str">
        <f t="shared" ref="EH36:FK36" si="110">IF(F35="Hybrid - Thrust + 2 connections",IF(COUNTIF($EH35:$FA35,EH35)&gt;1,EH35,""),IF(COUNTIF($EH35:$FA35,EH35)&gt;5,EH35,""))</f>
        <v/>
      </c>
      <c r="EI36" s="15" t="str">
        <f t="shared" si="110"/>
        <v/>
      </c>
      <c r="EJ36" s="15" t="str">
        <f t="shared" si="110"/>
        <v/>
      </c>
      <c r="EK36" s="15" t="str">
        <f t="shared" si="110"/>
        <v/>
      </c>
      <c r="EL36" s="15" t="str">
        <f t="shared" si="110"/>
        <v/>
      </c>
      <c r="EM36" s="15" t="str">
        <f t="shared" si="110"/>
        <v/>
      </c>
      <c r="EN36" s="15" t="str">
        <f t="shared" si="110"/>
        <v/>
      </c>
      <c r="EO36" s="15" t="str">
        <f t="shared" si="110"/>
        <v/>
      </c>
      <c r="EP36" s="15" t="str">
        <f t="shared" si="110"/>
        <v/>
      </c>
      <c r="EQ36" s="15" t="str">
        <f t="shared" si="110"/>
        <v/>
      </c>
      <c r="ER36" s="15" t="str">
        <f t="shared" si="110"/>
        <v/>
      </c>
      <c r="ES36" s="15" t="str">
        <f t="shared" si="110"/>
        <v/>
      </c>
      <c r="ET36" s="15" t="str">
        <f t="shared" si="110"/>
        <v/>
      </c>
      <c r="EU36" s="15" t="str">
        <f t="shared" si="110"/>
        <v/>
      </c>
      <c r="EV36" s="15" t="str">
        <f t="shared" si="110"/>
        <v/>
      </c>
      <c r="EW36" s="15" t="str">
        <f t="shared" si="110"/>
        <v/>
      </c>
      <c r="EX36" s="15" t="str">
        <f t="shared" si="110"/>
        <v/>
      </c>
      <c r="EY36" s="15" t="str">
        <f t="shared" si="110"/>
        <v/>
      </c>
      <c r="EZ36" s="15" t="str">
        <f t="shared" si="110"/>
        <v/>
      </c>
      <c r="FA36" s="15" t="str">
        <f t="shared" si="110"/>
        <v/>
      </c>
      <c r="FB36" s="15" t="str">
        <f t="shared" si="110"/>
        <v/>
      </c>
      <c r="FC36" s="15" t="str">
        <f t="shared" si="110"/>
        <v/>
      </c>
      <c r="FD36" s="15" t="str">
        <f t="shared" si="110"/>
        <v/>
      </c>
      <c r="FE36" s="15" t="str">
        <f t="shared" si="110"/>
        <v/>
      </c>
      <c r="FF36" s="15" t="str">
        <f t="shared" si="110"/>
        <v/>
      </c>
      <c r="FG36" s="15" t="str">
        <f t="shared" si="110"/>
        <v/>
      </c>
      <c r="FH36" s="15" t="str">
        <f t="shared" si="110"/>
        <v/>
      </c>
      <c r="FI36" s="15" t="str">
        <f t="shared" si="110"/>
        <v/>
      </c>
      <c r="FJ36" s="15" t="str">
        <f t="shared" si="110"/>
        <v/>
      </c>
      <c r="FK36" s="15" t="str">
        <f t="shared" si="110"/>
        <v/>
      </c>
      <c r="FL36" s="15">
        <f>FL34+5</f>
        <v>40</v>
      </c>
      <c r="FM36" s="15" t="str">
        <f ca="1">OFFSET($FM$75,FL36,0)</f>
        <v/>
      </c>
      <c r="FN36" s="15" t="str">
        <f ca="1">OFFSET($FN$75,FL36,0)</f>
        <v/>
      </c>
      <c r="FO36" s="244"/>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6"/>
      <c r="GS36" s="15"/>
      <c r="GT36" s="15"/>
      <c r="GU36" s="15"/>
      <c r="GV36" s="15"/>
      <c r="GW36" s="15"/>
      <c r="GX36" s="15"/>
      <c r="GY36" s="15"/>
      <c r="GZ36" s="15"/>
      <c r="HA36" s="15" t="str">
        <f>IF($F35="Hybrid - Thrust + 2 connections",COUNTBLANK(J35:L35),"")</f>
        <v/>
      </c>
      <c r="HB36" s="15"/>
      <c r="HC36" s="5"/>
      <c r="HD36" s="5"/>
      <c r="HE36" s="5"/>
      <c r="HF36" s="5"/>
    </row>
    <row r="37" spans="1:214" ht="12.75" customHeight="1" x14ac:dyDescent="0.3">
      <c r="A37" s="118" t="str">
        <f>IF(AND(E35="",A35&lt;&gt;""),IF(CP35=$CP$18,"",IF(C35&lt;&gt;"",IF(D35=59,MINUTE(CP35)+1,MINUTE(CP35)),"")),"")</f>
        <v/>
      </c>
      <c r="B37" s="119" t="str">
        <f>IF(AND(E35="",B35&lt;&gt;""),IF(CP35=$CP$18,"",IF(C35&lt;&gt;"",IF(D35=59,0,SECOND(CP35)+1),"")),"")</f>
        <v/>
      </c>
      <c r="C37" s="119"/>
      <c r="D37" s="119"/>
      <c r="E37" s="119"/>
      <c r="F37" s="57"/>
      <c r="G37" s="120" t="str">
        <f>IF(F37&lt;&gt;"",IF(OR(F37="Transition",F37="Transition - Surface Connection"),0,MAX($G$19:G36)+1),"")</f>
        <v/>
      </c>
      <c r="H37" s="223" t="str">
        <f>IFERROR(IF(E38="3","",IF(OR(F37="Hybrid - min 4 swimmers (no DD)",LEFT(F37,5)="Trans"),"No DD",CONCATENATE("BM = ",I38))),"")</f>
        <v/>
      </c>
      <c r="I37" s="224"/>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2"/>
      <c r="AO37" s="123"/>
      <c r="AP37" s="52"/>
      <c r="AQ37" s="52"/>
      <c r="AR37" s="12"/>
      <c r="AS37" s="12"/>
      <c r="AT37" s="12"/>
      <c r="AU37" s="12"/>
      <c r="AV37" s="12"/>
      <c r="AW37" s="12"/>
      <c r="AX37" s="12"/>
      <c r="AY37" s="12"/>
      <c r="AZ37" s="12"/>
      <c r="BA37" s="12"/>
      <c r="BB37" s="12"/>
      <c r="BC37" s="12"/>
      <c r="BD37" s="12"/>
      <c r="BE37" s="12"/>
      <c r="BF37" s="12"/>
      <c r="BG37" s="12" t="str">
        <f t="array" ref="BG37">IFERROR(IF(F37&lt;&gt;"",INDEX(Parts_Active,MATCH(F37,Parts_Active,0)),""),"No")</f>
        <v/>
      </c>
      <c r="BH37" s="12"/>
      <c r="BI37" s="12" t="str">
        <f>IF($E38="H",IF($F37="Hybrid - Thrust + 2 connections","Hybrid_Mix_Req",IF($F37="Hybrid - min 4 swimmers (no DD)","Hybrid_ChoHY","HybridDD_Code")),IF($E38=3,"TreDD_Code",IF($E38="PA","AcroPair_Code",IF(LEFT($F37,4)="Acro",CONCATENATE(BI$16,$E38,"_Code"),"Data!$BI$1:$BI$5"))))</f>
        <v>Data!$BI$1:$BI$5</v>
      </c>
      <c r="BJ37" s="12" t="str">
        <f t="shared" ref="BJ37:BQ37" si="111">IF($E38="H",IF($F37="Hybrid - Thrust + 2 connections","Hybrid_Mix_Req",IF($F37="Hybrid - min 4 swimmers (no DD)","Data!$BI$1:$BI$5","HybridDD_Code")),IF($E38=3,"TreDD_Code",IF($E38="PA","AcroPair_Code",IF(LEFT($F37,4)="Acro",CONCATENATE(BJ$16,$E38,"_Code"),"Data!$BI$1:$BI$5"))))</f>
        <v>Data!$BI$1:$BI$5</v>
      </c>
      <c r="BK37" s="12" t="str">
        <f t="shared" si="111"/>
        <v>Data!$BI$1:$BI$5</v>
      </c>
      <c r="BL37" s="12" t="str">
        <f t="shared" si="111"/>
        <v>Data!$BI$1:$BI$5</v>
      </c>
      <c r="BM37" s="12" t="str">
        <f t="shared" si="111"/>
        <v>Data!$BI$1:$BI$5</v>
      </c>
      <c r="BN37" s="12" t="str">
        <f t="shared" si="111"/>
        <v>Data!$BI$1:$BI$5</v>
      </c>
      <c r="BO37" s="12" t="str">
        <f t="shared" si="111"/>
        <v>Data!$BI$1:$BI$5</v>
      </c>
      <c r="BP37" s="12" t="str">
        <f t="shared" si="111"/>
        <v>Data!$BI$1:$BI$5</v>
      </c>
      <c r="BQ37" s="12" t="str">
        <f t="shared" si="111"/>
        <v>Data!$BI$1:$BI$5</v>
      </c>
      <c r="BR37" s="12" t="str">
        <f>IF($E38="H",IF($F37="Hybrid - Thrust + 2 connections","Data!$BI$1:$BI$5","HybridDD_Code"),"Data!$BI$1:$BI$5")</f>
        <v>Data!$BI$1:$BI$5</v>
      </c>
      <c r="BS37" s="12" t="str">
        <f t="shared" ref="BS37:CL37" si="112">$BR37</f>
        <v>Data!$BI$1:$BI$5</v>
      </c>
      <c r="BT37" s="12" t="str">
        <f t="shared" si="112"/>
        <v>Data!$BI$1:$BI$5</v>
      </c>
      <c r="BU37" s="12" t="str">
        <f t="shared" si="112"/>
        <v>Data!$BI$1:$BI$5</v>
      </c>
      <c r="BV37" s="12" t="str">
        <f t="shared" si="112"/>
        <v>Data!$BI$1:$BI$5</v>
      </c>
      <c r="BW37" s="12" t="str">
        <f t="shared" si="112"/>
        <v>Data!$BI$1:$BI$5</v>
      </c>
      <c r="BX37" s="12" t="str">
        <f t="shared" si="112"/>
        <v>Data!$BI$1:$BI$5</v>
      </c>
      <c r="BY37" s="12" t="str">
        <f t="shared" si="112"/>
        <v>Data!$BI$1:$BI$5</v>
      </c>
      <c r="BZ37" s="12" t="str">
        <f t="shared" si="112"/>
        <v>Data!$BI$1:$BI$5</v>
      </c>
      <c r="CA37" s="12" t="str">
        <f t="shared" si="112"/>
        <v>Data!$BI$1:$BI$5</v>
      </c>
      <c r="CB37" s="12" t="str">
        <f t="shared" si="112"/>
        <v>Data!$BI$1:$BI$5</v>
      </c>
      <c r="CC37" s="12" t="str">
        <f t="shared" si="112"/>
        <v>Data!$BI$1:$BI$5</v>
      </c>
      <c r="CD37" s="12" t="str">
        <f t="shared" si="112"/>
        <v>Data!$BI$1:$BI$5</v>
      </c>
      <c r="CE37" s="12" t="str">
        <f t="shared" si="112"/>
        <v>Data!$BI$1:$BI$5</v>
      </c>
      <c r="CF37" s="12" t="str">
        <f t="shared" si="112"/>
        <v>Data!$BI$1:$BI$5</v>
      </c>
      <c r="CG37" s="12" t="str">
        <f t="shared" si="112"/>
        <v>Data!$BI$1:$BI$5</v>
      </c>
      <c r="CH37" s="12" t="str">
        <f t="shared" si="112"/>
        <v>Data!$BI$1:$BI$5</v>
      </c>
      <c r="CI37" s="12" t="str">
        <f t="shared" si="112"/>
        <v>Data!$BI$1:$BI$5</v>
      </c>
      <c r="CJ37" s="12" t="str">
        <f t="shared" si="112"/>
        <v>Data!$BI$1:$BI$5</v>
      </c>
      <c r="CK37" s="12" t="str">
        <f t="shared" si="112"/>
        <v>Data!$BI$1:$BI$5</v>
      </c>
      <c r="CL37" s="12" t="str">
        <f t="shared" si="112"/>
        <v>Data!$BI$1:$BI$5</v>
      </c>
      <c r="CM37" s="12"/>
      <c r="CN37" s="12"/>
      <c r="CO37" s="63" t="str">
        <f>IFERROR(TIME(0,A37,B37),"")</f>
        <v/>
      </c>
      <c r="CP37" s="63">
        <f>IFERROR(TIME(0,C37,D37),"")</f>
        <v>0</v>
      </c>
      <c r="CQ37" s="63" t="str">
        <f>IF(CP37&gt;$D$12,"X","")</f>
        <v/>
      </c>
      <c r="CR37" s="15" t="str">
        <f>IF(AND(F37="Hybrid - Thrust + 2 connections",OR(LEFT(J37,1)="T",LEFT(K37,1)="T",LEFT(L37,1)="T",LEFT(OY37,1)="T",LEFT(M37,1)="T",LEFT(N37,1)="T",LEFT(O37,1)="T",LEFT(P37,1)="T",LEFT(Q37,1)="T",LEFT(R37,1)="T",LEFT(S37,1)="T",LEFT(T37,1)="T",LEFT(U37,1)="T",LEFT(V37,1)="T",LEFT(W37,1)="T",LEFT(X37,1)="T",LEFT(AK37,1)="T",LEFT(AL37,1)="T",LEFT(AM37,1)="T")),IF(OR(LEN(J37)=2,LEN(K37)=2,LEN(L37)=2,LEN(M37)=2,LEN(N37)=2,LEN(O37)=2,LEN(P37)=2,LEN(Q37)=2,LEN(R37)=2,LEN(S37)=2,LEN(T37)=2,LEN(U37)=2,LEN(V37)=2,LEN(W37)=2,LEN(X37)=2,LEN(Y37)=2,LEN(Z37)=2,LEN(AK37)=2,LEN(AL37)=2,LEN(AM37)=2),"X",""),"")</f>
        <v/>
      </c>
      <c r="CS37" s="5"/>
      <c r="CT37" s="15" t="str">
        <f>IF(LEFT(F37,4)="Acro",IF(AND(N37&lt;&gt;"",M37=RIGHT(N37,2)),"X","OK"),"")</f>
        <v/>
      </c>
      <c r="CU37" s="12" t="str">
        <f t="array" ref="CU37">IFERROR(IF(AND(LEFT($F37,4)="Acro",INDEX(Requ_App,MATCH(BI37,Requ_Code,0))="No"),"X",""),"")</f>
        <v/>
      </c>
      <c r="CV37" s="12" t="str">
        <f t="array" ref="CV37">IFERROR(IF(AND(LEFT($F37,4)="Acro",INDEX(Requ_App,MATCH(BJ37,Requ_Code,0))="No"),"X",""),"")</f>
        <v/>
      </c>
      <c r="CW37" s="12" t="str">
        <f t="array" ref="CW37">IFERROR(IF(AND(LEFT($F37,4)="Acro",INDEX(Requ_App,MATCH(BK37,Requ_Code,0))="No"),"X",""),"")</f>
        <v/>
      </c>
      <c r="CX37" s="12" t="str">
        <f t="array" ref="CX37">IFERROR(IF(AND(LEFT($F37,4)="Acro",INDEX(Requ_App,MATCH(BL37,Requ_Code,0))="No"),"X",""),"")</f>
        <v/>
      </c>
      <c r="CY37" s="12" t="str">
        <f t="array" ref="CY37">IFERROR(IF(AND(LEFT($F37,4)="Acro",INDEX(Requ_App,MATCH(BM37,Requ_Code,0))="No"),"X",""),"")</f>
        <v/>
      </c>
      <c r="CZ37" s="12" t="str">
        <f t="array" ref="CZ37">IFERROR(IF(AND(LEFT($F37,4)="Acro",INDEX(Requ_App,MATCH(BN37,Requ_Code,0))="No"),"X",""),"")</f>
        <v/>
      </c>
      <c r="DA37" s="12" t="str">
        <f t="array" ref="DA37">IFERROR(IF(AND(LEFT($F37,4)="Acro",INDEX(Requ_App,MATCH(BO37,Requ_Code,0))="No"),"X",""),"")</f>
        <v/>
      </c>
      <c r="DB37" s="12" t="str">
        <f t="array" ref="DB37">IFERROR(IF(AND(LEFT($F37,4)="Acro",INDEX(Requ_App,MATCH(BP37,Requ_Code,0))="No"),"X",""),"")</f>
        <v/>
      </c>
      <c r="DC37" s="12" t="str">
        <f t="array" ref="DC37">IFERROR(IF(AND(LEFT($F37,4)="Acro",INDEX(Requ_App,MATCH(BP37,Requ_Code,0))="No"),"X",""),"")</f>
        <v/>
      </c>
      <c r="DD37" s="15" t="str">
        <f t="shared" si="10"/>
        <v/>
      </c>
      <c r="DE37" s="15" t="str">
        <f t="shared" si="11"/>
        <v/>
      </c>
      <c r="DF37" s="15" t="str">
        <f t="shared" si="12"/>
        <v/>
      </c>
      <c r="DG37" s="15" t="str">
        <f t="shared" si="13"/>
        <v/>
      </c>
      <c r="DH37" s="15"/>
      <c r="DI37" s="15"/>
      <c r="DJ37" s="15"/>
      <c r="DK37" s="15">
        <f>IF(AND(E38="A",OR(Q37="Grip",Q37="Conn",Q37="Catch")),"A1",IF(AND(E38="A",OR(Q37="Hula",Q37="RetSq",Q37="RetPa")),"A2",IF(AND(E38="B",OR(Q37="Twirl",Q37="RotF")),"B1",IF(AND(E38="B",OR(Q37="Moon",Q37="Mov")),"B2",IF(AND(E38="B",Q37="Hold"),"B3",IF(AND(E38="P",OR(Q37="Porp",Q37="Spitch")),"P1",IF(AND(E38="P",OR(Q37="Dive",Q37="Ps1",Q37="Ps1t0.5",Q37="Ps1op",Q37="Ps1t0,5o",Q37="Ps1t1",Q37="CH+")),"P2",IF(AND(E38="P",OR(Q37="Spider",Q37="Climb")),"P3",IF(AND(E38="P",OR(Q37="Fall",Q37="FTurn")),"P4",IF(AND(E38="C",OR(Q37="Jump",Q37="Jump&gt;",Q37="On1Foot",Q37="1F&gt;1F")),"C1",IF(AND(E38="C",OR(Q37="Run",Q37="BRun")),"C2",1)))))))))))</f>
        <v>1</v>
      </c>
      <c r="DL37" s="15">
        <f>IF(AND(E38="A",OR(R37="Grip",R37="Conn",R37="Catch")),"A1",IF(AND(E38="A",OR(R37="Hula",R37="RetSq",R37="RetPa")),"A2",IF(AND(E38="B",OR(R37="Twirl",R37="RotF")),"B1",IF(AND(E38="B",OR(R37="Moon",R37="Mov")),"B3",IF(AND(E38="B",R37="Hold"),"B2",IF(AND(E38="P",OR(R37="Porp",R37="Spitch")),"P1",IF(AND(E38="P",OR(R37="Dive",R37="Ps1",R37="Ps1t0.5",R37="Ps1op",R37="Ps1t0,5o",R37="Ps1t1",R37="CH+")),"P2",IF(AND(E38="P",OR(R37="Spider",R37="Climb")),"P3",IF(AND(E38="P",OR(R37="Fall",R37="FTurn")),"P4",IF(AND(E38="C",OR(R37="Jump",R37="Jump&gt;",R37="On1Foot",R37="1F&gt;1F")),"C1",IF(AND(E38="C",OR(R37="Run",R37="BRun")),"C2",2)))))))))))</f>
        <v>2</v>
      </c>
      <c r="DM37" s="15" t="str">
        <f>IF(AND(LEFT(F37,4)="Acro",Q37&lt;&gt;"",OR(Q37=R37,DK37=DL37)),IF(R37="C-Roll","","X"),IF(OR(AND(E38="A",Q37="Catch",R37&lt;&gt;"Dbl"),AND(E38="A",R37="Catch",Q37&lt;&gt;"Dbl")),"X",""))</f>
        <v/>
      </c>
      <c r="DN37" s="15" t="str">
        <f>IF(E38="PA",J37,"")</f>
        <v/>
      </c>
      <c r="DO37" s="15">
        <v>19</v>
      </c>
      <c r="DP37" s="15"/>
      <c r="DQ37" s="15" t="str">
        <f t="shared" ref="DQ37:DR37" si="113">IF(AND($E38="A",COUNTIF($DZ$19:$EA$68,DZ37)&gt;1),DZ37,"")</f>
        <v/>
      </c>
      <c r="DR37" s="15" t="str">
        <f t="shared" si="113"/>
        <v/>
      </c>
      <c r="DS37" s="15" t="str">
        <f ca="1">IF(AND($E38="B",COUNTIF($J$19:$J$68,J37)&gt;1),J37,"")</f>
        <v/>
      </c>
      <c r="DT37" s="15" t="str">
        <f ca="1">IF(AND($E38="B",COUNTIF($K$19:$K$68,K37)&gt;1),K37,"")</f>
        <v/>
      </c>
      <c r="DU37" s="15" t="str">
        <f ca="1">IF(AND($E38="C",COUNTIF($J$19:$J$68,J37)&gt;1),J37,"")</f>
        <v/>
      </c>
      <c r="DV37" s="15" t="str">
        <f ca="1">IF(AND($E38="P",COUNTIF($J$19:$J$68,J37)&gt;1),J37,"")</f>
        <v/>
      </c>
      <c r="DW37" s="15" t="str">
        <f ca="1">IF(AND($E38="P",COUNTIF($K$19:$K$68,K37)&gt;1),K37,"")</f>
        <v/>
      </c>
      <c r="DX37" s="15" t="str">
        <f t="shared" ref="DX37:DY37" si="114">IF(AND($E38="P",COUNTIF($DZ$19:$EA$68,DZ37)&gt;1),DZ37,"")</f>
        <v/>
      </c>
      <c r="DY37" s="15" t="str">
        <f t="shared" si="114"/>
        <v/>
      </c>
      <c r="DZ37" s="15" t="str">
        <f>IFERROR(IF(OR(E38="A",E38="P"),M37,""),"")</f>
        <v/>
      </c>
      <c r="EA37" s="15" t="str">
        <f>IFERROR(IF(OR(E38="A",E38="P"),RIGHT(N37,2),""),"")</f>
        <v/>
      </c>
      <c r="EB37" s="15"/>
      <c r="EC37" s="15" t="str">
        <f>IF(AND($F$8="Open Team Acrobatic",LEFT(F37,4)="Acro"),E38,"")</f>
        <v/>
      </c>
      <c r="ED37" s="15" t="str">
        <f>IFERROR(IF(HLOOKUP(EC37,$DQ$12:$DT$13,2,FALSE)&gt;2,"X",""),"")</f>
        <v/>
      </c>
      <c r="EE37" s="15"/>
      <c r="EF37" s="15" t="str">
        <f>IF(OR(AND(F37="Hybrid - Thrust + 2 connections",EF38="T"),AND(E38="H",EF38&lt;&gt;"")),"X","")</f>
        <v/>
      </c>
      <c r="EG37" s="15"/>
      <c r="EH37" s="15">
        <f t="shared" ref="EH37:EX37" si="115">IFERROR(IF(AND($E38="H",J37&lt;&gt;""),IF(OR(LEFT(J37,1)="T",LEFT(J37,1)="S",LEFT(J37,1)="A",LEFT(J37,1)="F",LEFT(J37,1)="C"),LEFT(J37,1),"R"),EH$18),"")</f>
        <v>1</v>
      </c>
      <c r="EI37" s="15">
        <f t="shared" si="115"/>
        <v>2</v>
      </c>
      <c r="EJ37" s="15">
        <f t="shared" si="115"/>
        <v>3</v>
      </c>
      <c r="EK37" s="15">
        <f t="shared" si="115"/>
        <v>4</v>
      </c>
      <c r="EL37" s="15">
        <f t="shared" si="115"/>
        <v>5</v>
      </c>
      <c r="EM37" s="15">
        <f t="shared" si="115"/>
        <v>6</v>
      </c>
      <c r="EN37" s="15">
        <f t="shared" si="115"/>
        <v>7</v>
      </c>
      <c r="EO37" s="15">
        <f t="shared" si="115"/>
        <v>8</v>
      </c>
      <c r="EP37" s="15">
        <f t="shared" si="115"/>
        <v>9</v>
      </c>
      <c r="EQ37" s="15">
        <f t="shared" si="115"/>
        <v>10</v>
      </c>
      <c r="ER37" s="15">
        <f t="shared" si="115"/>
        <v>11</v>
      </c>
      <c r="ES37" s="15">
        <f t="shared" si="115"/>
        <v>12</v>
      </c>
      <c r="ET37" s="15">
        <f t="shared" si="115"/>
        <v>13</v>
      </c>
      <c r="EU37" s="15">
        <f t="shared" si="115"/>
        <v>14</v>
      </c>
      <c r="EV37" s="15">
        <f t="shared" si="115"/>
        <v>15</v>
      </c>
      <c r="EW37" s="15">
        <f t="shared" si="115"/>
        <v>16</v>
      </c>
      <c r="EX37" s="15">
        <f t="shared" si="115"/>
        <v>17</v>
      </c>
      <c r="EY37" s="15">
        <f t="shared" ref="EY37:FK37" si="116">IFERROR(IF(AND($E38="H",AK37&lt;&gt;""),IF(OR(LEFT(AK37,1)="T",LEFT(AK37,1)="S",LEFT(AK37,1)="A",LEFT(AK37,1)="F",LEFT(AK37,1)="C"),LEFT(AK37,1),"R"),EY$18),"")</f>
        <v>18</v>
      </c>
      <c r="EZ37" s="15">
        <f t="shared" si="116"/>
        <v>19</v>
      </c>
      <c r="FA37" s="15">
        <f t="shared" si="116"/>
        <v>20</v>
      </c>
      <c r="FB37" s="15">
        <f t="shared" si="116"/>
        <v>21</v>
      </c>
      <c r="FC37" s="15">
        <f t="shared" si="116"/>
        <v>22</v>
      </c>
      <c r="FD37" s="15">
        <f t="shared" si="116"/>
        <v>23</v>
      </c>
      <c r="FE37" s="15">
        <f t="shared" si="116"/>
        <v>24</v>
      </c>
      <c r="FF37" s="15">
        <f t="shared" si="116"/>
        <v>25</v>
      </c>
      <c r="FG37" s="15">
        <f t="shared" si="116"/>
        <v>26</v>
      </c>
      <c r="FH37" s="15">
        <f t="shared" si="116"/>
        <v>27</v>
      </c>
      <c r="FI37" s="15">
        <f t="shared" si="116"/>
        <v>28</v>
      </c>
      <c r="FJ37" s="15">
        <f t="shared" si="116"/>
        <v>29</v>
      </c>
      <c r="FK37" s="15">
        <f t="shared" si="116"/>
        <v>30</v>
      </c>
      <c r="FL37" s="15"/>
      <c r="FM37" s="15"/>
      <c r="FN37" s="15"/>
      <c r="FO37" s="244"/>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6"/>
      <c r="GS37" s="15"/>
      <c r="GT37" s="15">
        <f t="shared" ref="GT37:GY37" si="117">COUNTIF($EH37:$FK37,GT$18)</f>
        <v>0</v>
      </c>
      <c r="GU37" s="15">
        <f t="shared" si="117"/>
        <v>0</v>
      </c>
      <c r="GV37" s="15">
        <f t="shared" si="117"/>
        <v>0</v>
      </c>
      <c r="GW37" s="15">
        <f t="shared" si="117"/>
        <v>0</v>
      </c>
      <c r="GX37" s="15">
        <f t="shared" si="117"/>
        <v>0</v>
      </c>
      <c r="GY37" s="15">
        <f t="shared" si="117"/>
        <v>0</v>
      </c>
      <c r="GZ37" s="15"/>
      <c r="HA37" s="15" t="str">
        <f>IF(AND($F37="Hybrid - Thrust + 2 connections",HA38=0,LEFT($J37,1)="C",LEFT($K37,1)="C",LEFT($L37,1)="C"),"X","")</f>
        <v/>
      </c>
      <c r="HB37" s="15"/>
      <c r="HC37" s="5"/>
      <c r="HD37" s="124"/>
      <c r="HE37" s="124"/>
      <c r="HF37" s="5" t="str">
        <f>IF(E38=3,_xludf.NUMBERVALUE(LEFT(J37,1)),"")</f>
        <v/>
      </c>
    </row>
    <row r="38" spans="1:214" ht="12.75" customHeight="1" x14ac:dyDescent="0.3">
      <c r="A38" s="118"/>
      <c r="B38" s="119"/>
      <c r="C38" s="119"/>
      <c r="D38" s="119"/>
      <c r="E38" s="50" t="str">
        <f>IF(F37="Acrobatic - Pair","PA",IF(F37="Acrobatic Airborn","A",IF(F37="Acrobatic Balance","B",IF(F37="Acrobatic Combined","C",IF(F37="Acrobatic Platform","P",IF(F37="Technical Required Element",3,IF(LEFT(F37,4)="Hybr","H","")))))))</f>
        <v/>
      </c>
      <c r="F38" s="50" t="str">
        <f>IF(AND(F37="Hybrid - Thrust + 2 connections",CR37="X"),"Hybrid - Thrust",IF(OR(E38="A",E38="B",E38="C",E38="P"),"Acrobatic",""))</f>
        <v/>
      </c>
      <c r="G38" s="120"/>
      <c r="H38" s="126" t="str">
        <f>IF(E38="PA",IF(OR(LEFT(J37,1)="L",LEFT(J37,1)="S"),"A-Pair-Lift",IF(OR(LEFT(J37,1)="W",LEFT(J37,1)="T"),"A-Pair-Throw",IF(LEFT(J37,1)="J","A-Pair-Jump","A-Pair"))),IF(OR(E38="A",E38="B",E38="C",E38="P"),CONCATENATE("Acro-",E38),""))</f>
        <v/>
      </c>
      <c r="I38" s="127" t="e">
        <f t="array" ref="I38">IF(OR(F37="Hybrid - min 4 swimmers (no DD)",LEFT(F37,5)="Trans"),0,INDEX($BY$3:$BY$9,MATCH(E38,$BX$3:$BX$9,0)))</f>
        <v>#N/A</v>
      </c>
      <c r="J38" s="128">
        <f t="array" aca="1" ref="J38" ca="1">IFERROR(IF($H37="No DD",IF(J37="ChoHY",1,0),IF(OR(ISBLANK(J37),J37="N/A"),0,INDEX(INDIRECT(BI38),MATCH(J37,INDIRECT(BI37),0)))),0)</f>
        <v>0</v>
      </c>
      <c r="K38" s="128">
        <f t="shared" ref="K38:AM38" ca="1" si="118">IFERROR(IF($H37="No DD",0,IF(OR(ISBLANK(K37),K37="N/A"),0,INDEX(INDIRECT(BJ38),MATCH(K37,INDIRECT(BJ37),0)))),0)</f>
        <v>0</v>
      </c>
      <c r="L38" s="128">
        <f t="shared" ca="1" si="118"/>
        <v>0</v>
      </c>
      <c r="M38" s="128">
        <f t="shared" ca="1" si="118"/>
        <v>0</v>
      </c>
      <c r="N38" s="128">
        <f t="shared" ca="1" si="118"/>
        <v>0</v>
      </c>
      <c r="O38" s="128">
        <f t="shared" ca="1" si="118"/>
        <v>0</v>
      </c>
      <c r="P38" s="128">
        <f t="shared" ca="1" si="118"/>
        <v>0</v>
      </c>
      <c r="Q38" s="128">
        <f t="shared" ca="1" si="118"/>
        <v>0</v>
      </c>
      <c r="R38" s="128">
        <f t="shared" ca="1" si="118"/>
        <v>0</v>
      </c>
      <c r="S38" s="128">
        <f t="shared" ca="1" si="118"/>
        <v>0</v>
      </c>
      <c r="T38" s="128">
        <f t="shared" ca="1" si="118"/>
        <v>0</v>
      </c>
      <c r="U38" s="128">
        <f t="shared" ca="1" si="118"/>
        <v>0</v>
      </c>
      <c r="V38" s="128">
        <f t="shared" ca="1" si="118"/>
        <v>0</v>
      </c>
      <c r="W38" s="128">
        <f t="shared" ca="1" si="118"/>
        <v>0</v>
      </c>
      <c r="X38" s="128">
        <f t="shared" ca="1" si="118"/>
        <v>0</v>
      </c>
      <c r="Y38" s="128">
        <f t="shared" ca="1" si="118"/>
        <v>0</v>
      </c>
      <c r="Z38" s="128">
        <f t="shared" ca="1" si="118"/>
        <v>0</v>
      </c>
      <c r="AA38" s="128">
        <f t="shared" ca="1" si="118"/>
        <v>0</v>
      </c>
      <c r="AB38" s="128">
        <f t="shared" ca="1" si="118"/>
        <v>0</v>
      </c>
      <c r="AC38" s="128">
        <f t="shared" ca="1" si="118"/>
        <v>0</v>
      </c>
      <c r="AD38" s="128">
        <f t="shared" ca="1" si="118"/>
        <v>0</v>
      </c>
      <c r="AE38" s="128">
        <f t="shared" ca="1" si="118"/>
        <v>0</v>
      </c>
      <c r="AF38" s="128">
        <f t="shared" ca="1" si="118"/>
        <v>0</v>
      </c>
      <c r="AG38" s="128">
        <f t="shared" ca="1" si="118"/>
        <v>0</v>
      </c>
      <c r="AH38" s="128">
        <f t="shared" ca="1" si="118"/>
        <v>0</v>
      </c>
      <c r="AI38" s="128">
        <f t="shared" ca="1" si="118"/>
        <v>0</v>
      </c>
      <c r="AJ38" s="128">
        <f t="shared" ca="1" si="118"/>
        <v>0</v>
      </c>
      <c r="AK38" s="128">
        <f t="shared" ca="1" si="118"/>
        <v>0</v>
      </c>
      <c r="AL38" s="128">
        <f t="shared" ca="1" si="118"/>
        <v>0</v>
      </c>
      <c r="AM38" s="128">
        <f t="shared" ca="1" si="118"/>
        <v>0</v>
      </c>
      <c r="AN38" s="129" t="str">
        <f t="array" ref="AN38">IFERROR(IF(E38="H",INDEX(HybridBonus_Value,MATCH(AN37,HybridBonus_Code,0)),""),"")</f>
        <v/>
      </c>
      <c r="AO38" s="130" t="str">
        <f>IFERROR(SUM(I38:AN38),"")</f>
        <v/>
      </c>
      <c r="AP38" s="132"/>
      <c r="AQ38" s="132"/>
      <c r="AR38" s="131"/>
      <c r="AS38" s="131"/>
      <c r="AT38" s="131"/>
      <c r="AU38" s="131"/>
      <c r="AV38" s="131"/>
      <c r="AW38" s="131"/>
      <c r="AX38" s="131"/>
      <c r="AY38" s="131"/>
      <c r="AZ38" s="131"/>
      <c r="BA38" s="131"/>
      <c r="BB38" s="131"/>
      <c r="BC38" s="131"/>
      <c r="BD38" s="131"/>
      <c r="BE38" s="131"/>
      <c r="BF38" s="131"/>
      <c r="BG38" s="12"/>
      <c r="BH38" s="131"/>
      <c r="BI38" s="5" t="str">
        <f t="shared" ref="BI38:BQ38" si="119">IF($E38="H",IF($F37="Hybrid - Thrust + 2 connections","Hybrid_Mix_Req_Value","HybridDD_Value"),IF($E38=3,"TreDD_Value",IF($E38="PA","AcroPair_Value",IF(LEFT($F37,4)="Acro",CONCATENATE(BI$16,$E38,"_Value"),""))))</f>
        <v/>
      </c>
      <c r="BJ38" s="5" t="str">
        <f t="shared" si="119"/>
        <v/>
      </c>
      <c r="BK38" s="5" t="str">
        <f t="shared" si="119"/>
        <v/>
      </c>
      <c r="BL38" s="5" t="str">
        <f t="shared" si="119"/>
        <v/>
      </c>
      <c r="BM38" s="5" t="str">
        <f t="shared" si="119"/>
        <v/>
      </c>
      <c r="BN38" s="5" t="str">
        <f t="shared" si="119"/>
        <v/>
      </c>
      <c r="BO38" s="5" t="str">
        <f t="shared" si="119"/>
        <v/>
      </c>
      <c r="BP38" s="5" t="str">
        <f t="shared" si="119"/>
        <v/>
      </c>
      <c r="BQ38" s="5" t="str">
        <f t="shared" si="119"/>
        <v/>
      </c>
      <c r="BR38" s="12" t="str">
        <f t="shared" ref="BR38:CL38" si="120">IF($E38="H",IF($F37="Hybrid - Thrust + 2 connections","Data!$BI$1:$BI$5","HybridDD_Value"),"Data!$BI$1:$BI$5")</f>
        <v>Data!$BI$1:$BI$5</v>
      </c>
      <c r="BS38" s="12" t="str">
        <f t="shared" si="120"/>
        <v>Data!$BI$1:$BI$5</v>
      </c>
      <c r="BT38" s="12" t="str">
        <f t="shared" si="120"/>
        <v>Data!$BI$1:$BI$5</v>
      </c>
      <c r="BU38" s="12" t="str">
        <f t="shared" si="120"/>
        <v>Data!$BI$1:$BI$5</v>
      </c>
      <c r="BV38" s="12" t="str">
        <f t="shared" si="120"/>
        <v>Data!$BI$1:$BI$5</v>
      </c>
      <c r="BW38" s="12" t="str">
        <f t="shared" si="120"/>
        <v>Data!$BI$1:$BI$5</v>
      </c>
      <c r="BX38" s="12" t="str">
        <f t="shared" si="120"/>
        <v>Data!$BI$1:$BI$5</v>
      </c>
      <c r="BY38" s="12" t="str">
        <f t="shared" si="120"/>
        <v>Data!$BI$1:$BI$5</v>
      </c>
      <c r="BZ38" s="12" t="str">
        <f t="shared" si="120"/>
        <v>Data!$BI$1:$BI$5</v>
      </c>
      <c r="CA38" s="12" t="str">
        <f t="shared" si="120"/>
        <v>Data!$BI$1:$BI$5</v>
      </c>
      <c r="CB38" s="12" t="str">
        <f t="shared" si="120"/>
        <v>Data!$BI$1:$BI$5</v>
      </c>
      <c r="CC38" s="12" t="str">
        <f t="shared" si="120"/>
        <v>Data!$BI$1:$BI$5</v>
      </c>
      <c r="CD38" s="12" t="str">
        <f t="shared" si="120"/>
        <v>Data!$BI$1:$BI$5</v>
      </c>
      <c r="CE38" s="12" t="str">
        <f t="shared" si="120"/>
        <v>Data!$BI$1:$BI$5</v>
      </c>
      <c r="CF38" s="12" t="str">
        <f t="shared" si="120"/>
        <v>Data!$BI$1:$BI$5</v>
      </c>
      <c r="CG38" s="12" t="str">
        <f t="shared" si="120"/>
        <v>Data!$BI$1:$BI$5</v>
      </c>
      <c r="CH38" s="12" t="str">
        <f t="shared" si="120"/>
        <v>Data!$BI$1:$BI$5</v>
      </c>
      <c r="CI38" s="12" t="str">
        <f t="shared" si="120"/>
        <v>Data!$BI$1:$BI$5</v>
      </c>
      <c r="CJ38" s="12" t="str">
        <f t="shared" si="120"/>
        <v>Data!$BI$1:$BI$5</v>
      </c>
      <c r="CK38" s="12" t="str">
        <f t="shared" si="120"/>
        <v>Data!$BI$1:$BI$5</v>
      </c>
      <c r="CL38" s="12" t="str">
        <f t="shared" si="120"/>
        <v>Data!$BI$1:$BI$5</v>
      </c>
      <c r="CM38" s="131"/>
      <c r="CN38" s="131"/>
      <c r="CO38" s="124" t="str">
        <f>IFERROR(IF(AND($BV$6="T",$BV$8="T",LEFT(F37,4)="Acro",AO38&gt;3),"X",IF($N$7="X",IF(AND(E38="C",AO38&gt;$CN$6),"X",IF(AND(E38="A",AO38&gt;$CN$4),"X",IF(AND(E38="B",AO38&gt;$CN$5),"X",IF(AND(E38="P",AO38&gt;$CN$7),"X","")))),"")),"")</f>
        <v/>
      </c>
      <c r="CP38" s="63"/>
      <c r="CQ38" s="5"/>
      <c r="CR38" s="15"/>
      <c r="CS38" s="5"/>
      <c r="CT38" s="5"/>
      <c r="CU38" s="5"/>
      <c r="CV38" s="5"/>
      <c r="CW38" s="5"/>
      <c r="CX38" s="5"/>
      <c r="CY38" s="5"/>
      <c r="CZ38" s="5"/>
      <c r="DA38" s="15"/>
      <c r="DB38" s="15"/>
      <c r="DC38" s="15"/>
      <c r="DD38" s="15" t="str">
        <f t="shared" si="10"/>
        <v/>
      </c>
      <c r="DE38" s="15" t="str">
        <f t="shared" si="11"/>
        <v/>
      </c>
      <c r="DF38" s="15" t="str">
        <f t="shared" si="12"/>
        <v/>
      </c>
      <c r="DG38" s="15" t="str">
        <f t="shared" si="13"/>
        <v/>
      </c>
      <c r="DH38" s="15"/>
      <c r="DI38" s="15"/>
      <c r="DJ38" s="15"/>
      <c r="DK38" s="15"/>
      <c r="DL38" s="15"/>
      <c r="DM38" s="15"/>
      <c r="DN38" s="15"/>
      <c r="DO38" s="15">
        <v>20</v>
      </c>
      <c r="DP38" s="15"/>
      <c r="DQ38" s="15"/>
      <c r="DR38" s="15"/>
      <c r="DS38" s="15"/>
      <c r="DT38" s="15"/>
      <c r="DU38" s="15"/>
      <c r="DV38" s="15"/>
      <c r="DW38" s="15"/>
      <c r="DX38" s="15"/>
      <c r="DY38" s="15"/>
      <c r="DZ38" s="15"/>
      <c r="EA38" s="15"/>
      <c r="EB38" s="15"/>
      <c r="EC38" s="15"/>
      <c r="ED38" s="15"/>
      <c r="EE38" s="15"/>
      <c r="EF38" s="15" t="str">
        <f t="array" ref="EF38">IFERROR(INDEX(EH38:FK38,MATCH(TRUE,INDEX((EH38:FK38&lt;&gt;""),),0)),"")</f>
        <v/>
      </c>
      <c r="EG38" s="15"/>
      <c r="EH38" s="15" t="str">
        <f t="shared" ref="EH38:FK38" si="121">IF(F37="Hybrid - Thrust + 2 connections",IF(COUNTIF($EH37:$FA37,EH37)&gt;1,EH37,""),IF(COUNTIF($EH37:$FA37,EH37)&gt;5,EH37,""))</f>
        <v/>
      </c>
      <c r="EI38" s="15" t="str">
        <f t="shared" si="121"/>
        <v/>
      </c>
      <c r="EJ38" s="15" t="str">
        <f t="shared" si="121"/>
        <v/>
      </c>
      <c r="EK38" s="15" t="str">
        <f t="shared" si="121"/>
        <v/>
      </c>
      <c r="EL38" s="15" t="str">
        <f t="shared" si="121"/>
        <v/>
      </c>
      <c r="EM38" s="15" t="str">
        <f t="shared" si="121"/>
        <v/>
      </c>
      <c r="EN38" s="15" t="str">
        <f t="shared" si="121"/>
        <v/>
      </c>
      <c r="EO38" s="15" t="str">
        <f t="shared" si="121"/>
        <v/>
      </c>
      <c r="EP38" s="15" t="str">
        <f t="shared" si="121"/>
        <v/>
      </c>
      <c r="EQ38" s="15" t="str">
        <f t="shared" si="121"/>
        <v/>
      </c>
      <c r="ER38" s="15" t="str">
        <f t="shared" si="121"/>
        <v/>
      </c>
      <c r="ES38" s="15" t="str">
        <f t="shared" si="121"/>
        <v/>
      </c>
      <c r="ET38" s="15" t="str">
        <f t="shared" si="121"/>
        <v/>
      </c>
      <c r="EU38" s="15" t="str">
        <f t="shared" si="121"/>
        <v/>
      </c>
      <c r="EV38" s="15" t="str">
        <f t="shared" si="121"/>
        <v/>
      </c>
      <c r="EW38" s="15" t="str">
        <f t="shared" si="121"/>
        <v/>
      </c>
      <c r="EX38" s="15" t="str">
        <f t="shared" si="121"/>
        <v/>
      </c>
      <c r="EY38" s="15" t="str">
        <f t="shared" si="121"/>
        <v/>
      </c>
      <c r="EZ38" s="15" t="str">
        <f t="shared" si="121"/>
        <v/>
      </c>
      <c r="FA38" s="15" t="str">
        <f t="shared" si="121"/>
        <v/>
      </c>
      <c r="FB38" s="15" t="str">
        <f t="shared" si="121"/>
        <v/>
      </c>
      <c r="FC38" s="15" t="str">
        <f t="shared" si="121"/>
        <v/>
      </c>
      <c r="FD38" s="15" t="str">
        <f t="shared" si="121"/>
        <v/>
      </c>
      <c r="FE38" s="15" t="str">
        <f t="shared" si="121"/>
        <v/>
      </c>
      <c r="FF38" s="15" t="str">
        <f t="shared" si="121"/>
        <v/>
      </c>
      <c r="FG38" s="15" t="str">
        <f t="shared" si="121"/>
        <v/>
      </c>
      <c r="FH38" s="15" t="str">
        <f t="shared" si="121"/>
        <v/>
      </c>
      <c r="FI38" s="15" t="str">
        <f t="shared" si="121"/>
        <v/>
      </c>
      <c r="FJ38" s="15" t="str">
        <f t="shared" si="121"/>
        <v/>
      </c>
      <c r="FK38" s="15" t="str">
        <f t="shared" si="121"/>
        <v/>
      </c>
      <c r="FL38" s="15">
        <f>FL36+5</f>
        <v>45</v>
      </c>
      <c r="FM38" s="15" t="str">
        <f ca="1">OFFSET($FM$75,FL38,0)</f>
        <v/>
      </c>
      <c r="FN38" s="15" t="str">
        <f ca="1">OFFSET($FN$75,FL38,0)</f>
        <v/>
      </c>
      <c r="FO38" s="244"/>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6"/>
      <c r="GS38" s="15"/>
      <c r="GT38" s="15"/>
      <c r="GU38" s="15"/>
      <c r="GV38" s="15"/>
      <c r="GW38" s="15"/>
      <c r="GX38" s="15"/>
      <c r="GY38" s="15"/>
      <c r="GZ38" s="15"/>
      <c r="HA38" s="15" t="str">
        <f>IF($F37="Hybrid - Thrust + 2 connections",COUNTBLANK(J37:L37),"")</f>
        <v/>
      </c>
      <c r="HB38" s="15"/>
      <c r="HC38" s="5"/>
      <c r="HD38" s="5"/>
      <c r="HE38" s="5"/>
      <c r="HF38" s="5"/>
    </row>
    <row r="39" spans="1:214" ht="12.75" customHeight="1" x14ac:dyDescent="0.3">
      <c r="A39" s="118" t="str">
        <f>IF(AND(E37="",A37&lt;&gt;""),IF(CP37=$CP$18,"",IF(C37&lt;&gt;"",IF(D37=59,MINUTE(CP37)+1,MINUTE(CP37)),"")),"")</f>
        <v/>
      </c>
      <c r="B39" s="119" t="str">
        <f>IF(AND(E37="",B37&lt;&gt;""),IF(CP37=$CP$18,"",IF(C37&lt;&gt;"",IF(D37=59,0,SECOND(CP37)+1),"")),"")</f>
        <v/>
      </c>
      <c r="C39" s="119"/>
      <c r="D39" s="119"/>
      <c r="E39" s="119"/>
      <c r="F39" s="57"/>
      <c r="G39" s="120" t="str">
        <f>IF(F39&lt;&gt;"",IF(OR(F39="Transition",F39="Transition - Surface Connection"),0,MAX($G$19:G38)+1),"")</f>
        <v/>
      </c>
      <c r="H39" s="223" t="str">
        <f>IFERROR(IF(E40="3","",IF(OR(F39="Hybrid - min 4 swimmers (no DD)",LEFT(F39,5)="Trans"),"No DD",CONCATENATE("BM = ",I40))),"")</f>
        <v/>
      </c>
      <c r="I39" s="224"/>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2"/>
      <c r="AO39" s="123"/>
      <c r="AP39" s="52"/>
      <c r="AQ39" s="52"/>
      <c r="AR39" s="12"/>
      <c r="AS39" s="12"/>
      <c r="AT39" s="12"/>
      <c r="AU39" s="12"/>
      <c r="AV39" s="12"/>
      <c r="AW39" s="12"/>
      <c r="AX39" s="12"/>
      <c r="AY39" s="12"/>
      <c r="AZ39" s="12"/>
      <c r="BA39" s="12"/>
      <c r="BB39" s="12"/>
      <c r="BC39" s="12"/>
      <c r="BD39" s="12"/>
      <c r="BE39" s="12"/>
      <c r="BF39" s="12"/>
      <c r="BG39" s="12" t="str">
        <f t="array" ref="BG39">IFERROR(IF(F39&lt;&gt;"",INDEX(Parts_Active,MATCH(F39,Parts_Active,0)),""),"No")</f>
        <v/>
      </c>
      <c r="BH39" s="12"/>
      <c r="BI39" s="12" t="str">
        <f>IF($E40="H",IF($F39="Hybrid - Thrust + 2 connections","Hybrid_Mix_Req",IF($F39="Hybrid - min 4 swimmers (no DD)","Hybrid_ChoHY","HybridDD_Code")),IF($E40=3,"TreDD_Code",IF($E40="PA","AcroPair_Code",IF(LEFT($F39,4)="Acro",CONCATENATE(BI$16,$E40,"_Code"),"Data!$BI$1:$BI$5"))))</f>
        <v>Data!$BI$1:$BI$5</v>
      </c>
      <c r="BJ39" s="12" t="str">
        <f t="shared" ref="BJ39:BQ39" si="122">IF($E40="H",IF($F39="Hybrid - Thrust + 2 connections","Hybrid_Mix_Req",IF($F39="Hybrid - min 4 swimmers (no DD)","Data!$BI$1:$BI$5","HybridDD_Code")),IF($E40=3,"TreDD_Code",IF($E40="PA","AcroPair_Code",IF(LEFT($F39,4)="Acro",CONCATENATE(BJ$16,$E40,"_Code"),"Data!$BI$1:$BI$5"))))</f>
        <v>Data!$BI$1:$BI$5</v>
      </c>
      <c r="BK39" s="12" t="str">
        <f t="shared" si="122"/>
        <v>Data!$BI$1:$BI$5</v>
      </c>
      <c r="BL39" s="12" t="str">
        <f t="shared" si="122"/>
        <v>Data!$BI$1:$BI$5</v>
      </c>
      <c r="BM39" s="12" t="str">
        <f t="shared" si="122"/>
        <v>Data!$BI$1:$BI$5</v>
      </c>
      <c r="BN39" s="12" t="str">
        <f t="shared" si="122"/>
        <v>Data!$BI$1:$BI$5</v>
      </c>
      <c r="BO39" s="12" t="str">
        <f t="shared" si="122"/>
        <v>Data!$BI$1:$BI$5</v>
      </c>
      <c r="BP39" s="12" t="str">
        <f t="shared" si="122"/>
        <v>Data!$BI$1:$BI$5</v>
      </c>
      <c r="BQ39" s="12" t="str">
        <f t="shared" si="122"/>
        <v>Data!$BI$1:$BI$5</v>
      </c>
      <c r="BR39" s="12" t="str">
        <f>IF($E40="H",IF($F39="Hybrid - Thrust + 2 connections","Data!$BI$1:$BI$5","HybridDD_Code"),"Data!$BI$1:$BI$5")</f>
        <v>Data!$BI$1:$BI$5</v>
      </c>
      <c r="BS39" s="12" t="str">
        <f t="shared" ref="BS39:CL39" si="123">$BR39</f>
        <v>Data!$BI$1:$BI$5</v>
      </c>
      <c r="BT39" s="12" t="str">
        <f t="shared" si="123"/>
        <v>Data!$BI$1:$BI$5</v>
      </c>
      <c r="BU39" s="12" t="str">
        <f t="shared" si="123"/>
        <v>Data!$BI$1:$BI$5</v>
      </c>
      <c r="BV39" s="12" t="str">
        <f t="shared" si="123"/>
        <v>Data!$BI$1:$BI$5</v>
      </c>
      <c r="BW39" s="12" t="str">
        <f t="shared" si="123"/>
        <v>Data!$BI$1:$BI$5</v>
      </c>
      <c r="BX39" s="12" t="str">
        <f t="shared" si="123"/>
        <v>Data!$BI$1:$BI$5</v>
      </c>
      <c r="BY39" s="12" t="str">
        <f t="shared" si="123"/>
        <v>Data!$BI$1:$BI$5</v>
      </c>
      <c r="BZ39" s="12" t="str">
        <f t="shared" si="123"/>
        <v>Data!$BI$1:$BI$5</v>
      </c>
      <c r="CA39" s="12" t="str">
        <f t="shared" si="123"/>
        <v>Data!$BI$1:$BI$5</v>
      </c>
      <c r="CB39" s="12" t="str">
        <f t="shared" si="123"/>
        <v>Data!$BI$1:$BI$5</v>
      </c>
      <c r="CC39" s="12" t="str">
        <f t="shared" si="123"/>
        <v>Data!$BI$1:$BI$5</v>
      </c>
      <c r="CD39" s="12" t="str">
        <f t="shared" si="123"/>
        <v>Data!$BI$1:$BI$5</v>
      </c>
      <c r="CE39" s="12" t="str">
        <f t="shared" si="123"/>
        <v>Data!$BI$1:$BI$5</v>
      </c>
      <c r="CF39" s="12" t="str">
        <f t="shared" si="123"/>
        <v>Data!$BI$1:$BI$5</v>
      </c>
      <c r="CG39" s="12" t="str">
        <f t="shared" si="123"/>
        <v>Data!$BI$1:$BI$5</v>
      </c>
      <c r="CH39" s="12" t="str">
        <f t="shared" si="123"/>
        <v>Data!$BI$1:$BI$5</v>
      </c>
      <c r="CI39" s="12" t="str">
        <f t="shared" si="123"/>
        <v>Data!$BI$1:$BI$5</v>
      </c>
      <c r="CJ39" s="12" t="str">
        <f t="shared" si="123"/>
        <v>Data!$BI$1:$BI$5</v>
      </c>
      <c r="CK39" s="12" t="str">
        <f t="shared" si="123"/>
        <v>Data!$BI$1:$BI$5</v>
      </c>
      <c r="CL39" s="12" t="str">
        <f t="shared" si="123"/>
        <v>Data!$BI$1:$BI$5</v>
      </c>
      <c r="CM39" s="12"/>
      <c r="CN39" s="12"/>
      <c r="CO39" s="63" t="str">
        <f>IFERROR(TIME(0,A39,B39),"")</f>
        <v/>
      </c>
      <c r="CP39" s="63">
        <f>IFERROR(TIME(0,C39,D39),"")</f>
        <v>0</v>
      </c>
      <c r="CQ39" s="63" t="str">
        <f>IF(CP39&gt;$D$12,"X","")</f>
        <v/>
      </c>
      <c r="CR39" s="15" t="str">
        <f>IF(AND(F39="Hybrid - Thrust + 2 connections",OR(LEFT(J39,1)="T",LEFT(K39,1)="T",LEFT(L39,1)="T",LEFT(OY39,1)="T",LEFT(M39,1)="T",LEFT(N39,1)="T",LEFT(O39,1)="T",LEFT(P39,1)="T",LEFT(Q39,1)="T",LEFT(R39,1)="T",LEFT(S39,1)="T",LEFT(T39,1)="T",LEFT(U39,1)="T",LEFT(V39,1)="T",LEFT(W39,1)="T",LEFT(X39,1)="T",LEFT(AK39,1)="T",LEFT(AL39,1)="T",LEFT(AM39,1)="T")),IF(OR(LEN(J39)=2,LEN(K39)=2,LEN(L39)=2,LEN(M39)=2,LEN(N39)=2,LEN(O39)=2,LEN(P39)=2,LEN(Q39)=2,LEN(R39)=2,LEN(S39)=2,LEN(T39)=2,LEN(U39)=2,LEN(V39)=2,LEN(W39)=2,LEN(X39)=2,LEN(Y39)=2,LEN(Z39)=2,LEN(AK39)=2,LEN(AL39)=2,LEN(AM39)=2),"X",""),"")</f>
        <v/>
      </c>
      <c r="CS39" s="5"/>
      <c r="CT39" s="15" t="str">
        <f>IF(LEFT(F39,4)="Acro",IF(AND(N39&lt;&gt;"",M39=RIGHT(N39,2)),"X","OK"),"")</f>
        <v/>
      </c>
      <c r="CU39" s="12" t="str">
        <f t="array" ref="CU39">IFERROR(IF(AND(LEFT($F39,4)="Acro",INDEX(Requ_App,MATCH(BI39,Requ_Code,0))="No"),"X",""),"")</f>
        <v/>
      </c>
      <c r="CV39" s="12" t="str">
        <f t="array" ref="CV39">IFERROR(IF(AND(LEFT($F39,4)="Acro",INDEX(Requ_App,MATCH(BJ39,Requ_Code,0))="No"),"X",""),"")</f>
        <v/>
      </c>
      <c r="CW39" s="12" t="str">
        <f t="array" ref="CW39">IFERROR(IF(AND(LEFT($F39,4)="Acro",INDEX(Requ_App,MATCH(BK39,Requ_Code,0))="No"),"X",""),"")</f>
        <v/>
      </c>
      <c r="CX39" s="12" t="str">
        <f t="array" ref="CX39">IFERROR(IF(AND(LEFT($F39,4)="Acro",INDEX(Requ_App,MATCH(BL39,Requ_Code,0))="No"),"X",""),"")</f>
        <v/>
      </c>
      <c r="CY39" s="12" t="str">
        <f t="array" ref="CY39">IFERROR(IF(AND(LEFT($F39,4)="Acro",INDEX(Requ_App,MATCH(BM39,Requ_Code,0))="No"),"X",""),"")</f>
        <v/>
      </c>
      <c r="CZ39" s="12" t="str">
        <f t="array" ref="CZ39">IFERROR(IF(AND(LEFT($F39,4)="Acro",INDEX(Requ_App,MATCH(BN39,Requ_Code,0))="No"),"X",""),"")</f>
        <v/>
      </c>
      <c r="DA39" s="12" t="str">
        <f t="array" ref="DA39">IFERROR(IF(AND(LEFT($F39,4)="Acro",INDEX(Requ_App,MATCH(BO39,Requ_Code,0))="No"),"X",""),"")</f>
        <v/>
      </c>
      <c r="DB39" s="12" t="str">
        <f t="array" ref="DB39">IFERROR(IF(AND(LEFT($F39,4)="Acro",INDEX(Requ_App,MATCH(BP39,Requ_Code,0))="No"),"X",""),"")</f>
        <v/>
      </c>
      <c r="DC39" s="12" t="str">
        <f t="array" ref="DC39">IFERROR(IF(AND(LEFT($F39,4)="Acro",INDEX(Requ_App,MATCH(BP39,Requ_Code,0))="No"),"X",""),"")</f>
        <v/>
      </c>
      <c r="DD39" s="15" t="str">
        <f t="shared" si="10"/>
        <v/>
      </c>
      <c r="DE39" s="15" t="str">
        <f t="shared" si="11"/>
        <v/>
      </c>
      <c r="DF39" s="15" t="str">
        <f t="shared" si="12"/>
        <v/>
      </c>
      <c r="DG39" s="15" t="str">
        <f t="shared" si="13"/>
        <v/>
      </c>
      <c r="DH39" s="15"/>
      <c r="DI39" s="15"/>
      <c r="DJ39" s="15"/>
      <c r="DK39" s="15">
        <f>IF(AND(E40="A",OR(Q39="Grip",Q39="Conn",Q39="Catch")),"A1",IF(AND(E40="A",OR(Q39="Hula",Q39="RetSq",Q39="RetPa")),"A2",IF(AND(E40="B",OR(Q39="Twirl",Q39="RotF")),"B1",IF(AND(E40="B",OR(Q39="Moon",Q39="Mov")),"B2",IF(AND(E40="B",Q39="Hold"),"B3",IF(AND(E40="P",OR(Q39="Porp",Q39="Spitch")),"P1",IF(AND(E40="P",OR(Q39="Dive",Q39="Ps1",Q39="Ps1t0.5",Q39="Ps1op",Q39="Ps1t0,5o",Q39="Ps1t1",Q39="CH+")),"P2",IF(AND(E40="P",OR(Q39="Spider",Q39="Climb")),"P3",IF(AND(E40="P",OR(Q39="Fall",Q39="FTurn")),"P4",IF(AND(E40="C",OR(Q39="Jump",Q39="Jump&gt;",Q39="On1Foot",Q39="1F&gt;1F")),"C1",IF(AND(E40="C",OR(Q39="Run",Q39="BRun")),"C2",1)))))))))))</f>
        <v>1</v>
      </c>
      <c r="DL39" s="15">
        <f>IF(AND(E40="A",OR(R39="Grip",R39="Conn",R39="Catch")),"A1",IF(AND(E40="A",OR(R39="Hula",R39="RetSq",R39="RetPa")),"A2",IF(AND(E40="B",OR(R39="Twirl",R39="RotF")),"B1",IF(AND(E40="B",OR(R39="Moon",R39="Mov")),"B3",IF(AND(E40="B",R39="Hold"),"B2",IF(AND(E40="P",OR(R39="Porp",R39="Spitch")),"P1",IF(AND(E40="P",OR(R39="Dive",R39="Ps1",R39="Ps1t0.5",R39="Ps1op",R39="Ps1t0,5o",R39="Ps1t1",R39="CH+")),"P2",IF(AND(E40="P",OR(R39="Spider",R39="Climb")),"P3",IF(AND(E40="P",OR(R39="Fall",R39="FTurn")),"P4",IF(AND(E40="C",OR(R39="Jump",R39="Jump&gt;",R39="On1Foot",R39="1F&gt;1F")),"C1",IF(AND(E40="C",OR(R39="Run",R39="BRun")),"C2",2)))))))))))</f>
        <v>2</v>
      </c>
      <c r="DM39" s="15" t="str">
        <f>IF(AND(LEFT(F39,4)="Acro",Q39&lt;&gt;"",OR(Q39=R39,DK39=DL39)),IF(R39="C-Roll","","X"),IF(OR(AND(E40="A",Q39="Catch",R39&lt;&gt;"Dbl"),AND(E40="A",R39="Catch",Q39&lt;&gt;"Dbl")),"X",""))</f>
        <v/>
      </c>
      <c r="DN39" s="15" t="str">
        <f>IF(E40="PA",J39,"")</f>
        <v/>
      </c>
      <c r="DO39" s="15">
        <v>21</v>
      </c>
      <c r="DP39" s="15"/>
      <c r="DQ39" s="15" t="str">
        <f t="shared" ref="DQ39:DR39" si="124">IF(AND($E40="A",COUNTIF($DZ$19:$EA$68,DZ39)&gt;1),DZ39,"")</f>
        <v/>
      </c>
      <c r="DR39" s="15" t="str">
        <f t="shared" si="124"/>
        <v/>
      </c>
      <c r="DS39" s="15" t="str">
        <f ca="1">IF(AND($E40="B",COUNTIF($J$19:$J$68,J39)&gt;1),J39,"")</f>
        <v/>
      </c>
      <c r="DT39" s="15" t="str">
        <f ca="1">IF(AND($E40="B",COUNTIF($K$19:$K$68,K39)&gt;1),K39,"")</f>
        <v/>
      </c>
      <c r="DU39" s="15" t="str">
        <f ca="1">IF(AND($E40="C",COUNTIF($J$19:$J$68,J39)&gt;1),J39,"")</f>
        <v/>
      </c>
      <c r="DV39" s="15" t="str">
        <f ca="1">IF(AND($E40="P",COUNTIF($J$19:$J$68,J39)&gt;1),J39,"")</f>
        <v/>
      </c>
      <c r="DW39" s="15" t="str">
        <f ca="1">IF(AND($E40="P",COUNTIF($K$19:$K$68,K39)&gt;1),K39,"")</f>
        <v/>
      </c>
      <c r="DX39" s="15" t="str">
        <f t="shared" ref="DX39:DY39" si="125">IF(AND($E40="P",COUNTIF($DZ$19:$EA$68,DZ39)&gt;1),DZ39,"")</f>
        <v/>
      </c>
      <c r="DY39" s="15" t="str">
        <f t="shared" si="125"/>
        <v/>
      </c>
      <c r="DZ39" s="15" t="str">
        <f>IFERROR(IF(OR(E40="A",E40="P"),M39,""),"")</f>
        <v/>
      </c>
      <c r="EA39" s="15" t="str">
        <f>IFERROR(IF(OR(E40="A",E40="P"),RIGHT(N39,2),""),"")</f>
        <v/>
      </c>
      <c r="EB39" s="15"/>
      <c r="EC39" s="15" t="str">
        <f>IF(AND($F$8="Open Team Acrobatic",LEFT(F39,4)="Acro"),E40,"")</f>
        <v/>
      </c>
      <c r="ED39" s="15" t="str">
        <f>IFERROR(IF(HLOOKUP(EC39,$DQ$12:$DT$13,2,FALSE)&gt;2,"X",""),"")</f>
        <v/>
      </c>
      <c r="EE39" s="15"/>
      <c r="EF39" s="15" t="str">
        <f>IF(OR(AND(F39="Hybrid - Thrust + 2 connections",EF40="T"),AND(E40="H",EF40&lt;&gt;"")),"X","")</f>
        <v/>
      </c>
      <c r="EG39" s="15"/>
      <c r="EH39" s="15">
        <f t="shared" ref="EH39:EX39" si="126">IFERROR(IF(AND($E40="H",J39&lt;&gt;""),IF(OR(LEFT(J39,1)="T",LEFT(J39,1)="S",LEFT(J39,1)="A",LEFT(J39,1)="F",LEFT(J39,1)="C"),LEFT(J39,1),"R"),EH$18),"")</f>
        <v>1</v>
      </c>
      <c r="EI39" s="15">
        <f t="shared" si="126"/>
        <v>2</v>
      </c>
      <c r="EJ39" s="15">
        <f t="shared" si="126"/>
        <v>3</v>
      </c>
      <c r="EK39" s="15">
        <f t="shared" si="126"/>
        <v>4</v>
      </c>
      <c r="EL39" s="15">
        <f t="shared" si="126"/>
        <v>5</v>
      </c>
      <c r="EM39" s="15">
        <f t="shared" si="126"/>
        <v>6</v>
      </c>
      <c r="EN39" s="15">
        <f t="shared" si="126"/>
        <v>7</v>
      </c>
      <c r="EO39" s="15">
        <f t="shared" si="126"/>
        <v>8</v>
      </c>
      <c r="EP39" s="15">
        <f t="shared" si="126"/>
        <v>9</v>
      </c>
      <c r="EQ39" s="15">
        <f t="shared" si="126"/>
        <v>10</v>
      </c>
      <c r="ER39" s="15">
        <f t="shared" si="126"/>
        <v>11</v>
      </c>
      <c r="ES39" s="15">
        <f t="shared" si="126"/>
        <v>12</v>
      </c>
      <c r="ET39" s="15">
        <f t="shared" si="126"/>
        <v>13</v>
      </c>
      <c r="EU39" s="15">
        <f t="shared" si="126"/>
        <v>14</v>
      </c>
      <c r="EV39" s="15">
        <f t="shared" si="126"/>
        <v>15</v>
      </c>
      <c r="EW39" s="15">
        <f t="shared" si="126"/>
        <v>16</v>
      </c>
      <c r="EX39" s="15">
        <f t="shared" si="126"/>
        <v>17</v>
      </c>
      <c r="EY39" s="15">
        <f t="shared" ref="EY39:FK39" si="127">IFERROR(IF(AND($E40="H",AK39&lt;&gt;""),IF(OR(LEFT(AK39,1)="T",LEFT(AK39,1)="S",LEFT(AK39,1)="A",LEFT(AK39,1)="F",LEFT(AK39,1)="C"),LEFT(AK39,1),"R"),EY$18),"")</f>
        <v>18</v>
      </c>
      <c r="EZ39" s="15">
        <f t="shared" si="127"/>
        <v>19</v>
      </c>
      <c r="FA39" s="15">
        <f t="shared" si="127"/>
        <v>20</v>
      </c>
      <c r="FB39" s="15">
        <f t="shared" si="127"/>
        <v>21</v>
      </c>
      <c r="FC39" s="15">
        <f t="shared" si="127"/>
        <v>22</v>
      </c>
      <c r="FD39" s="15">
        <f t="shared" si="127"/>
        <v>23</v>
      </c>
      <c r="FE39" s="15">
        <f t="shared" si="127"/>
        <v>24</v>
      </c>
      <c r="FF39" s="15">
        <f t="shared" si="127"/>
        <v>25</v>
      </c>
      <c r="FG39" s="15">
        <f t="shared" si="127"/>
        <v>26</v>
      </c>
      <c r="FH39" s="15">
        <f t="shared" si="127"/>
        <v>27</v>
      </c>
      <c r="FI39" s="15">
        <f t="shared" si="127"/>
        <v>28</v>
      </c>
      <c r="FJ39" s="15">
        <f t="shared" si="127"/>
        <v>29</v>
      </c>
      <c r="FK39" s="15">
        <f t="shared" si="127"/>
        <v>30</v>
      </c>
      <c r="FL39" s="15"/>
      <c r="FM39" s="15"/>
      <c r="FN39" s="15"/>
      <c r="FO39" s="244"/>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6"/>
      <c r="GS39" s="15"/>
      <c r="GT39" s="15">
        <f t="shared" ref="GT39:GY39" si="128">COUNTIF($EH39:$FK39,GT$18)</f>
        <v>0</v>
      </c>
      <c r="GU39" s="15">
        <f t="shared" si="128"/>
        <v>0</v>
      </c>
      <c r="GV39" s="15">
        <f t="shared" si="128"/>
        <v>0</v>
      </c>
      <c r="GW39" s="15">
        <f t="shared" si="128"/>
        <v>0</v>
      </c>
      <c r="GX39" s="15">
        <f t="shared" si="128"/>
        <v>0</v>
      </c>
      <c r="GY39" s="15">
        <f t="shared" si="128"/>
        <v>0</v>
      </c>
      <c r="GZ39" s="15"/>
      <c r="HA39" s="15" t="str">
        <f>IF(AND($F39="Hybrid - Thrust + 2 connections",HA40=0,LEFT($J39,1)="C",LEFT($K39,1)="C",LEFT($L39,1)="C"),"X","")</f>
        <v/>
      </c>
      <c r="HB39" s="15"/>
      <c r="HC39" s="5"/>
      <c r="HD39" s="124"/>
      <c r="HE39" s="124"/>
      <c r="HF39" s="5" t="str">
        <f>IF(E40=3,_xludf.NUMBERVALUE(LEFT(J39,1)),"")</f>
        <v/>
      </c>
    </row>
    <row r="40" spans="1:214" ht="12.75" customHeight="1" x14ac:dyDescent="0.3">
      <c r="A40" s="118"/>
      <c r="B40" s="119"/>
      <c r="C40" s="119"/>
      <c r="D40" s="119"/>
      <c r="E40" s="50" t="str">
        <f>IF(F39="Acrobatic - Pair","PA",IF(F39="Acrobatic Airborn","A",IF(F39="Acrobatic Balance","B",IF(F39="Acrobatic Combined","C",IF(F39="Acrobatic Platform","P",IF(F39="Technical Required Element",3,IF(LEFT(F39,4)="Hybr","H","")))))))</f>
        <v/>
      </c>
      <c r="F40" s="50" t="str">
        <f>IF(AND(F39="Hybrid - Thrust + 2 connections",CR39="X"),"Hybrid - Thrust",IF(OR(E40="A",E40="B",E40="C",E40="P"),"Acrobatic",""))</f>
        <v/>
      </c>
      <c r="G40" s="120"/>
      <c r="H40" s="126" t="str">
        <f>IF(E40="PA",IF(OR(LEFT(J39,1)="L",LEFT(J39,1)="S"),"A-Pair-Lift",IF(OR(LEFT(J39,1)="W",LEFT(J39,1)="T"),"A-Pair-Throw",IF(LEFT(J39,1)="J","A-Pair-Jump","A-Pair"))),IF(OR(E40="A",E40="B",E40="C",E40="P"),CONCATENATE("Acro-",E40),""))</f>
        <v/>
      </c>
      <c r="I40" s="127" t="e">
        <f t="array" ref="I40">IF(OR(F39="Hybrid - min 4 swimmers (no DD)",LEFT(F39,5)="Trans"),0,INDEX($BY$3:$BY$9,MATCH(E40,$BX$3:$BX$9,0)))</f>
        <v>#N/A</v>
      </c>
      <c r="J40" s="128">
        <f t="array" aca="1" ref="J40" ca="1">IFERROR(IF($H39="No DD",IF(J39="ChoHY",1,0),IF(OR(ISBLANK(J39),J39="N/A"),0,INDEX(INDIRECT(BI40),MATCH(J39,INDIRECT(BI39),0)))),0)</f>
        <v>0</v>
      </c>
      <c r="K40" s="128">
        <f t="shared" ref="K40:AM40" ca="1" si="129">IFERROR(IF($H39="No DD",0,IF(OR(ISBLANK(K39),K39="N/A"),0,INDEX(INDIRECT(BJ40),MATCH(K39,INDIRECT(BJ39),0)))),0)</f>
        <v>0</v>
      </c>
      <c r="L40" s="128">
        <f t="shared" ca="1" si="129"/>
        <v>0</v>
      </c>
      <c r="M40" s="128">
        <f t="shared" ca="1" si="129"/>
        <v>0</v>
      </c>
      <c r="N40" s="128">
        <f t="shared" ca="1" si="129"/>
        <v>0</v>
      </c>
      <c r="O40" s="128">
        <f t="shared" ca="1" si="129"/>
        <v>0</v>
      </c>
      <c r="P40" s="128">
        <f t="shared" ca="1" si="129"/>
        <v>0</v>
      </c>
      <c r="Q40" s="128">
        <f t="shared" ca="1" si="129"/>
        <v>0</v>
      </c>
      <c r="R40" s="128">
        <f t="shared" ca="1" si="129"/>
        <v>0</v>
      </c>
      <c r="S40" s="128">
        <f t="shared" ca="1" si="129"/>
        <v>0</v>
      </c>
      <c r="T40" s="128">
        <f t="shared" ca="1" si="129"/>
        <v>0</v>
      </c>
      <c r="U40" s="128">
        <f t="shared" ca="1" si="129"/>
        <v>0</v>
      </c>
      <c r="V40" s="128">
        <f t="shared" ca="1" si="129"/>
        <v>0</v>
      </c>
      <c r="W40" s="128">
        <f t="shared" ca="1" si="129"/>
        <v>0</v>
      </c>
      <c r="X40" s="128">
        <f t="shared" ca="1" si="129"/>
        <v>0</v>
      </c>
      <c r="Y40" s="128">
        <f t="shared" ca="1" si="129"/>
        <v>0</v>
      </c>
      <c r="Z40" s="128">
        <f t="shared" ca="1" si="129"/>
        <v>0</v>
      </c>
      <c r="AA40" s="128">
        <f t="shared" ca="1" si="129"/>
        <v>0</v>
      </c>
      <c r="AB40" s="128">
        <f t="shared" ca="1" si="129"/>
        <v>0</v>
      </c>
      <c r="AC40" s="128">
        <f t="shared" ca="1" si="129"/>
        <v>0</v>
      </c>
      <c r="AD40" s="128">
        <f t="shared" ca="1" si="129"/>
        <v>0</v>
      </c>
      <c r="AE40" s="128">
        <f t="shared" ca="1" si="129"/>
        <v>0</v>
      </c>
      <c r="AF40" s="128">
        <f t="shared" ca="1" si="129"/>
        <v>0</v>
      </c>
      <c r="AG40" s="128">
        <f t="shared" ca="1" si="129"/>
        <v>0</v>
      </c>
      <c r="AH40" s="128">
        <f t="shared" ca="1" si="129"/>
        <v>0</v>
      </c>
      <c r="AI40" s="128">
        <f t="shared" ca="1" si="129"/>
        <v>0</v>
      </c>
      <c r="AJ40" s="128">
        <f t="shared" ca="1" si="129"/>
        <v>0</v>
      </c>
      <c r="AK40" s="128">
        <f t="shared" ca="1" si="129"/>
        <v>0</v>
      </c>
      <c r="AL40" s="128">
        <f t="shared" ca="1" si="129"/>
        <v>0</v>
      </c>
      <c r="AM40" s="128">
        <f t="shared" ca="1" si="129"/>
        <v>0</v>
      </c>
      <c r="AN40" s="129" t="str">
        <f t="array" ref="AN40">IFERROR(IF(E40="H",INDEX(HybridBonus_Value,MATCH(AN39,HybridBonus_Code,0)),""),"")</f>
        <v/>
      </c>
      <c r="AO40" s="130" t="str">
        <f>IFERROR(SUM(I40:AN40),"")</f>
        <v/>
      </c>
      <c r="AP40" s="132"/>
      <c r="AQ40" s="132"/>
      <c r="AR40" s="131"/>
      <c r="AS40" s="131"/>
      <c r="AT40" s="131"/>
      <c r="AU40" s="131"/>
      <c r="AV40" s="131"/>
      <c r="AW40" s="131"/>
      <c r="AX40" s="131"/>
      <c r="AY40" s="131"/>
      <c r="AZ40" s="131"/>
      <c r="BA40" s="131"/>
      <c r="BB40" s="131"/>
      <c r="BC40" s="131"/>
      <c r="BD40" s="131"/>
      <c r="BE40" s="131"/>
      <c r="BF40" s="131"/>
      <c r="BG40" s="12"/>
      <c r="BH40" s="131"/>
      <c r="BI40" s="5" t="str">
        <f t="shared" ref="BI40:BQ40" si="130">IF($E40="H",IF($F39="Hybrid - Thrust + 2 connections","Hybrid_Mix_Req_Value","HybridDD_Value"),IF($E40=3,"TreDD_Value",IF($E40="PA","AcroPair_Value",IF(LEFT($F39,4)="Acro",CONCATENATE(BI$16,$E40,"_Value"),""))))</f>
        <v/>
      </c>
      <c r="BJ40" s="5" t="str">
        <f t="shared" si="130"/>
        <v/>
      </c>
      <c r="BK40" s="5" t="str">
        <f t="shared" si="130"/>
        <v/>
      </c>
      <c r="BL40" s="5" t="str">
        <f t="shared" si="130"/>
        <v/>
      </c>
      <c r="BM40" s="5" t="str">
        <f t="shared" si="130"/>
        <v/>
      </c>
      <c r="BN40" s="5" t="str">
        <f t="shared" si="130"/>
        <v/>
      </c>
      <c r="BO40" s="5" t="str">
        <f t="shared" si="130"/>
        <v/>
      </c>
      <c r="BP40" s="5" t="str">
        <f t="shared" si="130"/>
        <v/>
      </c>
      <c r="BQ40" s="5" t="str">
        <f t="shared" si="130"/>
        <v/>
      </c>
      <c r="BR40" s="12" t="str">
        <f t="shared" ref="BR40:CL40" si="131">IF($E40="H",IF($F39="Hybrid - Thrust + 2 connections","Data!$BI$1:$BI$5","HybridDD_Value"),"Data!$BI$1:$BI$5")</f>
        <v>Data!$BI$1:$BI$5</v>
      </c>
      <c r="BS40" s="12" t="str">
        <f t="shared" si="131"/>
        <v>Data!$BI$1:$BI$5</v>
      </c>
      <c r="BT40" s="12" t="str">
        <f t="shared" si="131"/>
        <v>Data!$BI$1:$BI$5</v>
      </c>
      <c r="BU40" s="12" t="str">
        <f t="shared" si="131"/>
        <v>Data!$BI$1:$BI$5</v>
      </c>
      <c r="BV40" s="12" t="str">
        <f t="shared" si="131"/>
        <v>Data!$BI$1:$BI$5</v>
      </c>
      <c r="BW40" s="12" t="str">
        <f t="shared" si="131"/>
        <v>Data!$BI$1:$BI$5</v>
      </c>
      <c r="BX40" s="12" t="str">
        <f t="shared" si="131"/>
        <v>Data!$BI$1:$BI$5</v>
      </c>
      <c r="BY40" s="12" t="str">
        <f t="shared" si="131"/>
        <v>Data!$BI$1:$BI$5</v>
      </c>
      <c r="BZ40" s="12" t="str">
        <f t="shared" si="131"/>
        <v>Data!$BI$1:$BI$5</v>
      </c>
      <c r="CA40" s="12" t="str">
        <f t="shared" si="131"/>
        <v>Data!$BI$1:$BI$5</v>
      </c>
      <c r="CB40" s="12" t="str">
        <f t="shared" si="131"/>
        <v>Data!$BI$1:$BI$5</v>
      </c>
      <c r="CC40" s="12" t="str">
        <f t="shared" si="131"/>
        <v>Data!$BI$1:$BI$5</v>
      </c>
      <c r="CD40" s="12" t="str">
        <f t="shared" si="131"/>
        <v>Data!$BI$1:$BI$5</v>
      </c>
      <c r="CE40" s="12" t="str">
        <f t="shared" si="131"/>
        <v>Data!$BI$1:$BI$5</v>
      </c>
      <c r="CF40" s="12" t="str">
        <f t="shared" si="131"/>
        <v>Data!$BI$1:$BI$5</v>
      </c>
      <c r="CG40" s="12" t="str">
        <f t="shared" si="131"/>
        <v>Data!$BI$1:$BI$5</v>
      </c>
      <c r="CH40" s="12" t="str">
        <f t="shared" si="131"/>
        <v>Data!$BI$1:$BI$5</v>
      </c>
      <c r="CI40" s="12" t="str">
        <f t="shared" si="131"/>
        <v>Data!$BI$1:$BI$5</v>
      </c>
      <c r="CJ40" s="12" t="str">
        <f t="shared" si="131"/>
        <v>Data!$BI$1:$BI$5</v>
      </c>
      <c r="CK40" s="12" t="str">
        <f t="shared" si="131"/>
        <v>Data!$BI$1:$BI$5</v>
      </c>
      <c r="CL40" s="12" t="str">
        <f t="shared" si="131"/>
        <v>Data!$BI$1:$BI$5</v>
      </c>
      <c r="CM40" s="131"/>
      <c r="CN40" s="131"/>
      <c r="CO40" s="124" t="str">
        <f>IFERROR(IF(AND($BV$6="T",$BV$8="T",LEFT(F39,4)="Acro",AO40&gt;3),"X",IF($N$7="X",IF(AND(E40="C",AO40&gt;$CN$6),"X",IF(AND(E40="A",AO40&gt;$CN$4),"X",IF(AND(E40="B",AO40&gt;$CN$5),"X",IF(AND(E40="P",AO40&gt;$CN$7),"X","")))),"")),"")</f>
        <v/>
      </c>
      <c r="CP40" s="63"/>
      <c r="CQ40" s="5"/>
      <c r="CR40" s="15"/>
      <c r="CS40" s="5"/>
      <c r="CT40" s="5"/>
      <c r="CU40" s="5"/>
      <c r="CV40" s="5"/>
      <c r="CW40" s="5"/>
      <c r="CX40" s="5"/>
      <c r="CY40" s="5"/>
      <c r="CZ40" s="5"/>
      <c r="DA40" s="15"/>
      <c r="DB40" s="15"/>
      <c r="DC40" s="15"/>
      <c r="DD40" s="15" t="str">
        <f t="shared" si="10"/>
        <v/>
      </c>
      <c r="DE40" s="15" t="str">
        <f t="shared" si="11"/>
        <v/>
      </c>
      <c r="DF40" s="15" t="str">
        <f t="shared" si="12"/>
        <v/>
      </c>
      <c r="DG40" s="15" t="str">
        <f t="shared" si="13"/>
        <v/>
      </c>
      <c r="DH40" s="15"/>
      <c r="DI40" s="15"/>
      <c r="DJ40" s="15"/>
      <c r="DK40" s="15"/>
      <c r="DL40" s="15"/>
      <c r="DM40" s="15"/>
      <c r="DN40" s="15"/>
      <c r="DO40" s="15">
        <v>22</v>
      </c>
      <c r="DP40" s="15"/>
      <c r="DQ40" s="15"/>
      <c r="DR40" s="15"/>
      <c r="DS40" s="15"/>
      <c r="DT40" s="15"/>
      <c r="DU40" s="15"/>
      <c r="DV40" s="15"/>
      <c r="DW40" s="15"/>
      <c r="DX40" s="15"/>
      <c r="DY40" s="15"/>
      <c r="DZ40" s="15"/>
      <c r="EA40" s="15"/>
      <c r="EB40" s="15"/>
      <c r="EC40" s="15"/>
      <c r="ED40" s="15"/>
      <c r="EE40" s="15"/>
      <c r="EF40" s="15" t="str">
        <f t="array" ref="EF40">IFERROR(INDEX(EH40:FK40,MATCH(TRUE,INDEX((EH40:FK40&lt;&gt;""),),0)),"")</f>
        <v/>
      </c>
      <c r="EG40" s="15"/>
      <c r="EH40" s="15" t="str">
        <f t="shared" ref="EH40:FK40" si="132">IF(F39="Hybrid - Thrust + 2 connections",IF(COUNTIF($EH39:$FA39,EH39)&gt;1,EH39,""),IF(COUNTIF($EH39:$FA39,EH39)&gt;5,EH39,""))</f>
        <v/>
      </c>
      <c r="EI40" s="15" t="str">
        <f t="shared" si="132"/>
        <v/>
      </c>
      <c r="EJ40" s="15" t="str">
        <f t="shared" si="132"/>
        <v/>
      </c>
      <c r="EK40" s="15" t="str">
        <f t="shared" si="132"/>
        <v/>
      </c>
      <c r="EL40" s="15" t="str">
        <f t="shared" si="132"/>
        <v/>
      </c>
      <c r="EM40" s="15" t="str">
        <f t="shared" si="132"/>
        <v/>
      </c>
      <c r="EN40" s="15" t="str">
        <f t="shared" si="132"/>
        <v/>
      </c>
      <c r="EO40" s="15" t="str">
        <f t="shared" si="132"/>
        <v/>
      </c>
      <c r="EP40" s="15" t="str">
        <f t="shared" si="132"/>
        <v/>
      </c>
      <c r="EQ40" s="15" t="str">
        <f t="shared" si="132"/>
        <v/>
      </c>
      <c r="ER40" s="15" t="str">
        <f t="shared" si="132"/>
        <v/>
      </c>
      <c r="ES40" s="15" t="str">
        <f t="shared" si="132"/>
        <v/>
      </c>
      <c r="ET40" s="15" t="str">
        <f t="shared" si="132"/>
        <v/>
      </c>
      <c r="EU40" s="15" t="str">
        <f t="shared" si="132"/>
        <v/>
      </c>
      <c r="EV40" s="15" t="str">
        <f t="shared" si="132"/>
        <v/>
      </c>
      <c r="EW40" s="15" t="str">
        <f t="shared" si="132"/>
        <v/>
      </c>
      <c r="EX40" s="15" t="str">
        <f t="shared" si="132"/>
        <v/>
      </c>
      <c r="EY40" s="15" t="str">
        <f t="shared" si="132"/>
        <v/>
      </c>
      <c r="EZ40" s="15" t="str">
        <f t="shared" si="132"/>
        <v/>
      </c>
      <c r="FA40" s="15" t="str">
        <f t="shared" si="132"/>
        <v/>
      </c>
      <c r="FB40" s="15" t="str">
        <f t="shared" si="132"/>
        <v/>
      </c>
      <c r="FC40" s="15" t="str">
        <f t="shared" si="132"/>
        <v/>
      </c>
      <c r="FD40" s="15" t="str">
        <f t="shared" si="132"/>
        <v/>
      </c>
      <c r="FE40" s="15" t="str">
        <f t="shared" si="132"/>
        <v/>
      </c>
      <c r="FF40" s="15" t="str">
        <f t="shared" si="132"/>
        <v/>
      </c>
      <c r="FG40" s="15" t="str">
        <f t="shared" si="132"/>
        <v/>
      </c>
      <c r="FH40" s="15" t="str">
        <f t="shared" si="132"/>
        <v/>
      </c>
      <c r="FI40" s="15" t="str">
        <f t="shared" si="132"/>
        <v/>
      </c>
      <c r="FJ40" s="15" t="str">
        <f t="shared" si="132"/>
        <v/>
      </c>
      <c r="FK40" s="15" t="str">
        <f t="shared" si="132"/>
        <v/>
      </c>
      <c r="FL40" s="15">
        <f>FL38+5</f>
        <v>50</v>
      </c>
      <c r="FM40" s="15" t="str">
        <f ca="1">OFFSET($FM$75,FL40,0)</f>
        <v/>
      </c>
      <c r="FN40" s="15" t="str">
        <f ca="1">OFFSET($FN$75,FL40,0)</f>
        <v/>
      </c>
      <c r="FO40" s="244"/>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6"/>
      <c r="GS40" s="15"/>
      <c r="GT40" s="15"/>
      <c r="GU40" s="15"/>
      <c r="GV40" s="15"/>
      <c r="GW40" s="15"/>
      <c r="GX40" s="15"/>
      <c r="GY40" s="15"/>
      <c r="GZ40" s="15"/>
      <c r="HA40" s="15" t="str">
        <f>IF($F39="Hybrid - Thrust + 2 connections",COUNTBLANK(J39:L39),"")</f>
        <v/>
      </c>
      <c r="HB40" s="15"/>
      <c r="HC40" s="5"/>
      <c r="HD40" s="5"/>
      <c r="HE40" s="5"/>
      <c r="HF40" s="5"/>
    </row>
    <row r="41" spans="1:214" ht="12.75" customHeight="1" x14ac:dyDescent="0.3">
      <c r="A41" s="118" t="str">
        <f>IF(AND(E39="",A39&lt;&gt;""),IF(CP39=$CP$18,"",IF(C39&lt;&gt;"",IF(D39=59,MINUTE(CP39)+1,MINUTE(CP39)),"")),"")</f>
        <v/>
      </c>
      <c r="B41" s="119" t="str">
        <f>IF(AND(E39="",B39&lt;&gt;""),IF(CP39=$CP$18,"",IF(C39&lt;&gt;"",IF(D39=59,0,SECOND(CP39)+1),"")),"")</f>
        <v/>
      </c>
      <c r="C41" s="119"/>
      <c r="D41" s="119"/>
      <c r="E41" s="119"/>
      <c r="F41" s="57"/>
      <c r="G41" s="120" t="str">
        <f>IF(F41&lt;&gt;"",IF(OR(F41="Transition",F41="Transition - Surface Connection"),0,MAX($G$19:G40)+1),"")</f>
        <v/>
      </c>
      <c r="H41" s="223" t="str">
        <f>IFERROR(IF(E42="3","",IF(OR(F41="Hybrid - min 4 swimmers (no DD)",LEFT(F41,5)="Trans"),"No DD",CONCATENATE("BM = ",I42))),"")</f>
        <v/>
      </c>
      <c r="I41" s="224"/>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2"/>
      <c r="AO41" s="123"/>
      <c r="AP41" s="52"/>
      <c r="AQ41" s="52"/>
      <c r="AR41" s="12"/>
      <c r="AS41" s="12"/>
      <c r="AT41" s="12"/>
      <c r="AU41" s="12"/>
      <c r="AV41" s="12"/>
      <c r="AW41" s="12"/>
      <c r="AX41" s="12"/>
      <c r="AY41" s="12"/>
      <c r="AZ41" s="12"/>
      <c r="BA41" s="12"/>
      <c r="BB41" s="12"/>
      <c r="BC41" s="12"/>
      <c r="BD41" s="12"/>
      <c r="BE41" s="12"/>
      <c r="BF41" s="12"/>
      <c r="BG41" s="12" t="str">
        <f t="array" ref="BG41">IFERROR(IF(F41&lt;&gt;"",INDEX(Parts_Active,MATCH(F41,Parts_Active,0)),""),"No")</f>
        <v/>
      </c>
      <c r="BH41" s="12"/>
      <c r="BI41" s="12" t="str">
        <f>IF($E42="H",IF($F41="Hybrid - Thrust + 2 connections","Hybrid_Mix_Req",IF($F41="Hybrid - min 4 swimmers (no DD)","Hybrid_ChoHY","HybridDD_Code")),IF($E42=3,"TreDD_Code",IF($E42="PA","AcroPair_Code",IF(LEFT($F41,4)="Acro",CONCATENATE(BI$16,$E42,"_Code"),"Data!$BI$1:$BI$5"))))</f>
        <v>Data!$BI$1:$BI$5</v>
      </c>
      <c r="BJ41" s="12" t="str">
        <f t="shared" ref="BJ41:BQ41" si="133">IF($E42="H",IF($F41="Hybrid - Thrust + 2 connections","Hybrid_Mix_Req",IF($F41="Hybrid - min 4 swimmers (no DD)","Data!$BI$1:$BI$5","HybridDD_Code")),IF($E42=3,"TreDD_Code",IF($E42="PA","AcroPair_Code",IF(LEFT($F41,4)="Acro",CONCATENATE(BJ$16,$E42,"_Code"),"Data!$BI$1:$BI$5"))))</f>
        <v>Data!$BI$1:$BI$5</v>
      </c>
      <c r="BK41" s="12" t="str">
        <f t="shared" si="133"/>
        <v>Data!$BI$1:$BI$5</v>
      </c>
      <c r="BL41" s="12" t="str">
        <f t="shared" si="133"/>
        <v>Data!$BI$1:$BI$5</v>
      </c>
      <c r="BM41" s="12" t="str">
        <f t="shared" si="133"/>
        <v>Data!$BI$1:$BI$5</v>
      </c>
      <c r="BN41" s="12" t="str">
        <f t="shared" si="133"/>
        <v>Data!$BI$1:$BI$5</v>
      </c>
      <c r="BO41" s="12" t="str">
        <f t="shared" si="133"/>
        <v>Data!$BI$1:$BI$5</v>
      </c>
      <c r="BP41" s="12" t="str">
        <f t="shared" si="133"/>
        <v>Data!$BI$1:$BI$5</v>
      </c>
      <c r="BQ41" s="12" t="str">
        <f t="shared" si="133"/>
        <v>Data!$BI$1:$BI$5</v>
      </c>
      <c r="BR41" s="12" t="str">
        <f>IF($E42="H",IF($F41="Hybrid - Thrust + 2 connections","Data!$BI$1:$BI$5","HybridDD_Code"),"Data!$BI$1:$BI$5")</f>
        <v>Data!$BI$1:$BI$5</v>
      </c>
      <c r="BS41" s="12" t="str">
        <f t="shared" ref="BS41:CL41" si="134">$BR41</f>
        <v>Data!$BI$1:$BI$5</v>
      </c>
      <c r="BT41" s="12" t="str">
        <f t="shared" si="134"/>
        <v>Data!$BI$1:$BI$5</v>
      </c>
      <c r="BU41" s="12" t="str">
        <f t="shared" si="134"/>
        <v>Data!$BI$1:$BI$5</v>
      </c>
      <c r="BV41" s="12" t="str">
        <f t="shared" si="134"/>
        <v>Data!$BI$1:$BI$5</v>
      </c>
      <c r="BW41" s="12" t="str">
        <f t="shared" si="134"/>
        <v>Data!$BI$1:$BI$5</v>
      </c>
      <c r="BX41" s="12" t="str">
        <f t="shared" si="134"/>
        <v>Data!$BI$1:$BI$5</v>
      </c>
      <c r="BY41" s="12" t="str">
        <f t="shared" si="134"/>
        <v>Data!$BI$1:$BI$5</v>
      </c>
      <c r="BZ41" s="12" t="str">
        <f t="shared" si="134"/>
        <v>Data!$BI$1:$BI$5</v>
      </c>
      <c r="CA41" s="12" t="str">
        <f t="shared" si="134"/>
        <v>Data!$BI$1:$BI$5</v>
      </c>
      <c r="CB41" s="12" t="str">
        <f t="shared" si="134"/>
        <v>Data!$BI$1:$BI$5</v>
      </c>
      <c r="CC41" s="12" t="str">
        <f t="shared" si="134"/>
        <v>Data!$BI$1:$BI$5</v>
      </c>
      <c r="CD41" s="12" t="str">
        <f t="shared" si="134"/>
        <v>Data!$BI$1:$BI$5</v>
      </c>
      <c r="CE41" s="12" t="str">
        <f t="shared" si="134"/>
        <v>Data!$BI$1:$BI$5</v>
      </c>
      <c r="CF41" s="12" t="str">
        <f t="shared" si="134"/>
        <v>Data!$BI$1:$BI$5</v>
      </c>
      <c r="CG41" s="12" t="str">
        <f t="shared" si="134"/>
        <v>Data!$BI$1:$BI$5</v>
      </c>
      <c r="CH41" s="12" t="str">
        <f t="shared" si="134"/>
        <v>Data!$BI$1:$BI$5</v>
      </c>
      <c r="CI41" s="12" t="str">
        <f t="shared" si="134"/>
        <v>Data!$BI$1:$BI$5</v>
      </c>
      <c r="CJ41" s="12" t="str">
        <f t="shared" si="134"/>
        <v>Data!$BI$1:$BI$5</v>
      </c>
      <c r="CK41" s="12" t="str">
        <f t="shared" si="134"/>
        <v>Data!$BI$1:$BI$5</v>
      </c>
      <c r="CL41" s="12" t="str">
        <f t="shared" si="134"/>
        <v>Data!$BI$1:$BI$5</v>
      </c>
      <c r="CM41" s="12"/>
      <c r="CN41" s="12"/>
      <c r="CO41" s="63" t="str">
        <f>IFERROR(TIME(0,A41,B41),"")</f>
        <v/>
      </c>
      <c r="CP41" s="63">
        <f>IFERROR(TIME(0,C41,D41),"")</f>
        <v>0</v>
      </c>
      <c r="CQ41" s="63" t="str">
        <f>IF(CP41&gt;$D$12,"X","")</f>
        <v/>
      </c>
      <c r="CR41" s="15" t="str">
        <f>IF(AND(F41="Hybrid - Thrust + 2 connections",OR(LEFT(J41,1)="T",LEFT(K41,1)="T",LEFT(L41,1)="T",LEFT(OY41,1)="T",LEFT(M41,1)="T",LEFT(N41,1)="T",LEFT(O41,1)="T",LEFT(P41,1)="T",LEFT(Q41,1)="T",LEFT(R41,1)="T",LEFT(S41,1)="T",LEFT(T41,1)="T",LEFT(U41,1)="T",LEFT(V41,1)="T",LEFT(W41,1)="T",LEFT(X41,1)="T",LEFT(AK41,1)="T",LEFT(AL41,1)="T",LEFT(AM41,1)="T")),IF(OR(LEN(J41)=2,LEN(K41)=2,LEN(L41)=2,LEN(M41)=2,LEN(N41)=2,LEN(O41)=2,LEN(P41)=2,LEN(Q41)=2,LEN(R41)=2,LEN(S41)=2,LEN(T41)=2,LEN(U41)=2,LEN(V41)=2,LEN(W41)=2,LEN(X41)=2,LEN(Y41)=2,LEN(Z41)=2,LEN(AK41)=2,LEN(AL41)=2,LEN(AM41)=2),"X",""),"")</f>
        <v/>
      </c>
      <c r="CS41" s="5"/>
      <c r="CT41" s="15" t="str">
        <f>IF(LEFT(F41,4)="Acro",IF(AND(N41&lt;&gt;"",M41=RIGHT(N41,2)),"X","OK"),"")</f>
        <v/>
      </c>
      <c r="CU41" s="12" t="str">
        <f t="array" ref="CU41">IFERROR(IF(AND(LEFT($F41,4)="Acro",INDEX(Requ_App,MATCH(BI41,Requ_Code,0))="No"),"X",""),"")</f>
        <v/>
      </c>
      <c r="CV41" s="12" t="str">
        <f t="array" ref="CV41">IFERROR(IF(AND(LEFT($F41,4)="Acro",INDEX(Requ_App,MATCH(BJ41,Requ_Code,0))="No"),"X",""),"")</f>
        <v/>
      </c>
      <c r="CW41" s="12" t="str">
        <f t="array" ref="CW41">IFERROR(IF(AND(LEFT($F41,4)="Acro",INDEX(Requ_App,MATCH(BK41,Requ_Code,0))="No"),"X",""),"")</f>
        <v/>
      </c>
      <c r="CX41" s="12" t="str">
        <f t="array" ref="CX41">IFERROR(IF(AND(LEFT($F41,4)="Acro",INDEX(Requ_App,MATCH(BL41,Requ_Code,0))="No"),"X",""),"")</f>
        <v/>
      </c>
      <c r="CY41" s="12" t="str">
        <f t="array" ref="CY41">IFERROR(IF(AND(LEFT($F41,4)="Acro",INDEX(Requ_App,MATCH(BM41,Requ_Code,0))="No"),"X",""),"")</f>
        <v/>
      </c>
      <c r="CZ41" s="12" t="str">
        <f t="array" ref="CZ41">IFERROR(IF(AND(LEFT($F41,4)="Acro",INDEX(Requ_App,MATCH(BN41,Requ_Code,0))="No"),"X",""),"")</f>
        <v/>
      </c>
      <c r="DA41" s="12" t="str">
        <f t="array" ref="DA41">IFERROR(IF(AND(LEFT($F41,4)="Acro",INDEX(Requ_App,MATCH(BO41,Requ_Code,0))="No"),"X",""),"")</f>
        <v/>
      </c>
      <c r="DB41" s="12" t="str">
        <f t="array" ref="DB41">IFERROR(IF(AND(LEFT($F41,4)="Acro",INDEX(Requ_App,MATCH(BP41,Requ_Code,0))="No"),"X",""),"")</f>
        <v/>
      </c>
      <c r="DC41" s="12" t="str">
        <f t="array" ref="DC41">IFERROR(IF(AND(LEFT($F41,4)="Acro",INDEX(Requ_App,MATCH(BP41,Requ_Code,0))="No"),"X",""),"")</f>
        <v/>
      </c>
      <c r="DD41" s="15" t="str">
        <f t="shared" si="10"/>
        <v/>
      </c>
      <c r="DE41" s="15" t="str">
        <f t="shared" si="11"/>
        <v/>
      </c>
      <c r="DF41" s="15" t="str">
        <f t="shared" si="12"/>
        <v/>
      </c>
      <c r="DG41" s="15" t="str">
        <f t="shared" si="13"/>
        <v/>
      </c>
      <c r="DH41" s="15"/>
      <c r="DI41" s="15"/>
      <c r="DJ41" s="15"/>
      <c r="DK41" s="15">
        <f>IF(AND(E42="A",OR(Q41="Grip",Q41="Conn",Q41="Catch")),"A1",IF(AND(E42="A",OR(Q41="Hula",Q41="RetSq",Q41="RetPa")),"A2",IF(AND(E42="B",OR(Q41="Twirl",Q41="RotF")),"B1",IF(AND(E42="B",OR(Q41="Moon",Q41="Mov")),"B2",IF(AND(E42="B",Q41="Hold"),"B3",IF(AND(E42="P",OR(Q41="Porp",Q41="Spitch")),"P1",IF(AND(E42="P",OR(Q41="Dive",Q41="Ps1",Q41="Ps1t0.5",Q41="Ps1op",Q41="Ps1t0,5o",Q41="Ps1t1",Q41="CH+")),"P2",IF(AND(E42="P",OR(Q41="Spider",Q41="Climb")),"P3",IF(AND(E42="P",OR(Q41="Fall",Q41="FTurn")),"P4",IF(AND(E42="C",OR(Q41="Jump",Q41="Jump&gt;",Q41="On1Foot",Q41="1F&gt;1F")),"C1",IF(AND(E42="C",OR(Q41="Run",Q41="BRun")),"C2",1)))))))))))</f>
        <v>1</v>
      </c>
      <c r="DL41" s="15">
        <f>IF(AND(E42="A",OR(R41="Grip",R41="Conn",R41="Catch")),"A1",IF(AND(E42="A",OR(R41="Hula",R41="RetSq",R41="RetPa")),"A2",IF(AND(E42="B",OR(R41="Twirl",R41="RotF")),"B1",IF(AND(E42="B",OR(R41="Moon",R41="Mov")),"B3",IF(AND(E42="B",R41="Hold"),"B2",IF(AND(E42="P",OR(R41="Porp",R41="Spitch")),"P1",IF(AND(E42="P",OR(R41="Dive",R41="Ps1",R41="Ps1t0.5",R41="Ps1op",R41="Ps1t0,5o",R41="Ps1t1",R41="CH+")),"P2",IF(AND(E42="P",OR(R41="Spider",R41="Climb")),"P3",IF(AND(E42="P",OR(R41="Fall",R41="FTurn")),"P4",IF(AND(E42="C",OR(R41="Jump",R41="Jump&gt;",R41="On1Foot",R41="1F&gt;1F")),"C1",IF(AND(E42="C",OR(R41="Run",R41="BRun")),"C2",2)))))))))))</f>
        <v>2</v>
      </c>
      <c r="DM41" s="15" t="str">
        <f>IF(AND(LEFT(F41,4)="Acro",Q41&lt;&gt;"",OR(Q41=R41,DK41=DL41)),IF(R41="C-Roll","","X"),IF(OR(AND(E42="A",Q41="Catch",R41&lt;&gt;"Dbl"),AND(E42="A",R41="Catch",Q41&lt;&gt;"Dbl")),"X",""))</f>
        <v/>
      </c>
      <c r="DN41" s="15" t="str">
        <f>IF(E42="PA",J41,"")</f>
        <v/>
      </c>
      <c r="DO41" s="15">
        <v>23</v>
      </c>
      <c r="DP41" s="15"/>
      <c r="DQ41" s="15" t="str">
        <f t="shared" ref="DQ41:DR41" si="135">IF(AND($E42="A",COUNTIF($DZ$19:$EA$68,DZ41)&gt;1),DZ41,"")</f>
        <v/>
      </c>
      <c r="DR41" s="15" t="str">
        <f t="shared" si="135"/>
        <v/>
      </c>
      <c r="DS41" s="15" t="str">
        <f ca="1">IF(AND($E42="B",COUNTIF($J$19:$J$68,J41)&gt;1),J41,"")</f>
        <v/>
      </c>
      <c r="DT41" s="15" t="str">
        <f ca="1">IF(AND($E42="B",COUNTIF($K$19:$K$68,K41)&gt;1),K41,"")</f>
        <v/>
      </c>
      <c r="DU41" s="15" t="str">
        <f ca="1">IF(AND($E42="C",COUNTIF($J$19:$J$68,J41)&gt;1),J41,"")</f>
        <v/>
      </c>
      <c r="DV41" s="15" t="str">
        <f ca="1">IF(AND($E42="P",COUNTIF($J$19:$J$68,J41)&gt;1),J41,"")</f>
        <v/>
      </c>
      <c r="DW41" s="15" t="str">
        <f ca="1">IF(AND($E42="P",COUNTIF($K$19:$K$68,K41)&gt;1),K41,"")</f>
        <v/>
      </c>
      <c r="DX41" s="15" t="str">
        <f t="shared" ref="DX41:DY41" si="136">IF(AND($E42="P",COUNTIF($DZ$19:$EA$68,DZ41)&gt;1),DZ41,"")</f>
        <v/>
      </c>
      <c r="DY41" s="15" t="str">
        <f t="shared" si="136"/>
        <v/>
      </c>
      <c r="DZ41" s="15" t="str">
        <f>IFERROR(IF(OR(E42="A",E42="P"),M41,""),"")</f>
        <v/>
      </c>
      <c r="EA41" s="15" t="str">
        <f>IFERROR(IF(OR(E42="A",E42="P"),RIGHT(N41,2),""),"")</f>
        <v/>
      </c>
      <c r="EB41" s="15"/>
      <c r="EC41" s="15" t="str">
        <f>IF(AND($F$8="Open Team Acrobatic",LEFT(F41,4)="Acro"),E42,"")</f>
        <v/>
      </c>
      <c r="ED41" s="15" t="str">
        <f>IFERROR(IF(HLOOKUP(EC41,$DQ$12:$DT$13,2,FALSE)&gt;2,"X",""),"")</f>
        <v/>
      </c>
      <c r="EE41" s="15"/>
      <c r="EF41" s="15" t="str">
        <f>IF(OR(AND(F41="Hybrid - Thrust + 2 connections",EF42="T"),AND(E42="H",EF42&lt;&gt;"")),"X","")</f>
        <v/>
      </c>
      <c r="EG41" s="15"/>
      <c r="EH41" s="15">
        <f t="shared" ref="EH41:EX41" si="137">IFERROR(IF(AND($E42="H",J41&lt;&gt;""),IF(OR(LEFT(J41,1)="T",LEFT(J41,1)="S",LEFT(J41,1)="A",LEFT(J41,1)="F",LEFT(J41,1)="C"),LEFT(J41,1),"R"),EH$18),"")</f>
        <v>1</v>
      </c>
      <c r="EI41" s="15">
        <f t="shared" si="137"/>
        <v>2</v>
      </c>
      <c r="EJ41" s="15">
        <f t="shared" si="137"/>
        <v>3</v>
      </c>
      <c r="EK41" s="15">
        <f t="shared" si="137"/>
        <v>4</v>
      </c>
      <c r="EL41" s="15">
        <f t="shared" si="137"/>
        <v>5</v>
      </c>
      <c r="EM41" s="15">
        <f t="shared" si="137"/>
        <v>6</v>
      </c>
      <c r="EN41" s="15">
        <f t="shared" si="137"/>
        <v>7</v>
      </c>
      <c r="EO41" s="15">
        <f t="shared" si="137"/>
        <v>8</v>
      </c>
      <c r="EP41" s="15">
        <f t="shared" si="137"/>
        <v>9</v>
      </c>
      <c r="EQ41" s="15">
        <f t="shared" si="137"/>
        <v>10</v>
      </c>
      <c r="ER41" s="15">
        <f t="shared" si="137"/>
        <v>11</v>
      </c>
      <c r="ES41" s="15">
        <f t="shared" si="137"/>
        <v>12</v>
      </c>
      <c r="ET41" s="15">
        <f t="shared" si="137"/>
        <v>13</v>
      </c>
      <c r="EU41" s="15">
        <f t="shared" si="137"/>
        <v>14</v>
      </c>
      <c r="EV41" s="15">
        <f t="shared" si="137"/>
        <v>15</v>
      </c>
      <c r="EW41" s="15">
        <f t="shared" si="137"/>
        <v>16</v>
      </c>
      <c r="EX41" s="15">
        <f t="shared" si="137"/>
        <v>17</v>
      </c>
      <c r="EY41" s="15">
        <f t="shared" ref="EY41:FK41" si="138">IFERROR(IF(AND($E42="H",AK41&lt;&gt;""),IF(OR(LEFT(AK41,1)="T",LEFT(AK41,1)="S",LEFT(AK41,1)="A",LEFT(AK41,1)="F",LEFT(AK41,1)="C"),LEFT(AK41,1),"R"),EY$18),"")</f>
        <v>18</v>
      </c>
      <c r="EZ41" s="15">
        <f t="shared" si="138"/>
        <v>19</v>
      </c>
      <c r="FA41" s="15">
        <f t="shared" si="138"/>
        <v>20</v>
      </c>
      <c r="FB41" s="15">
        <f t="shared" si="138"/>
        <v>21</v>
      </c>
      <c r="FC41" s="15">
        <f t="shared" si="138"/>
        <v>22</v>
      </c>
      <c r="FD41" s="15">
        <f t="shared" si="138"/>
        <v>23</v>
      </c>
      <c r="FE41" s="15">
        <f t="shared" si="138"/>
        <v>24</v>
      </c>
      <c r="FF41" s="15">
        <f t="shared" si="138"/>
        <v>25</v>
      </c>
      <c r="FG41" s="15">
        <f t="shared" si="138"/>
        <v>26</v>
      </c>
      <c r="FH41" s="15">
        <f t="shared" si="138"/>
        <v>27</v>
      </c>
      <c r="FI41" s="15">
        <f t="shared" si="138"/>
        <v>28</v>
      </c>
      <c r="FJ41" s="15">
        <f t="shared" si="138"/>
        <v>29</v>
      </c>
      <c r="FK41" s="15">
        <f t="shared" si="138"/>
        <v>30</v>
      </c>
      <c r="FL41" s="15"/>
      <c r="FM41" s="15"/>
      <c r="FN41" s="15"/>
      <c r="FO41" s="244"/>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6"/>
      <c r="GS41" s="15"/>
      <c r="GT41" s="15">
        <f t="shared" ref="GT41:GY41" si="139">COUNTIF($EH41:$FK41,GT$18)</f>
        <v>0</v>
      </c>
      <c r="GU41" s="15">
        <f t="shared" si="139"/>
        <v>0</v>
      </c>
      <c r="GV41" s="15">
        <f t="shared" si="139"/>
        <v>0</v>
      </c>
      <c r="GW41" s="15">
        <f t="shared" si="139"/>
        <v>0</v>
      </c>
      <c r="GX41" s="15">
        <f t="shared" si="139"/>
        <v>0</v>
      </c>
      <c r="GY41" s="15">
        <f t="shared" si="139"/>
        <v>0</v>
      </c>
      <c r="GZ41" s="15"/>
      <c r="HA41" s="15" t="str">
        <f>IF(AND($F41="Hybrid - Thrust + 2 connections",HA42=0,LEFT($J41,1)="C",LEFT($K41,1)="C",LEFT($L41,1)="C"),"X","")</f>
        <v/>
      </c>
      <c r="HB41" s="15"/>
      <c r="HC41" s="5"/>
      <c r="HD41" s="124"/>
      <c r="HE41" s="124"/>
      <c r="HF41" s="5" t="str">
        <f>IF(E42=3,_xludf.NUMBERVALUE(LEFT(J41,1)),"")</f>
        <v/>
      </c>
    </row>
    <row r="42" spans="1:214" ht="12.75" customHeight="1" x14ac:dyDescent="0.3">
      <c r="A42" s="118"/>
      <c r="B42" s="119"/>
      <c r="C42" s="119"/>
      <c r="D42" s="119"/>
      <c r="E42" s="50" t="str">
        <f>IF(F41="Acrobatic - Pair","PA",IF(F41="Acrobatic Airborn","A",IF(F41="Acrobatic Balance","B",IF(F41="Acrobatic Combined","C",IF(F41="Acrobatic Platform","P",IF(F41="Technical Required Element",3,IF(LEFT(F41,4)="Hybr","H","")))))))</f>
        <v/>
      </c>
      <c r="F42" s="50" t="str">
        <f>IF(AND(F41="Hybrid - Thrust + 2 connections",CR41="X"),"Hybrid - Thrust",IF(OR(E42="A",E42="B",E42="C",E42="P"),"Acrobatic",""))</f>
        <v/>
      </c>
      <c r="G42" s="120"/>
      <c r="H42" s="126" t="str">
        <f>IF(E42="PA",IF(OR(LEFT(J41,1)="L",LEFT(J41,1)="S"),"A-Pair-Lift",IF(OR(LEFT(J41,1)="W",LEFT(J41,1)="T"),"A-Pair-Throw",IF(LEFT(J41,1)="J","A-Pair-Jump","A-Pair"))),IF(OR(E42="A",E42="B",E42="C",E42="P"),CONCATENATE("Acro-",E42),""))</f>
        <v/>
      </c>
      <c r="I42" s="127" t="e">
        <f t="array" ref="I42">IF(OR(F41="Hybrid - min 4 swimmers (no DD)",LEFT(F41,5)="Trans"),0,INDEX($BY$3:$BY$9,MATCH(E42,$BX$3:$BX$9,0)))</f>
        <v>#N/A</v>
      </c>
      <c r="J42" s="128">
        <f t="array" aca="1" ref="J42" ca="1">IFERROR(IF($H41="No DD",IF(J41="ChoHY",1,0),IF(OR(ISBLANK(J41),J41="N/A"),0,INDEX(INDIRECT(BI42),MATCH(J41,INDIRECT(BI41),0)))),0)</f>
        <v>0</v>
      </c>
      <c r="K42" s="128">
        <f t="shared" ref="K42:AM42" ca="1" si="140">IFERROR(IF($H41="No DD",0,IF(OR(ISBLANK(K41),K41="N/A"),0,INDEX(INDIRECT(BJ42),MATCH(K41,INDIRECT(BJ41),0)))),0)</f>
        <v>0</v>
      </c>
      <c r="L42" s="128">
        <f t="shared" ca="1" si="140"/>
        <v>0</v>
      </c>
      <c r="M42" s="128">
        <f t="shared" ca="1" si="140"/>
        <v>0</v>
      </c>
      <c r="N42" s="128">
        <f t="shared" ca="1" si="140"/>
        <v>0</v>
      </c>
      <c r="O42" s="128">
        <f t="shared" ca="1" si="140"/>
        <v>0</v>
      </c>
      <c r="P42" s="128">
        <f t="shared" ca="1" si="140"/>
        <v>0</v>
      </c>
      <c r="Q42" s="128">
        <f t="shared" ca="1" si="140"/>
        <v>0</v>
      </c>
      <c r="R42" s="128">
        <f t="shared" ca="1" si="140"/>
        <v>0</v>
      </c>
      <c r="S42" s="128">
        <f t="shared" ca="1" si="140"/>
        <v>0</v>
      </c>
      <c r="T42" s="128">
        <f t="shared" ca="1" si="140"/>
        <v>0</v>
      </c>
      <c r="U42" s="128">
        <f t="shared" ca="1" si="140"/>
        <v>0</v>
      </c>
      <c r="V42" s="128">
        <f t="shared" ca="1" si="140"/>
        <v>0</v>
      </c>
      <c r="W42" s="128">
        <f t="shared" ca="1" si="140"/>
        <v>0</v>
      </c>
      <c r="X42" s="128">
        <f t="shared" ca="1" si="140"/>
        <v>0</v>
      </c>
      <c r="Y42" s="128">
        <f t="shared" ca="1" si="140"/>
        <v>0</v>
      </c>
      <c r="Z42" s="128">
        <f t="shared" ca="1" si="140"/>
        <v>0</v>
      </c>
      <c r="AA42" s="128">
        <f t="shared" ca="1" si="140"/>
        <v>0</v>
      </c>
      <c r="AB42" s="128">
        <f t="shared" ca="1" si="140"/>
        <v>0</v>
      </c>
      <c r="AC42" s="128">
        <f t="shared" ca="1" si="140"/>
        <v>0</v>
      </c>
      <c r="AD42" s="128">
        <f t="shared" ca="1" si="140"/>
        <v>0</v>
      </c>
      <c r="AE42" s="128">
        <f t="shared" ca="1" si="140"/>
        <v>0</v>
      </c>
      <c r="AF42" s="128">
        <f t="shared" ca="1" si="140"/>
        <v>0</v>
      </c>
      <c r="AG42" s="128">
        <f t="shared" ca="1" si="140"/>
        <v>0</v>
      </c>
      <c r="AH42" s="128">
        <f t="shared" ca="1" si="140"/>
        <v>0</v>
      </c>
      <c r="AI42" s="128">
        <f t="shared" ca="1" si="140"/>
        <v>0</v>
      </c>
      <c r="AJ42" s="128">
        <f t="shared" ca="1" si="140"/>
        <v>0</v>
      </c>
      <c r="AK42" s="128">
        <f t="shared" ca="1" si="140"/>
        <v>0</v>
      </c>
      <c r="AL42" s="128">
        <f t="shared" ca="1" si="140"/>
        <v>0</v>
      </c>
      <c r="AM42" s="128">
        <f t="shared" ca="1" si="140"/>
        <v>0</v>
      </c>
      <c r="AN42" s="129" t="str">
        <f t="array" ref="AN42">IFERROR(IF(E42="H",INDEX(HybridBonus_Value,MATCH(AN41,HybridBonus_Code,0)),""),"")</f>
        <v/>
      </c>
      <c r="AO42" s="130" t="str">
        <f>IFERROR(SUM(I42:AN42),"")</f>
        <v/>
      </c>
      <c r="AP42" s="132"/>
      <c r="AQ42" s="132"/>
      <c r="AR42" s="131"/>
      <c r="AS42" s="131"/>
      <c r="AT42" s="131"/>
      <c r="AU42" s="131"/>
      <c r="AV42" s="131"/>
      <c r="AW42" s="131"/>
      <c r="AX42" s="131"/>
      <c r="AY42" s="131"/>
      <c r="AZ42" s="131"/>
      <c r="BA42" s="131"/>
      <c r="BB42" s="131"/>
      <c r="BC42" s="131"/>
      <c r="BD42" s="131"/>
      <c r="BE42" s="131"/>
      <c r="BF42" s="131"/>
      <c r="BG42" s="12"/>
      <c r="BH42" s="131"/>
      <c r="BI42" s="5" t="str">
        <f t="shared" ref="BI42:BQ42" si="141">IF($E42="H",IF($F41="Hybrid - Thrust + 2 connections","Hybrid_Mix_Req_Value","HybridDD_Value"),IF($E42=3,"TreDD_Value",IF($E42="PA","AcroPair_Value",IF(LEFT($F41,4)="Acro",CONCATENATE(BI$16,$E42,"_Value"),""))))</f>
        <v/>
      </c>
      <c r="BJ42" s="5" t="str">
        <f t="shared" si="141"/>
        <v/>
      </c>
      <c r="BK42" s="5" t="str">
        <f t="shared" si="141"/>
        <v/>
      </c>
      <c r="BL42" s="5" t="str">
        <f t="shared" si="141"/>
        <v/>
      </c>
      <c r="BM42" s="5" t="str">
        <f t="shared" si="141"/>
        <v/>
      </c>
      <c r="BN42" s="5" t="str">
        <f t="shared" si="141"/>
        <v/>
      </c>
      <c r="BO42" s="5" t="str">
        <f t="shared" si="141"/>
        <v/>
      </c>
      <c r="BP42" s="5" t="str">
        <f t="shared" si="141"/>
        <v/>
      </c>
      <c r="BQ42" s="5" t="str">
        <f t="shared" si="141"/>
        <v/>
      </c>
      <c r="BR42" s="12" t="str">
        <f t="shared" ref="BR42:CL42" si="142">IF($E42="H",IF($F41="Hybrid - Thrust + 2 connections","Data!$BI$1:$BI$5","HybridDD_Value"),"Data!$BI$1:$BI$5")</f>
        <v>Data!$BI$1:$BI$5</v>
      </c>
      <c r="BS42" s="12" t="str">
        <f t="shared" si="142"/>
        <v>Data!$BI$1:$BI$5</v>
      </c>
      <c r="BT42" s="12" t="str">
        <f t="shared" si="142"/>
        <v>Data!$BI$1:$BI$5</v>
      </c>
      <c r="BU42" s="12" t="str">
        <f t="shared" si="142"/>
        <v>Data!$BI$1:$BI$5</v>
      </c>
      <c r="BV42" s="12" t="str">
        <f t="shared" si="142"/>
        <v>Data!$BI$1:$BI$5</v>
      </c>
      <c r="BW42" s="12" t="str">
        <f t="shared" si="142"/>
        <v>Data!$BI$1:$BI$5</v>
      </c>
      <c r="BX42" s="12" t="str">
        <f t="shared" si="142"/>
        <v>Data!$BI$1:$BI$5</v>
      </c>
      <c r="BY42" s="12" t="str">
        <f t="shared" si="142"/>
        <v>Data!$BI$1:$BI$5</v>
      </c>
      <c r="BZ42" s="12" t="str">
        <f t="shared" si="142"/>
        <v>Data!$BI$1:$BI$5</v>
      </c>
      <c r="CA42" s="12" t="str">
        <f t="shared" si="142"/>
        <v>Data!$BI$1:$BI$5</v>
      </c>
      <c r="CB42" s="12" t="str">
        <f t="shared" si="142"/>
        <v>Data!$BI$1:$BI$5</v>
      </c>
      <c r="CC42" s="12" t="str">
        <f t="shared" si="142"/>
        <v>Data!$BI$1:$BI$5</v>
      </c>
      <c r="CD42" s="12" t="str">
        <f t="shared" si="142"/>
        <v>Data!$BI$1:$BI$5</v>
      </c>
      <c r="CE42" s="12" t="str">
        <f t="shared" si="142"/>
        <v>Data!$BI$1:$BI$5</v>
      </c>
      <c r="CF42" s="12" t="str">
        <f t="shared" si="142"/>
        <v>Data!$BI$1:$BI$5</v>
      </c>
      <c r="CG42" s="12" t="str">
        <f t="shared" si="142"/>
        <v>Data!$BI$1:$BI$5</v>
      </c>
      <c r="CH42" s="12" t="str">
        <f t="shared" si="142"/>
        <v>Data!$BI$1:$BI$5</v>
      </c>
      <c r="CI42" s="12" t="str">
        <f t="shared" si="142"/>
        <v>Data!$BI$1:$BI$5</v>
      </c>
      <c r="CJ42" s="12" t="str">
        <f t="shared" si="142"/>
        <v>Data!$BI$1:$BI$5</v>
      </c>
      <c r="CK42" s="12" t="str">
        <f t="shared" si="142"/>
        <v>Data!$BI$1:$BI$5</v>
      </c>
      <c r="CL42" s="12" t="str">
        <f t="shared" si="142"/>
        <v>Data!$BI$1:$BI$5</v>
      </c>
      <c r="CM42" s="131"/>
      <c r="CN42" s="131"/>
      <c r="CO42" s="124" t="str">
        <f>IFERROR(IF(AND($BV$6="T",$BV$8="T",LEFT(F41,4)="Acro",AO42&gt;3),"X",IF($N$7="X",IF(AND(E42="C",AO42&gt;$CN$6),"X",IF(AND(E42="A",AO42&gt;$CN$4),"X",IF(AND(E42="B",AO42&gt;$CN$5),"X",IF(AND(E42="P",AO42&gt;$CN$7),"X","")))),"")),"")</f>
        <v/>
      </c>
      <c r="CP42" s="63"/>
      <c r="CQ42" s="5"/>
      <c r="CR42" s="15"/>
      <c r="CS42" s="5"/>
      <c r="CT42" s="5"/>
      <c r="CU42" s="5"/>
      <c r="CV42" s="5"/>
      <c r="CW42" s="5"/>
      <c r="CX42" s="5"/>
      <c r="CY42" s="5"/>
      <c r="CZ42" s="5"/>
      <c r="DA42" s="15"/>
      <c r="DB42" s="15"/>
      <c r="DC42" s="15"/>
      <c r="DD42" s="15" t="str">
        <f t="shared" si="10"/>
        <v/>
      </c>
      <c r="DE42" s="15" t="str">
        <f t="shared" si="11"/>
        <v/>
      </c>
      <c r="DF42" s="15" t="str">
        <f t="shared" si="12"/>
        <v/>
      </c>
      <c r="DG42" s="15" t="str">
        <f t="shared" si="13"/>
        <v/>
      </c>
      <c r="DH42" s="15"/>
      <c r="DI42" s="15"/>
      <c r="DJ42" s="15"/>
      <c r="DK42" s="15"/>
      <c r="DL42" s="15"/>
      <c r="DM42" s="15"/>
      <c r="DN42" s="15"/>
      <c r="DO42" s="15">
        <v>24</v>
      </c>
      <c r="DP42" s="15"/>
      <c r="DQ42" s="15"/>
      <c r="DR42" s="15"/>
      <c r="DS42" s="15"/>
      <c r="DT42" s="15"/>
      <c r="DU42" s="15"/>
      <c r="DV42" s="15"/>
      <c r="DW42" s="15"/>
      <c r="DX42" s="15"/>
      <c r="DY42" s="15"/>
      <c r="DZ42" s="15"/>
      <c r="EA42" s="15"/>
      <c r="EB42" s="15"/>
      <c r="EC42" s="15"/>
      <c r="ED42" s="15"/>
      <c r="EE42" s="15"/>
      <c r="EF42" s="15" t="str">
        <f t="array" ref="EF42">IFERROR(INDEX(EH42:FK42,MATCH(TRUE,INDEX((EH42:FK42&lt;&gt;""),),0)),"")</f>
        <v/>
      </c>
      <c r="EG42" s="15"/>
      <c r="EH42" s="15" t="str">
        <f t="shared" ref="EH42:FK42" si="143">IF(F41="Hybrid - Thrust + 2 connections",IF(COUNTIF($EH41:$FA41,EH41)&gt;1,EH41,""),IF(COUNTIF($EH41:$FA41,EH41)&gt;5,EH41,""))</f>
        <v/>
      </c>
      <c r="EI42" s="15" t="str">
        <f t="shared" si="143"/>
        <v/>
      </c>
      <c r="EJ42" s="15" t="str">
        <f t="shared" si="143"/>
        <v/>
      </c>
      <c r="EK42" s="15" t="str">
        <f t="shared" si="143"/>
        <v/>
      </c>
      <c r="EL42" s="15" t="str">
        <f t="shared" si="143"/>
        <v/>
      </c>
      <c r="EM42" s="15" t="str">
        <f t="shared" si="143"/>
        <v/>
      </c>
      <c r="EN42" s="15" t="str">
        <f t="shared" si="143"/>
        <v/>
      </c>
      <c r="EO42" s="15" t="str">
        <f t="shared" si="143"/>
        <v/>
      </c>
      <c r="EP42" s="15" t="str">
        <f t="shared" si="143"/>
        <v/>
      </c>
      <c r="EQ42" s="15" t="str">
        <f t="shared" si="143"/>
        <v/>
      </c>
      <c r="ER42" s="15" t="str">
        <f t="shared" si="143"/>
        <v/>
      </c>
      <c r="ES42" s="15" t="str">
        <f t="shared" si="143"/>
        <v/>
      </c>
      <c r="ET42" s="15" t="str">
        <f t="shared" si="143"/>
        <v/>
      </c>
      <c r="EU42" s="15" t="str">
        <f t="shared" si="143"/>
        <v/>
      </c>
      <c r="EV42" s="15" t="str">
        <f t="shared" si="143"/>
        <v/>
      </c>
      <c r="EW42" s="15" t="str">
        <f t="shared" si="143"/>
        <v/>
      </c>
      <c r="EX42" s="15" t="str">
        <f t="shared" si="143"/>
        <v/>
      </c>
      <c r="EY42" s="15" t="str">
        <f t="shared" si="143"/>
        <v/>
      </c>
      <c r="EZ42" s="15" t="str">
        <f t="shared" si="143"/>
        <v/>
      </c>
      <c r="FA42" s="15" t="str">
        <f t="shared" si="143"/>
        <v/>
      </c>
      <c r="FB42" s="15" t="str">
        <f t="shared" si="143"/>
        <v/>
      </c>
      <c r="FC42" s="15" t="str">
        <f t="shared" si="143"/>
        <v/>
      </c>
      <c r="FD42" s="15" t="str">
        <f t="shared" si="143"/>
        <v/>
      </c>
      <c r="FE42" s="15" t="str">
        <f t="shared" si="143"/>
        <v/>
      </c>
      <c r="FF42" s="15" t="str">
        <f t="shared" si="143"/>
        <v/>
      </c>
      <c r="FG42" s="15" t="str">
        <f t="shared" si="143"/>
        <v/>
      </c>
      <c r="FH42" s="15" t="str">
        <f t="shared" si="143"/>
        <v/>
      </c>
      <c r="FI42" s="15" t="str">
        <f t="shared" si="143"/>
        <v/>
      </c>
      <c r="FJ42" s="15" t="str">
        <f t="shared" si="143"/>
        <v/>
      </c>
      <c r="FK42" s="15" t="str">
        <f t="shared" si="143"/>
        <v/>
      </c>
      <c r="FL42" s="15">
        <f>FL40+5</f>
        <v>55</v>
      </c>
      <c r="FM42" s="15" t="str">
        <f ca="1">OFFSET($FM$75,FL42,0)</f>
        <v/>
      </c>
      <c r="FN42" s="15" t="str">
        <f ca="1">OFFSET($FN$75,FL42,0)</f>
        <v/>
      </c>
      <c r="FO42" s="244"/>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6"/>
      <c r="GS42" s="15"/>
      <c r="GT42" s="15"/>
      <c r="GU42" s="15"/>
      <c r="GV42" s="15"/>
      <c r="GW42" s="15"/>
      <c r="GX42" s="15"/>
      <c r="GY42" s="15"/>
      <c r="GZ42" s="15"/>
      <c r="HA42" s="15" t="str">
        <f>IF($F41="Hybrid - Thrust + 2 connections",COUNTBLANK(J41:L41),"")</f>
        <v/>
      </c>
      <c r="HB42" s="15"/>
      <c r="HC42" s="5"/>
      <c r="HD42" s="5"/>
      <c r="HE42" s="5"/>
      <c r="HF42" s="5"/>
    </row>
    <row r="43" spans="1:214" ht="12.75" customHeight="1" x14ac:dyDescent="0.3">
      <c r="A43" s="118" t="str">
        <f>IF(AND(E41="",A41&lt;&gt;""),IF(CP41=$CP$18,"",IF(C41&lt;&gt;"",IF(D41=59,MINUTE(CP41)+1,MINUTE(CP41)),"")),"")</f>
        <v/>
      </c>
      <c r="B43" s="119" t="str">
        <f>IF(AND(E41="",B41&lt;&gt;""),IF(CP41=$CP$18,"",IF(C41&lt;&gt;"",IF(D41=59,0,SECOND(CP41)+1),"")),"")</f>
        <v/>
      </c>
      <c r="C43" s="119"/>
      <c r="D43" s="119"/>
      <c r="E43" s="119"/>
      <c r="F43" s="57"/>
      <c r="G43" s="120" t="str">
        <f>IF(F43&lt;&gt;"",IF(OR(F43="Transition",F43="Transition - Surface Connection"),0,MAX($G$19:G42)+1),"")</f>
        <v/>
      </c>
      <c r="H43" s="223" t="str">
        <f>IFERROR(IF(E44="3","",IF(OR(F43="Hybrid - min 4 swimmers (no DD)",LEFT(F43,5)="Trans"),"No DD",CONCATENATE("BM = ",I44))),"")</f>
        <v/>
      </c>
      <c r="I43" s="224"/>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2"/>
      <c r="AO43" s="123"/>
      <c r="AP43" s="52"/>
      <c r="AQ43" s="52"/>
      <c r="AR43" s="12"/>
      <c r="AS43" s="12"/>
      <c r="AT43" s="12"/>
      <c r="AU43" s="12"/>
      <c r="AV43" s="12"/>
      <c r="AW43" s="12"/>
      <c r="AX43" s="12"/>
      <c r="AY43" s="12"/>
      <c r="AZ43" s="12"/>
      <c r="BA43" s="12"/>
      <c r="BB43" s="12"/>
      <c r="BC43" s="12"/>
      <c r="BD43" s="12"/>
      <c r="BE43" s="12"/>
      <c r="BF43" s="12"/>
      <c r="BG43" s="12" t="str">
        <f t="array" ref="BG43">IFERROR(IF(F43&lt;&gt;"",INDEX(Parts_Active,MATCH(F43,Parts_Active,0)),""),"No")</f>
        <v/>
      </c>
      <c r="BH43" s="12"/>
      <c r="BI43" s="12" t="str">
        <f>IF($E44="H",IF($F43="Hybrid - Thrust + 2 connections","Hybrid_Mix_Req",IF($F43="Hybrid - min 4 swimmers (no DD)","Hybrid_ChoHY","HybridDD_Code")),IF($E44=3,"TreDD_Code",IF($E44="PA","AcroPair_Code",IF(LEFT($F43,4)="Acro",CONCATENATE(BI$16,$E44,"_Code"),"Data!$BI$1:$BI$5"))))</f>
        <v>Data!$BI$1:$BI$5</v>
      </c>
      <c r="BJ43" s="12" t="str">
        <f t="shared" ref="BJ43:BQ43" si="144">IF($E44="H",IF($F43="Hybrid - Thrust + 2 connections","Hybrid_Mix_Req",IF($F43="Hybrid - min 4 swimmers (no DD)","Data!$BI$1:$BI$5","HybridDD_Code")),IF($E44=3,"TreDD_Code",IF($E44="PA","AcroPair_Code",IF(LEFT($F43,4)="Acro",CONCATENATE(BJ$16,$E44,"_Code"),"Data!$BI$1:$BI$5"))))</f>
        <v>Data!$BI$1:$BI$5</v>
      </c>
      <c r="BK43" s="12" t="str">
        <f t="shared" si="144"/>
        <v>Data!$BI$1:$BI$5</v>
      </c>
      <c r="BL43" s="12" t="str">
        <f t="shared" si="144"/>
        <v>Data!$BI$1:$BI$5</v>
      </c>
      <c r="BM43" s="12" t="str">
        <f t="shared" si="144"/>
        <v>Data!$BI$1:$BI$5</v>
      </c>
      <c r="BN43" s="12" t="str">
        <f t="shared" si="144"/>
        <v>Data!$BI$1:$BI$5</v>
      </c>
      <c r="BO43" s="12" t="str">
        <f t="shared" si="144"/>
        <v>Data!$BI$1:$BI$5</v>
      </c>
      <c r="BP43" s="12" t="str">
        <f t="shared" si="144"/>
        <v>Data!$BI$1:$BI$5</v>
      </c>
      <c r="BQ43" s="12" t="str">
        <f t="shared" si="144"/>
        <v>Data!$BI$1:$BI$5</v>
      </c>
      <c r="BR43" s="12" t="str">
        <f>IF($E44="H",IF($F43="Hybrid - Thrust + 2 connections","Data!$BI$1:$BI$5","HybridDD_Code"),"Data!$BI$1:$BI$5")</f>
        <v>Data!$BI$1:$BI$5</v>
      </c>
      <c r="BS43" s="12" t="str">
        <f t="shared" ref="BS43:CL43" si="145">$BR43</f>
        <v>Data!$BI$1:$BI$5</v>
      </c>
      <c r="BT43" s="12" t="str">
        <f t="shared" si="145"/>
        <v>Data!$BI$1:$BI$5</v>
      </c>
      <c r="BU43" s="12" t="str">
        <f t="shared" si="145"/>
        <v>Data!$BI$1:$BI$5</v>
      </c>
      <c r="BV43" s="12" t="str">
        <f t="shared" si="145"/>
        <v>Data!$BI$1:$BI$5</v>
      </c>
      <c r="BW43" s="12" t="str">
        <f t="shared" si="145"/>
        <v>Data!$BI$1:$BI$5</v>
      </c>
      <c r="BX43" s="12" t="str">
        <f t="shared" si="145"/>
        <v>Data!$BI$1:$BI$5</v>
      </c>
      <c r="BY43" s="12" t="str">
        <f t="shared" si="145"/>
        <v>Data!$BI$1:$BI$5</v>
      </c>
      <c r="BZ43" s="12" t="str">
        <f t="shared" si="145"/>
        <v>Data!$BI$1:$BI$5</v>
      </c>
      <c r="CA43" s="12" t="str">
        <f t="shared" si="145"/>
        <v>Data!$BI$1:$BI$5</v>
      </c>
      <c r="CB43" s="12" t="str">
        <f t="shared" si="145"/>
        <v>Data!$BI$1:$BI$5</v>
      </c>
      <c r="CC43" s="12" t="str">
        <f t="shared" si="145"/>
        <v>Data!$BI$1:$BI$5</v>
      </c>
      <c r="CD43" s="12" t="str">
        <f t="shared" si="145"/>
        <v>Data!$BI$1:$BI$5</v>
      </c>
      <c r="CE43" s="12" t="str">
        <f t="shared" si="145"/>
        <v>Data!$BI$1:$BI$5</v>
      </c>
      <c r="CF43" s="12" t="str">
        <f t="shared" si="145"/>
        <v>Data!$BI$1:$BI$5</v>
      </c>
      <c r="CG43" s="12" t="str">
        <f t="shared" si="145"/>
        <v>Data!$BI$1:$BI$5</v>
      </c>
      <c r="CH43" s="12" t="str">
        <f t="shared" si="145"/>
        <v>Data!$BI$1:$BI$5</v>
      </c>
      <c r="CI43" s="12" t="str">
        <f t="shared" si="145"/>
        <v>Data!$BI$1:$BI$5</v>
      </c>
      <c r="CJ43" s="12" t="str">
        <f t="shared" si="145"/>
        <v>Data!$BI$1:$BI$5</v>
      </c>
      <c r="CK43" s="12" t="str">
        <f t="shared" si="145"/>
        <v>Data!$BI$1:$BI$5</v>
      </c>
      <c r="CL43" s="12" t="str">
        <f t="shared" si="145"/>
        <v>Data!$BI$1:$BI$5</v>
      </c>
      <c r="CM43" s="12"/>
      <c r="CN43" s="12"/>
      <c r="CO43" s="63" t="str">
        <f>IFERROR(TIME(0,A43,B43),"")</f>
        <v/>
      </c>
      <c r="CP43" s="63">
        <f>IFERROR(TIME(0,C43,D43),"")</f>
        <v>0</v>
      </c>
      <c r="CQ43" s="63" t="str">
        <f>IF(CP43&gt;$D$12,"X","")</f>
        <v/>
      </c>
      <c r="CR43" s="15" t="str">
        <f>IF(AND(F43="Hybrid - Thrust + 2 connections",OR(LEFT(J43,1)="T",LEFT(K43,1)="T",LEFT(L43,1)="T",LEFT(OY43,1)="T",LEFT(M43,1)="T",LEFT(N43,1)="T",LEFT(O43,1)="T",LEFT(P43,1)="T",LEFT(Q43,1)="T",LEFT(R43,1)="T",LEFT(S43,1)="T",LEFT(T43,1)="T",LEFT(U43,1)="T",LEFT(V43,1)="T",LEFT(W43,1)="T",LEFT(X43,1)="T",LEFT(AK43,1)="T",LEFT(AL43,1)="T",LEFT(AM43,1)="T")),IF(OR(LEN(J43)=2,LEN(K43)=2,LEN(L43)=2,LEN(M43)=2,LEN(N43)=2,LEN(O43)=2,LEN(P43)=2,LEN(Q43)=2,LEN(R43)=2,LEN(S43)=2,LEN(T43)=2,LEN(U43)=2,LEN(V43)=2,LEN(W43)=2,LEN(X43)=2,LEN(Y43)=2,LEN(Z43)=2,LEN(AK43)=2,LEN(AL43)=2,LEN(AM43)=2),"X",""),"")</f>
        <v/>
      </c>
      <c r="CS43" s="5"/>
      <c r="CT43" s="15" t="str">
        <f>IF(LEFT(F43,4)="Acro",IF(AND(N43&lt;&gt;"",M43=RIGHT(N43,2)),"X","OK"),"")</f>
        <v/>
      </c>
      <c r="CU43" s="12" t="str">
        <f t="array" ref="CU43">IFERROR(IF(AND(LEFT($F43,4)="Acro",INDEX(Requ_App,MATCH(BI43,Requ_Code,0))="No"),"X",""),"")</f>
        <v/>
      </c>
      <c r="CV43" s="12" t="str">
        <f t="array" ref="CV43">IFERROR(IF(AND(LEFT($F43,4)="Acro",INDEX(Requ_App,MATCH(BJ43,Requ_Code,0))="No"),"X",""),"")</f>
        <v/>
      </c>
      <c r="CW43" s="12" t="str">
        <f t="array" ref="CW43">IFERROR(IF(AND(LEFT($F43,4)="Acro",INDEX(Requ_App,MATCH(BK43,Requ_Code,0))="No"),"X",""),"")</f>
        <v/>
      </c>
      <c r="CX43" s="12" t="str">
        <f t="array" ref="CX43">IFERROR(IF(AND(LEFT($F43,4)="Acro",INDEX(Requ_App,MATCH(BL43,Requ_Code,0))="No"),"X",""),"")</f>
        <v/>
      </c>
      <c r="CY43" s="12" t="str">
        <f t="array" ref="CY43">IFERROR(IF(AND(LEFT($F43,4)="Acro",INDEX(Requ_App,MATCH(BM43,Requ_Code,0))="No"),"X",""),"")</f>
        <v/>
      </c>
      <c r="CZ43" s="12" t="str">
        <f t="array" ref="CZ43">IFERROR(IF(AND(LEFT($F43,4)="Acro",INDEX(Requ_App,MATCH(BN43,Requ_Code,0))="No"),"X",""),"")</f>
        <v/>
      </c>
      <c r="DA43" s="12" t="str">
        <f t="array" ref="DA43">IFERROR(IF(AND(LEFT($F43,4)="Acro",INDEX(Requ_App,MATCH(BO43,Requ_Code,0))="No"),"X",""),"")</f>
        <v/>
      </c>
      <c r="DB43" s="12" t="str">
        <f t="array" ref="DB43">IFERROR(IF(AND(LEFT($F43,4)="Acro",INDEX(Requ_App,MATCH(BP43,Requ_Code,0))="No"),"X",""),"")</f>
        <v/>
      </c>
      <c r="DC43" s="12" t="str">
        <f t="array" ref="DC43">IFERROR(IF(AND(LEFT($F43,4)="Acro",INDEX(Requ_App,MATCH(BP43,Requ_Code,0))="No"),"X",""),"")</f>
        <v/>
      </c>
      <c r="DD43" s="15" t="str">
        <f t="shared" si="10"/>
        <v/>
      </c>
      <c r="DE43" s="15" t="str">
        <f t="shared" si="11"/>
        <v/>
      </c>
      <c r="DF43" s="15" t="str">
        <f t="shared" si="12"/>
        <v/>
      </c>
      <c r="DG43" s="15" t="str">
        <f t="shared" si="13"/>
        <v/>
      </c>
      <c r="DH43" s="15"/>
      <c r="DI43" s="15"/>
      <c r="DJ43" s="15"/>
      <c r="DK43" s="15">
        <f>IF(AND(E44="A",OR(Q43="Grip",Q43="Conn",Q43="Catch")),"A1",IF(AND(E44="A",OR(Q43="Hula",Q43="RetSq",Q43="RetPa")),"A2",IF(AND(E44="B",OR(Q43="Twirl",Q43="RotF")),"B1",IF(AND(E44="B",OR(Q43="Moon",Q43="Mov")),"B2",IF(AND(E44="B",Q43="Hold"),"B3",IF(AND(E44="P",OR(Q43="Porp",Q43="Spitch")),"P1",IF(AND(E44="P",OR(Q43="Dive",Q43="Ps1",Q43="Ps1t0.5",Q43="Ps1op",Q43="Ps1t0,5o",Q43="Ps1t1",Q43="CH+")),"P2",IF(AND(E44="P",OR(Q43="Spider",Q43="Climb")),"P3",IF(AND(E44="P",OR(Q43="Fall",Q43="FTurn")),"P4",IF(AND(E44="C",OR(Q43="Jump",Q43="Jump&gt;",Q43="On1Foot",Q43="1F&gt;1F")),"C1",IF(AND(E44="C",OR(Q43="Run",Q43="BRun")),"C2",1)))))))))))</f>
        <v>1</v>
      </c>
      <c r="DL43" s="15">
        <f>IF(AND(E44="A",OR(R43="Grip",R43="Conn",R43="Catch")),"A1",IF(AND(E44="A",OR(R43="Hula",R43="RetSq",R43="RetPa")),"A2",IF(AND(E44="B",OR(R43="Twirl",R43="RotF")),"B1",IF(AND(E44="B",OR(R43="Moon",R43="Mov")),"B3",IF(AND(E44="B",R43="Hold"),"B2",IF(AND(E44="P",OR(R43="Porp",R43="Spitch")),"P1",IF(AND(E44="P",OR(R43="Dive",R43="Ps1",R43="Ps1t0.5",R43="Ps1op",R43="Ps1t0,5o",R43="Ps1t1",R43="CH+")),"P2",IF(AND(E44="P",OR(R43="Spider",R43="Climb")),"P3",IF(AND(E44="P",OR(R43="Fall",R43="FTurn")),"P4",IF(AND(E44="C",OR(R43="Jump",R43="Jump&gt;",R43="On1Foot",R43="1F&gt;1F")),"C1",IF(AND(E44="C",OR(R43="Run",R43="BRun")),"C2",2)))))))))))</f>
        <v>2</v>
      </c>
      <c r="DM43" s="15" t="str">
        <f>IF(AND(LEFT(F43,4)="Acro",Q43&lt;&gt;"",OR(Q43=R43,DK43=DL43)),IF(R43="C-Roll","","X"),IF(OR(AND(E44="A",Q43="Catch",R43&lt;&gt;"Dbl"),AND(E44="A",R43="Catch",Q43&lt;&gt;"Dbl")),"X",""))</f>
        <v/>
      </c>
      <c r="DN43" s="15" t="str">
        <f>IF(E44="PA",J43,"")</f>
        <v/>
      </c>
      <c r="DO43" s="15">
        <v>25</v>
      </c>
      <c r="DP43" s="15"/>
      <c r="DQ43" s="15" t="str">
        <f t="shared" ref="DQ43:DR43" si="146">IF(AND($E44="A",COUNTIF($DZ$19:$EA$68,DZ43)&gt;1),DZ43,"")</f>
        <v/>
      </c>
      <c r="DR43" s="15" t="str">
        <f t="shared" si="146"/>
        <v/>
      </c>
      <c r="DS43" s="15" t="str">
        <f ca="1">IF(AND($E44="B",COUNTIF($J$19:$J$68,J43)&gt;1),J43,"")</f>
        <v/>
      </c>
      <c r="DT43" s="15" t="str">
        <f ca="1">IF(AND($E44="B",COUNTIF($K$19:$K$68,K43)&gt;1),K43,"")</f>
        <v/>
      </c>
      <c r="DU43" s="15" t="str">
        <f ca="1">IF(AND($E44="C",COUNTIF($J$19:$J$68,J43)&gt;1),J43,"")</f>
        <v/>
      </c>
      <c r="DV43" s="15" t="str">
        <f ca="1">IF(AND($E44="P",COUNTIF($J$19:$J$68,J43)&gt;1),J43,"")</f>
        <v/>
      </c>
      <c r="DW43" s="15" t="str">
        <f ca="1">IF(AND($E44="P",COUNTIF($K$19:$K$68,K43)&gt;1),K43,"")</f>
        <v/>
      </c>
      <c r="DX43" s="15" t="str">
        <f t="shared" ref="DX43:DY43" si="147">IF(AND($E44="P",COUNTIF($DZ$19:$EA$68,DZ43)&gt;1),DZ43,"")</f>
        <v/>
      </c>
      <c r="DY43" s="15" t="str">
        <f t="shared" si="147"/>
        <v/>
      </c>
      <c r="DZ43" s="15" t="str">
        <f>IFERROR(IF(OR(E44="A",E44="P"),M43,""),"")</f>
        <v/>
      </c>
      <c r="EA43" s="15" t="str">
        <f>IFERROR(IF(OR(E44="A",E44="P"),RIGHT(N43,2),""),"")</f>
        <v/>
      </c>
      <c r="EB43" s="15"/>
      <c r="EC43" s="15" t="str">
        <f>IF(AND($F$8="Open Team Acrobatic",LEFT(F43,4)="Acro"),E44,"")</f>
        <v/>
      </c>
      <c r="ED43" s="15" t="str">
        <f>IFERROR(IF(HLOOKUP(EC43,$DQ$12:$DT$13,2,FALSE)&gt;2,"X",""),"")</f>
        <v/>
      </c>
      <c r="EE43" s="15"/>
      <c r="EF43" s="15" t="str">
        <f>IF(OR(AND(F43="Hybrid - Thrust + 2 connections",EF44="T"),AND(E44="H",EF44&lt;&gt;"")),"X","")</f>
        <v/>
      </c>
      <c r="EG43" s="15"/>
      <c r="EH43" s="15">
        <f t="shared" ref="EH43:EX43" si="148">IFERROR(IF(AND($E44="H",J43&lt;&gt;""),IF(OR(LEFT(J43,1)="T",LEFT(J43,1)="S",LEFT(J43,1)="A",LEFT(J43,1)="F",LEFT(J43,1)="C"),LEFT(J43,1),"R"),EH$18),"")</f>
        <v>1</v>
      </c>
      <c r="EI43" s="15">
        <f t="shared" si="148"/>
        <v>2</v>
      </c>
      <c r="EJ43" s="15">
        <f t="shared" si="148"/>
        <v>3</v>
      </c>
      <c r="EK43" s="15">
        <f t="shared" si="148"/>
        <v>4</v>
      </c>
      <c r="EL43" s="15">
        <f t="shared" si="148"/>
        <v>5</v>
      </c>
      <c r="EM43" s="15">
        <f t="shared" si="148"/>
        <v>6</v>
      </c>
      <c r="EN43" s="15">
        <f t="shared" si="148"/>
        <v>7</v>
      </c>
      <c r="EO43" s="15">
        <f t="shared" si="148"/>
        <v>8</v>
      </c>
      <c r="EP43" s="15">
        <f t="shared" si="148"/>
        <v>9</v>
      </c>
      <c r="EQ43" s="15">
        <f t="shared" si="148"/>
        <v>10</v>
      </c>
      <c r="ER43" s="15">
        <f t="shared" si="148"/>
        <v>11</v>
      </c>
      <c r="ES43" s="15">
        <f t="shared" si="148"/>
        <v>12</v>
      </c>
      <c r="ET43" s="15">
        <f t="shared" si="148"/>
        <v>13</v>
      </c>
      <c r="EU43" s="15">
        <f t="shared" si="148"/>
        <v>14</v>
      </c>
      <c r="EV43" s="15">
        <f t="shared" si="148"/>
        <v>15</v>
      </c>
      <c r="EW43" s="15">
        <f t="shared" si="148"/>
        <v>16</v>
      </c>
      <c r="EX43" s="15">
        <f t="shared" si="148"/>
        <v>17</v>
      </c>
      <c r="EY43" s="15">
        <f t="shared" ref="EY43:FK43" si="149">IFERROR(IF(AND($E44="H",AK43&lt;&gt;""),IF(OR(LEFT(AK43,1)="T",LEFT(AK43,1)="S",LEFT(AK43,1)="A",LEFT(AK43,1)="F",LEFT(AK43,1)="C"),LEFT(AK43,1),"R"),EY$18),"")</f>
        <v>18</v>
      </c>
      <c r="EZ43" s="15">
        <f t="shared" si="149"/>
        <v>19</v>
      </c>
      <c r="FA43" s="15">
        <f t="shared" si="149"/>
        <v>20</v>
      </c>
      <c r="FB43" s="15">
        <f t="shared" si="149"/>
        <v>21</v>
      </c>
      <c r="FC43" s="15">
        <f t="shared" si="149"/>
        <v>22</v>
      </c>
      <c r="FD43" s="15">
        <f t="shared" si="149"/>
        <v>23</v>
      </c>
      <c r="FE43" s="15">
        <f t="shared" si="149"/>
        <v>24</v>
      </c>
      <c r="FF43" s="15">
        <f t="shared" si="149"/>
        <v>25</v>
      </c>
      <c r="FG43" s="15">
        <f t="shared" si="149"/>
        <v>26</v>
      </c>
      <c r="FH43" s="15">
        <f t="shared" si="149"/>
        <v>27</v>
      </c>
      <c r="FI43" s="15">
        <f t="shared" si="149"/>
        <v>28</v>
      </c>
      <c r="FJ43" s="15">
        <f t="shared" si="149"/>
        <v>29</v>
      </c>
      <c r="FK43" s="15">
        <f t="shared" si="149"/>
        <v>30</v>
      </c>
      <c r="FL43" s="15"/>
      <c r="FM43" s="15"/>
      <c r="FN43" s="15"/>
      <c r="FO43" s="244"/>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6"/>
      <c r="GS43" s="15"/>
      <c r="GT43" s="15">
        <f t="shared" ref="GT43:GY43" si="150">COUNTIF($EH43:$FK43,GT$18)</f>
        <v>0</v>
      </c>
      <c r="GU43" s="15">
        <f t="shared" si="150"/>
        <v>0</v>
      </c>
      <c r="GV43" s="15">
        <f t="shared" si="150"/>
        <v>0</v>
      </c>
      <c r="GW43" s="15">
        <f t="shared" si="150"/>
        <v>0</v>
      </c>
      <c r="GX43" s="15">
        <f t="shared" si="150"/>
        <v>0</v>
      </c>
      <c r="GY43" s="15">
        <f t="shared" si="150"/>
        <v>0</v>
      </c>
      <c r="GZ43" s="15"/>
      <c r="HA43" s="15" t="str">
        <f>IF(AND($F43="Hybrid - Thrust + 2 connections",HA44=0,LEFT($J43,1)="C",LEFT($K43,1)="C",LEFT($L43,1)="C"),"X","")</f>
        <v/>
      </c>
      <c r="HB43" s="15"/>
      <c r="HC43" s="5"/>
      <c r="HD43" s="124"/>
      <c r="HE43" s="124"/>
      <c r="HF43" s="5" t="str">
        <f>IF(E44=3,_xludf.NUMBERVALUE(LEFT(J43,1)),"")</f>
        <v/>
      </c>
    </row>
    <row r="44" spans="1:214" ht="12.75" customHeight="1" x14ac:dyDescent="0.3">
      <c r="A44" s="118"/>
      <c r="B44" s="119"/>
      <c r="C44" s="119"/>
      <c r="D44" s="119"/>
      <c r="E44" s="50" t="str">
        <f>IF(F43="Acrobatic - Pair","PA",IF(F43="Acrobatic Airborn","A",IF(F43="Acrobatic Balance","B",IF(F43="Acrobatic Combined","C",IF(F43="Acrobatic Platform","P",IF(F43="Technical Required Element",3,IF(LEFT(F43,4)="Hybr","H","")))))))</f>
        <v/>
      </c>
      <c r="F44" s="50" t="str">
        <f>IF(AND(F43="Hybrid - Thrust + 2 connections",CR43="X"),"Hybrid - Thrust",IF(OR(E44="A",E44="B",E44="C",E44="P"),"Acrobatic",""))</f>
        <v/>
      </c>
      <c r="G44" s="120"/>
      <c r="H44" s="126" t="str">
        <f>IF(E44="PA",IF(OR(LEFT(J43,1)="L",LEFT(J43,1)="S"),"A-Pair-Lift",IF(OR(LEFT(J43,1)="W",LEFT(J43,1)="T"),"A-Pair-Throw",IF(LEFT(J43,1)="J","A-Pair-Jump","A-Pair"))),IF(OR(E44="A",E44="B",E44="C",E44="P"),CONCATENATE("Acro-",E44),""))</f>
        <v/>
      </c>
      <c r="I44" s="127" t="e">
        <f t="array" ref="I44">IF(OR(F43="Hybrid - min 4 swimmers (no DD)",LEFT(F43,5)="Trans"),0,INDEX($BY$3:$BY$9,MATCH(E44,$BX$3:$BX$9,0)))</f>
        <v>#N/A</v>
      </c>
      <c r="J44" s="128">
        <f t="array" aca="1" ref="J44" ca="1">IFERROR(IF($H43="No DD",IF(J43="ChoHY",1,0),IF(OR(ISBLANK(J43),J43="N/A"),0,INDEX(INDIRECT(BI44),MATCH(J43,INDIRECT(BI43),0)))),0)</f>
        <v>0</v>
      </c>
      <c r="K44" s="128">
        <f t="shared" ref="K44:AM44" ca="1" si="151">IFERROR(IF($H43="No DD",0,IF(OR(ISBLANK(K43),K43="N/A"),0,INDEX(INDIRECT(BJ44),MATCH(K43,INDIRECT(BJ43),0)))),0)</f>
        <v>0</v>
      </c>
      <c r="L44" s="128">
        <f t="shared" ca="1" si="151"/>
        <v>0</v>
      </c>
      <c r="M44" s="128">
        <f t="shared" ca="1" si="151"/>
        <v>0</v>
      </c>
      <c r="N44" s="128">
        <f t="shared" ca="1" si="151"/>
        <v>0</v>
      </c>
      <c r="O44" s="128">
        <f t="shared" ca="1" si="151"/>
        <v>0</v>
      </c>
      <c r="P44" s="128">
        <f t="shared" ca="1" si="151"/>
        <v>0</v>
      </c>
      <c r="Q44" s="128">
        <f t="shared" ca="1" si="151"/>
        <v>0</v>
      </c>
      <c r="R44" s="128">
        <f t="shared" ca="1" si="151"/>
        <v>0</v>
      </c>
      <c r="S44" s="128">
        <f t="shared" ca="1" si="151"/>
        <v>0</v>
      </c>
      <c r="T44" s="128">
        <f t="shared" ca="1" si="151"/>
        <v>0</v>
      </c>
      <c r="U44" s="128">
        <f t="shared" ca="1" si="151"/>
        <v>0</v>
      </c>
      <c r="V44" s="128">
        <f t="shared" ca="1" si="151"/>
        <v>0</v>
      </c>
      <c r="W44" s="128">
        <f t="shared" ca="1" si="151"/>
        <v>0</v>
      </c>
      <c r="X44" s="128">
        <f t="shared" ca="1" si="151"/>
        <v>0</v>
      </c>
      <c r="Y44" s="128">
        <f t="shared" ca="1" si="151"/>
        <v>0</v>
      </c>
      <c r="Z44" s="128">
        <f t="shared" ca="1" si="151"/>
        <v>0</v>
      </c>
      <c r="AA44" s="128">
        <f t="shared" ca="1" si="151"/>
        <v>0</v>
      </c>
      <c r="AB44" s="128">
        <f t="shared" ca="1" si="151"/>
        <v>0</v>
      </c>
      <c r="AC44" s="128">
        <f t="shared" ca="1" si="151"/>
        <v>0</v>
      </c>
      <c r="AD44" s="128">
        <f t="shared" ca="1" si="151"/>
        <v>0</v>
      </c>
      <c r="AE44" s="128">
        <f t="shared" ca="1" si="151"/>
        <v>0</v>
      </c>
      <c r="AF44" s="128">
        <f t="shared" ca="1" si="151"/>
        <v>0</v>
      </c>
      <c r="AG44" s="128">
        <f t="shared" ca="1" si="151"/>
        <v>0</v>
      </c>
      <c r="AH44" s="128">
        <f t="shared" ca="1" si="151"/>
        <v>0</v>
      </c>
      <c r="AI44" s="128">
        <f t="shared" ca="1" si="151"/>
        <v>0</v>
      </c>
      <c r="AJ44" s="128">
        <f t="shared" ca="1" si="151"/>
        <v>0</v>
      </c>
      <c r="AK44" s="128">
        <f t="shared" ca="1" si="151"/>
        <v>0</v>
      </c>
      <c r="AL44" s="128">
        <f t="shared" ca="1" si="151"/>
        <v>0</v>
      </c>
      <c r="AM44" s="128">
        <f t="shared" ca="1" si="151"/>
        <v>0</v>
      </c>
      <c r="AN44" s="129" t="str">
        <f t="array" ref="AN44">IFERROR(IF(E44="H",INDEX(HybridBonus_Value,MATCH(AN43,HybridBonus_Code,0)),""),"")</f>
        <v/>
      </c>
      <c r="AO44" s="130" t="str">
        <f>IFERROR(SUM(I44:AN44),"")</f>
        <v/>
      </c>
      <c r="AP44" s="132"/>
      <c r="AQ44" s="132"/>
      <c r="AR44" s="131"/>
      <c r="AS44" s="131"/>
      <c r="AT44" s="131"/>
      <c r="AU44" s="131"/>
      <c r="AV44" s="131"/>
      <c r="AW44" s="131"/>
      <c r="AX44" s="131"/>
      <c r="AY44" s="131"/>
      <c r="AZ44" s="131"/>
      <c r="BA44" s="131"/>
      <c r="BB44" s="131"/>
      <c r="BC44" s="131"/>
      <c r="BD44" s="131"/>
      <c r="BE44" s="131"/>
      <c r="BF44" s="131"/>
      <c r="BG44" s="12"/>
      <c r="BH44" s="131"/>
      <c r="BI44" s="5" t="str">
        <f t="shared" ref="BI44:BQ44" si="152">IF($E44="H",IF($F43="Hybrid - Thrust + 2 connections","Hybrid_Mix_Req_Value","HybridDD_Value"),IF($E44=3,"TreDD_Value",IF($E44="PA","AcroPair_Value",IF(LEFT($F43,4)="Acro",CONCATENATE(BI$16,$E44,"_Value"),""))))</f>
        <v/>
      </c>
      <c r="BJ44" s="5" t="str">
        <f t="shared" si="152"/>
        <v/>
      </c>
      <c r="BK44" s="5" t="str">
        <f t="shared" si="152"/>
        <v/>
      </c>
      <c r="BL44" s="5" t="str">
        <f t="shared" si="152"/>
        <v/>
      </c>
      <c r="BM44" s="5" t="str">
        <f t="shared" si="152"/>
        <v/>
      </c>
      <c r="BN44" s="5" t="str">
        <f t="shared" si="152"/>
        <v/>
      </c>
      <c r="BO44" s="5" t="str">
        <f t="shared" si="152"/>
        <v/>
      </c>
      <c r="BP44" s="5" t="str">
        <f t="shared" si="152"/>
        <v/>
      </c>
      <c r="BQ44" s="5" t="str">
        <f t="shared" si="152"/>
        <v/>
      </c>
      <c r="BR44" s="12" t="str">
        <f t="shared" ref="BR44:CL44" si="153">IF($E44="H",IF($F43="Hybrid - Thrust + 2 connections","Data!$BI$1:$BI$5","HybridDD_Value"),"Data!$BI$1:$BI$5")</f>
        <v>Data!$BI$1:$BI$5</v>
      </c>
      <c r="BS44" s="12" t="str">
        <f t="shared" si="153"/>
        <v>Data!$BI$1:$BI$5</v>
      </c>
      <c r="BT44" s="12" t="str">
        <f t="shared" si="153"/>
        <v>Data!$BI$1:$BI$5</v>
      </c>
      <c r="BU44" s="12" t="str">
        <f t="shared" si="153"/>
        <v>Data!$BI$1:$BI$5</v>
      </c>
      <c r="BV44" s="12" t="str">
        <f t="shared" si="153"/>
        <v>Data!$BI$1:$BI$5</v>
      </c>
      <c r="BW44" s="12" t="str">
        <f t="shared" si="153"/>
        <v>Data!$BI$1:$BI$5</v>
      </c>
      <c r="BX44" s="12" t="str">
        <f t="shared" si="153"/>
        <v>Data!$BI$1:$BI$5</v>
      </c>
      <c r="BY44" s="12" t="str">
        <f t="shared" si="153"/>
        <v>Data!$BI$1:$BI$5</v>
      </c>
      <c r="BZ44" s="12" t="str">
        <f t="shared" si="153"/>
        <v>Data!$BI$1:$BI$5</v>
      </c>
      <c r="CA44" s="12" t="str">
        <f t="shared" si="153"/>
        <v>Data!$BI$1:$BI$5</v>
      </c>
      <c r="CB44" s="12" t="str">
        <f t="shared" si="153"/>
        <v>Data!$BI$1:$BI$5</v>
      </c>
      <c r="CC44" s="12" t="str">
        <f t="shared" si="153"/>
        <v>Data!$BI$1:$BI$5</v>
      </c>
      <c r="CD44" s="12" t="str">
        <f t="shared" si="153"/>
        <v>Data!$BI$1:$BI$5</v>
      </c>
      <c r="CE44" s="12" t="str">
        <f t="shared" si="153"/>
        <v>Data!$BI$1:$BI$5</v>
      </c>
      <c r="CF44" s="12" t="str">
        <f t="shared" si="153"/>
        <v>Data!$BI$1:$BI$5</v>
      </c>
      <c r="CG44" s="12" t="str">
        <f t="shared" si="153"/>
        <v>Data!$BI$1:$BI$5</v>
      </c>
      <c r="CH44" s="12" t="str">
        <f t="shared" si="153"/>
        <v>Data!$BI$1:$BI$5</v>
      </c>
      <c r="CI44" s="12" t="str">
        <f t="shared" si="153"/>
        <v>Data!$BI$1:$BI$5</v>
      </c>
      <c r="CJ44" s="12" t="str">
        <f t="shared" si="153"/>
        <v>Data!$BI$1:$BI$5</v>
      </c>
      <c r="CK44" s="12" t="str">
        <f t="shared" si="153"/>
        <v>Data!$BI$1:$BI$5</v>
      </c>
      <c r="CL44" s="12" t="str">
        <f t="shared" si="153"/>
        <v>Data!$BI$1:$BI$5</v>
      </c>
      <c r="CM44" s="131"/>
      <c r="CN44" s="131"/>
      <c r="CO44" s="124" t="str">
        <f>IFERROR(IF(AND($BV$6="T",$BV$8="T",LEFT(F43,4)="Acro",AO44&gt;3),"X",IF($N$7="X",IF(AND(E44="C",AO44&gt;$CN$6),"X",IF(AND(E44="A",AO44&gt;$CN$4),"X",IF(AND(E44="B",AO44&gt;$CN$5),"X",IF(AND(E44="P",AO44&gt;$CN$7),"X","")))),"")),"")</f>
        <v/>
      </c>
      <c r="CP44" s="63"/>
      <c r="CQ44" s="5"/>
      <c r="CR44" s="15"/>
      <c r="CS44" s="5"/>
      <c r="CT44" s="5"/>
      <c r="CU44" s="5"/>
      <c r="CV44" s="5"/>
      <c r="CW44" s="5"/>
      <c r="CX44" s="5"/>
      <c r="CY44" s="5"/>
      <c r="CZ44" s="5"/>
      <c r="DA44" s="15"/>
      <c r="DB44" s="15"/>
      <c r="DC44" s="15"/>
      <c r="DD44" s="15" t="str">
        <f t="shared" si="10"/>
        <v/>
      </c>
      <c r="DE44" s="15" t="str">
        <f t="shared" si="11"/>
        <v/>
      </c>
      <c r="DF44" s="15" t="str">
        <f t="shared" si="12"/>
        <v/>
      </c>
      <c r="DG44" s="15" t="str">
        <f t="shared" si="13"/>
        <v/>
      </c>
      <c r="DH44" s="15"/>
      <c r="DI44" s="15"/>
      <c r="DJ44" s="15"/>
      <c r="DK44" s="15"/>
      <c r="DL44" s="15"/>
      <c r="DM44" s="15"/>
      <c r="DN44" s="15"/>
      <c r="DO44" s="15">
        <v>26</v>
      </c>
      <c r="DP44" s="15"/>
      <c r="DQ44" s="15"/>
      <c r="DR44" s="15"/>
      <c r="DS44" s="15"/>
      <c r="DT44" s="15"/>
      <c r="DU44" s="15"/>
      <c r="DV44" s="15"/>
      <c r="DW44" s="15"/>
      <c r="DX44" s="15"/>
      <c r="DY44" s="15"/>
      <c r="DZ44" s="15"/>
      <c r="EA44" s="15"/>
      <c r="EB44" s="15"/>
      <c r="EC44" s="15"/>
      <c r="ED44" s="15"/>
      <c r="EE44" s="15"/>
      <c r="EF44" s="15" t="str">
        <f t="array" ref="EF44">IFERROR(INDEX(EH44:FK44,MATCH(TRUE,INDEX((EH44:FK44&lt;&gt;""),),0)),"")</f>
        <v/>
      </c>
      <c r="EG44" s="15"/>
      <c r="EH44" s="15" t="str">
        <f t="shared" ref="EH44:FK44" si="154">IF(F43="Hybrid - Thrust + 2 connections",IF(COUNTIF($EH43:$FA43,EH43)&gt;1,EH43,""),IF(COUNTIF($EH43:$FA43,EH43)&gt;5,EH43,""))</f>
        <v/>
      </c>
      <c r="EI44" s="15" t="str">
        <f t="shared" si="154"/>
        <v/>
      </c>
      <c r="EJ44" s="15" t="str">
        <f t="shared" si="154"/>
        <v/>
      </c>
      <c r="EK44" s="15" t="str">
        <f t="shared" si="154"/>
        <v/>
      </c>
      <c r="EL44" s="15" t="str">
        <f t="shared" si="154"/>
        <v/>
      </c>
      <c r="EM44" s="15" t="str">
        <f t="shared" si="154"/>
        <v/>
      </c>
      <c r="EN44" s="15" t="str">
        <f t="shared" si="154"/>
        <v/>
      </c>
      <c r="EO44" s="15" t="str">
        <f t="shared" si="154"/>
        <v/>
      </c>
      <c r="EP44" s="15" t="str">
        <f t="shared" si="154"/>
        <v/>
      </c>
      <c r="EQ44" s="15" t="str">
        <f t="shared" si="154"/>
        <v/>
      </c>
      <c r="ER44" s="15" t="str">
        <f t="shared" si="154"/>
        <v/>
      </c>
      <c r="ES44" s="15" t="str">
        <f t="shared" si="154"/>
        <v/>
      </c>
      <c r="ET44" s="15" t="str">
        <f t="shared" si="154"/>
        <v/>
      </c>
      <c r="EU44" s="15" t="str">
        <f t="shared" si="154"/>
        <v/>
      </c>
      <c r="EV44" s="15" t="str">
        <f t="shared" si="154"/>
        <v/>
      </c>
      <c r="EW44" s="15" t="str">
        <f t="shared" si="154"/>
        <v/>
      </c>
      <c r="EX44" s="15" t="str">
        <f t="shared" si="154"/>
        <v/>
      </c>
      <c r="EY44" s="15" t="str">
        <f t="shared" si="154"/>
        <v/>
      </c>
      <c r="EZ44" s="15" t="str">
        <f t="shared" si="154"/>
        <v/>
      </c>
      <c r="FA44" s="15" t="str">
        <f t="shared" si="154"/>
        <v/>
      </c>
      <c r="FB44" s="15" t="str">
        <f t="shared" si="154"/>
        <v/>
      </c>
      <c r="FC44" s="15" t="str">
        <f t="shared" si="154"/>
        <v/>
      </c>
      <c r="FD44" s="15" t="str">
        <f t="shared" si="154"/>
        <v/>
      </c>
      <c r="FE44" s="15" t="str">
        <f t="shared" si="154"/>
        <v/>
      </c>
      <c r="FF44" s="15" t="str">
        <f t="shared" si="154"/>
        <v/>
      </c>
      <c r="FG44" s="15" t="str">
        <f t="shared" si="154"/>
        <v/>
      </c>
      <c r="FH44" s="15" t="str">
        <f t="shared" si="154"/>
        <v/>
      </c>
      <c r="FI44" s="15" t="str">
        <f t="shared" si="154"/>
        <v/>
      </c>
      <c r="FJ44" s="15" t="str">
        <f t="shared" si="154"/>
        <v/>
      </c>
      <c r="FK44" s="15" t="str">
        <f t="shared" si="154"/>
        <v/>
      </c>
      <c r="FL44" s="15">
        <f>FL42+5</f>
        <v>60</v>
      </c>
      <c r="FM44" s="15" t="str">
        <f ca="1">OFFSET($FM$75,FL44,0)</f>
        <v/>
      </c>
      <c r="FN44" s="15" t="str">
        <f ca="1">OFFSET($FN$75,FL44,0)</f>
        <v/>
      </c>
      <c r="FO44" s="244"/>
      <c r="FP44" s="245"/>
      <c r="FQ44" s="245"/>
      <c r="FR44" s="245"/>
      <c r="FS44" s="245"/>
      <c r="FT44" s="245"/>
      <c r="FU44" s="245"/>
      <c r="FV44" s="245"/>
      <c r="FW44" s="245"/>
      <c r="FX44" s="245"/>
      <c r="FY44" s="245"/>
      <c r="FZ44" s="245"/>
      <c r="GA44" s="245"/>
      <c r="GB44" s="245"/>
      <c r="GC44" s="245"/>
      <c r="GD44" s="245"/>
      <c r="GE44" s="245"/>
      <c r="GF44" s="245"/>
      <c r="GG44" s="245"/>
      <c r="GH44" s="245"/>
      <c r="GI44" s="245"/>
      <c r="GJ44" s="245"/>
      <c r="GK44" s="245"/>
      <c r="GL44" s="245"/>
      <c r="GM44" s="245"/>
      <c r="GN44" s="245"/>
      <c r="GO44" s="245"/>
      <c r="GP44" s="245"/>
      <c r="GQ44" s="245"/>
      <c r="GR44" s="246"/>
      <c r="GS44" s="15"/>
      <c r="GT44" s="15"/>
      <c r="GU44" s="15"/>
      <c r="GV44" s="15"/>
      <c r="GW44" s="15"/>
      <c r="GX44" s="15"/>
      <c r="GY44" s="15"/>
      <c r="GZ44" s="15"/>
      <c r="HA44" s="15" t="str">
        <f>IF($F43="Hybrid - Thrust + 2 connections",COUNTBLANK(J43:L43),"")</f>
        <v/>
      </c>
      <c r="HB44" s="15"/>
      <c r="HC44" s="5"/>
      <c r="HD44" s="5"/>
      <c r="HE44" s="5"/>
      <c r="HF44" s="5"/>
    </row>
    <row r="45" spans="1:214" ht="12.75" customHeight="1" x14ac:dyDescent="0.3">
      <c r="A45" s="118" t="str">
        <f>IF(AND(E43="",A43&lt;&gt;""),IF(CP43=$CP$18,"",IF(C43&lt;&gt;"",IF(D43=59,MINUTE(CP43)+1,MINUTE(CP43)),"")),"")</f>
        <v/>
      </c>
      <c r="B45" s="119" t="str">
        <f>IF(AND(E43="",B43&lt;&gt;""),IF(CP43=$CP$18,"",IF(C43&lt;&gt;"",IF(D43=59,0,SECOND(CP43)+1),"")),"")</f>
        <v/>
      </c>
      <c r="C45" s="119"/>
      <c r="D45" s="119"/>
      <c r="E45" s="119"/>
      <c r="F45" s="57"/>
      <c r="G45" s="120" t="str">
        <f>IF(F45&lt;&gt;"",IF(OR(F45="Transition",F45="Transition - Surface Connection"),0,MAX($G$19:G44)+1),"")</f>
        <v/>
      </c>
      <c r="H45" s="223" t="str">
        <f>IFERROR(IF(E46="3","",IF(OR(F45="Hybrid - min 4 swimmers (no DD)",LEFT(F45,5)="Trans"),"No DD",CONCATENATE("BM = ",I46))),"")</f>
        <v/>
      </c>
      <c r="I45" s="224"/>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2"/>
      <c r="AO45" s="123"/>
      <c r="AP45" s="52"/>
      <c r="AQ45" s="52"/>
      <c r="AR45" s="12"/>
      <c r="AS45" s="12"/>
      <c r="AT45" s="12"/>
      <c r="AU45" s="12"/>
      <c r="AV45" s="12"/>
      <c r="AW45" s="12"/>
      <c r="AX45" s="12"/>
      <c r="AY45" s="12"/>
      <c r="AZ45" s="12"/>
      <c r="BA45" s="12"/>
      <c r="BB45" s="12"/>
      <c r="BC45" s="12"/>
      <c r="BD45" s="12"/>
      <c r="BE45" s="12"/>
      <c r="BF45" s="12"/>
      <c r="BG45" s="12" t="str">
        <f t="array" ref="BG45">IFERROR(IF(F45&lt;&gt;"",INDEX(Parts_Active,MATCH(F45,Parts_Active,0)),""),"No")</f>
        <v/>
      </c>
      <c r="BH45" s="12"/>
      <c r="BI45" s="12" t="str">
        <f>IF($E46="H",IF($F45="Hybrid - Thrust + 2 connections","Hybrid_Mix_Req",IF($F45="Hybrid - min 4 swimmers (no DD)","Hybrid_ChoHY","HybridDD_Code")),IF($E46=3,"TreDD_Code",IF($E46="PA","AcroPair_Code",IF(LEFT($F45,4)="Acro",CONCATENATE(BI$16,$E46,"_Code"),"Data!$BI$1:$BI$5"))))</f>
        <v>Data!$BI$1:$BI$5</v>
      </c>
      <c r="BJ45" s="12" t="str">
        <f t="shared" ref="BJ45:BQ45" si="155">IF($E46="H",IF($F45="Hybrid - Thrust + 2 connections","Hybrid_Mix_Req",IF($F45="Hybrid - min 4 swimmers (no DD)","Data!$BI$1:$BI$5","HybridDD_Code")),IF($E46=3,"TreDD_Code",IF($E46="PA","AcroPair_Code",IF(LEFT($F45,4)="Acro",CONCATENATE(BJ$16,$E46,"_Code"),"Data!$BI$1:$BI$5"))))</f>
        <v>Data!$BI$1:$BI$5</v>
      </c>
      <c r="BK45" s="12" t="str">
        <f t="shared" si="155"/>
        <v>Data!$BI$1:$BI$5</v>
      </c>
      <c r="BL45" s="12" t="str">
        <f t="shared" si="155"/>
        <v>Data!$BI$1:$BI$5</v>
      </c>
      <c r="BM45" s="12" t="str">
        <f t="shared" si="155"/>
        <v>Data!$BI$1:$BI$5</v>
      </c>
      <c r="BN45" s="12" t="str">
        <f t="shared" si="155"/>
        <v>Data!$BI$1:$BI$5</v>
      </c>
      <c r="BO45" s="12" t="str">
        <f t="shared" si="155"/>
        <v>Data!$BI$1:$BI$5</v>
      </c>
      <c r="BP45" s="12" t="str">
        <f t="shared" si="155"/>
        <v>Data!$BI$1:$BI$5</v>
      </c>
      <c r="BQ45" s="12" t="str">
        <f t="shared" si="155"/>
        <v>Data!$BI$1:$BI$5</v>
      </c>
      <c r="BR45" s="12" t="str">
        <f>IF($E46="H",IF($F45="Hybrid - Thrust + 2 connections","Data!$BI$1:$BI$5","HybridDD_Code"),"Data!$BI$1:$BI$5")</f>
        <v>Data!$BI$1:$BI$5</v>
      </c>
      <c r="BS45" s="12" t="str">
        <f t="shared" ref="BS45:CL45" si="156">$BR45</f>
        <v>Data!$BI$1:$BI$5</v>
      </c>
      <c r="BT45" s="12" t="str">
        <f t="shared" si="156"/>
        <v>Data!$BI$1:$BI$5</v>
      </c>
      <c r="BU45" s="12" t="str">
        <f t="shared" si="156"/>
        <v>Data!$BI$1:$BI$5</v>
      </c>
      <c r="BV45" s="12" t="str">
        <f t="shared" si="156"/>
        <v>Data!$BI$1:$BI$5</v>
      </c>
      <c r="BW45" s="12" t="str">
        <f t="shared" si="156"/>
        <v>Data!$BI$1:$BI$5</v>
      </c>
      <c r="BX45" s="12" t="str">
        <f t="shared" si="156"/>
        <v>Data!$BI$1:$BI$5</v>
      </c>
      <c r="BY45" s="12" t="str">
        <f t="shared" si="156"/>
        <v>Data!$BI$1:$BI$5</v>
      </c>
      <c r="BZ45" s="12" t="str">
        <f t="shared" si="156"/>
        <v>Data!$BI$1:$BI$5</v>
      </c>
      <c r="CA45" s="12" t="str">
        <f t="shared" si="156"/>
        <v>Data!$BI$1:$BI$5</v>
      </c>
      <c r="CB45" s="12" t="str">
        <f t="shared" si="156"/>
        <v>Data!$BI$1:$BI$5</v>
      </c>
      <c r="CC45" s="12" t="str">
        <f t="shared" si="156"/>
        <v>Data!$BI$1:$BI$5</v>
      </c>
      <c r="CD45" s="12" t="str">
        <f t="shared" si="156"/>
        <v>Data!$BI$1:$BI$5</v>
      </c>
      <c r="CE45" s="12" t="str">
        <f t="shared" si="156"/>
        <v>Data!$BI$1:$BI$5</v>
      </c>
      <c r="CF45" s="12" t="str">
        <f t="shared" si="156"/>
        <v>Data!$BI$1:$BI$5</v>
      </c>
      <c r="CG45" s="12" t="str">
        <f t="shared" si="156"/>
        <v>Data!$BI$1:$BI$5</v>
      </c>
      <c r="CH45" s="12" t="str">
        <f t="shared" si="156"/>
        <v>Data!$BI$1:$BI$5</v>
      </c>
      <c r="CI45" s="12" t="str">
        <f t="shared" si="156"/>
        <v>Data!$BI$1:$BI$5</v>
      </c>
      <c r="CJ45" s="12" t="str">
        <f t="shared" si="156"/>
        <v>Data!$BI$1:$BI$5</v>
      </c>
      <c r="CK45" s="12" t="str">
        <f t="shared" si="156"/>
        <v>Data!$BI$1:$BI$5</v>
      </c>
      <c r="CL45" s="12" t="str">
        <f t="shared" si="156"/>
        <v>Data!$BI$1:$BI$5</v>
      </c>
      <c r="CM45" s="12"/>
      <c r="CN45" s="12"/>
      <c r="CO45" s="63" t="str">
        <f>IFERROR(TIME(0,A45,B45),"")</f>
        <v/>
      </c>
      <c r="CP45" s="63">
        <f>IFERROR(TIME(0,C45,D45),"")</f>
        <v>0</v>
      </c>
      <c r="CQ45" s="63" t="str">
        <f>IF(CP45&gt;$D$12,"X","")</f>
        <v/>
      </c>
      <c r="CR45" s="15" t="str">
        <f>IF(AND(F45="Hybrid - Thrust + 2 connections",OR(LEFT(J45,1)="T",LEFT(K45,1)="T",LEFT(L45,1)="T",LEFT(OY45,1)="T",LEFT(M45,1)="T",LEFT(N45,1)="T",LEFT(O45,1)="T",LEFT(P45,1)="T",LEFT(Q45,1)="T",LEFT(R45,1)="T",LEFT(S45,1)="T",LEFT(T45,1)="T",LEFT(U45,1)="T",LEFT(V45,1)="T",LEFT(W45,1)="T",LEFT(X45,1)="T",LEFT(AK45,1)="T",LEFT(AL45,1)="T",LEFT(AM45,1)="T")),IF(OR(LEN(J45)=2,LEN(K45)=2,LEN(L45)=2,LEN(M45)=2,LEN(N45)=2,LEN(O45)=2,LEN(P45)=2,LEN(Q45)=2,LEN(R45)=2,LEN(S45)=2,LEN(T45)=2,LEN(U45)=2,LEN(V45)=2,LEN(W45)=2,LEN(X45)=2,LEN(Y45)=2,LEN(Z45)=2,LEN(AK45)=2,LEN(AL45)=2,LEN(AM45)=2),"X",""),"")</f>
        <v/>
      </c>
      <c r="CS45" s="5"/>
      <c r="CT45" s="15" t="str">
        <f>IF(LEFT(F45,4)="Acro",IF(AND(N45&lt;&gt;"",M45=RIGHT(N45,2)),"X","OK"),"")</f>
        <v/>
      </c>
      <c r="CU45" s="12" t="str">
        <f t="array" ref="CU45">IFERROR(IF(AND(LEFT($F45,4)="Acro",INDEX(Requ_App,MATCH(BI45,Requ_Code,0))="No"),"X",""),"")</f>
        <v/>
      </c>
      <c r="CV45" s="12" t="str">
        <f t="array" ref="CV45">IFERROR(IF(AND(LEFT($F45,4)="Acro",INDEX(Requ_App,MATCH(BJ45,Requ_Code,0))="No"),"X",""),"")</f>
        <v/>
      </c>
      <c r="CW45" s="12" t="str">
        <f t="array" ref="CW45">IFERROR(IF(AND(LEFT($F45,4)="Acro",INDEX(Requ_App,MATCH(BK45,Requ_Code,0))="No"),"X",""),"")</f>
        <v/>
      </c>
      <c r="CX45" s="12" t="str">
        <f t="array" ref="CX45">IFERROR(IF(AND(LEFT($F45,4)="Acro",INDEX(Requ_App,MATCH(BL45,Requ_Code,0))="No"),"X",""),"")</f>
        <v/>
      </c>
      <c r="CY45" s="12" t="str">
        <f t="array" ref="CY45">IFERROR(IF(AND(LEFT($F45,4)="Acro",INDEX(Requ_App,MATCH(BM45,Requ_Code,0))="No"),"X",""),"")</f>
        <v/>
      </c>
      <c r="CZ45" s="12" t="str">
        <f t="array" ref="CZ45">IFERROR(IF(AND(LEFT($F45,4)="Acro",INDEX(Requ_App,MATCH(BN45,Requ_Code,0))="No"),"X",""),"")</f>
        <v/>
      </c>
      <c r="DA45" s="12" t="str">
        <f t="array" ref="DA45">IFERROR(IF(AND(LEFT($F45,4)="Acro",INDEX(Requ_App,MATCH(BO45,Requ_Code,0))="No"),"X",""),"")</f>
        <v/>
      </c>
      <c r="DB45" s="12" t="str">
        <f t="array" ref="DB45">IFERROR(IF(AND(LEFT($F45,4)="Acro",INDEX(Requ_App,MATCH(BP45,Requ_Code,0))="No"),"X",""),"")</f>
        <v/>
      </c>
      <c r="DC45" s="12" t="str">
        <f t="array" ref="DC45">IFERROR(IF(AND(LEFT($F45,4)="Acro",INDEX(Requ_App,MATCH(BP45,Requ_Code,0))="No"),"X",""),"")</f>
        <v/>
      </c>
      <c r="DD45" s="15" t="str">
        <f t="shared" si="10"/>
        <v/>
      </c>
      <c r="DE45" s="15" t="str">
        <f t="shared" si="11"/>
        <v/>
      </c>
      <c r="DF45" s="15" t="str">
        <f t="shared" si="12"/>
        <v/>
      </c>
      <c r="DG45" s="15" t="str">
        <f t="shared" si="13"/>
        <v/>
      </c>
      <c r="DH45" s="15"/>
      <c r="DI45" s="15"/>
      <c r="DJ45" s="15"/>
      <c r="DK45" s="15">
        <f>IF(AND(E46="A",OR(Q45="Grip",Q45="Conn",Q45="Catch")),"A1",IF(AND(E46="A",OR(Q45="Hula",Q45="RetSq",Q45="RetPa")),"A2",IF(AND(E46="B",OR(Q45="Twirl",Q45="RotF")),"B1",IF(AND(E46="B",OR(Q45="Moon",Q45="Mov")),"B2",IF(AND(E46="B",Q45="Hold"),"B3",IF(AND(E46="P",OR(Q45="Porp",Q45="Spitch")),"P1",IF(AND(E46="P",OR(Q45="Dive",Q45="Ps1",Q45="Ps1t0.5",Q45="Ps1op",Q45="Ps1t0,5o",Q45="Ps1t1",Q45="CH+")),"P2",IF(AND(E46="P",OR(Q45="Spider",Q45="Climb")),"P3",IF(AND(E46="P",OR(Q45="Fall",Q45="FTurn")),"P4",IF(AND(E46="C",OR(Q45="Jump",Q45="Jump&gt;",Q45="On1Foot",Q45="1F&gt;1F")),"C1",IF(AND(E46="C",OR(Q45="Run",Q45="BRun")),"C2",1)))))))))))</f>
        <v>1</v>
      </c>
      <c r="DL45" s="15">
        <f>IF(AND(E46="A",OR(R45="Grip",R45="Conn",R45="Catch")),"A1",IF(AND(E46="A",OR(R45="Hula",R45="RetSq",R45="RetPa")),"A2",IF(AND(E46="B",OR(R45="Twirl",R45="RotF")),"B1",IF(AND(E46="B",OR(R45="Moon",R45="Mov")),"B3",IF(AND(E46="B",R45="Hold"),"B2",IF(AND(E46="P",OR(R45="Porp",R45="Spitch")),"P1",IF(AND(E46="P",OR(R45="Dive",R45="Ps1",R45="Ps1t0.5",R45="Ps1op",R45="Ps1t0,5o",R45="Ps1t1",R45="CH+")),"P2",IF(AND(E46="P",OR(R45="Spider",R45="Climb")),"P3",IF(AND(E46="P",OR(R45="Fall",R45="FTurn")),"P4",IF(AND(E46="C",OR(R45="Jump",R45="Jump&gt;",R45="On1Foot",R45="1F&gt;1F")),"C1",IF(AND(E46="C",OR(R45="Run",R45="BRun")),"C2",2)))))))))))</f>
        <v>2</v>
      </c>
      <c r="DM45" s="15" t="str">
        <f>IF(AND(LEFT(F45,4)="Acro",Q45&lt;&gt;"",OR(Q45=R45,DK45=DL45)),IF(R45="C-Roll","","X"),IF(OR(AND(E46="A",Q45="Catch",R45&lt;&gt;"Dbl"),AND(E46="A",R45="Catch",Q45&lt;&gt;"Dbl")),"X",""))</f>
        <v/>
      </c>
      <c r="DN45" s="15" t="str">
        <f>IF(E46="PA",J45,"")</f>
        <v/>
      </c>
      <c r="DO45" s="15">
        <v>27</v>
      </c>
      <c r="DP45" s="15"/>
      <c r="DQ45" s="15" t="str">
        <f t="shared" ref="DQ45:DR45" si="157">IF(AND($E46="A",COUNTIF($DZ$19:$EA$68,DZ45)&gt;1),DZ45,"")</f>
        <v/>
      </c>
      <c r="DR45" s="15" t="str">
        <f t="shared" si="157"/>
        <v/>
      </c>
      <c r="DS45" s="15" t="str">
        <f ca="1">IF(AND($E46="B",COUNTIF($J$19:$J$68,J45)&gt;1),J45,"")</f>
        <v/>
      </c>
      <c r="DT45" s="15" t="str">
        <f ca="1">IF(AND($E46="B",COUNTIF($K$19:$K$68,K45)&gt;1),K45,"")</f>
        <v/>
      </c>
      <c r="DU45" s="15" t="str">
        <f ca="1">IF(AND($E46="C",COUNTIF($J$19:$J$68,J45)&gt;1),J45,"")</f>
        <v/>
      </c>
      <c r="DV45" s="15" t="str">
        <f ca="1">IF(AND($E46="P",COUNTIF($J$19:$J$68,J45)&gt;1),J45,"")</f>
        <v/>
      </c>
      <c r="DW45" s="15" t="str">
        <f ca="1">IF(AND($E46="P",COUNTIF($K$19:$K$68,K45)&gt;1),K45,"")</f>
        <v/>
      </c>
      <c r="DX45" s="15" t="str">
        <f t="shared" ref="DX45:DY45" si="158">IF(AND($E46="P",COUNTIF($DZ$19:$EA$68,DZ45)&gt;1),DZ45,"")</f>
        <v/>
      </c>
      <c r="DY45" s="15" t="str">
        <f t="shared" si="158"/>
        <v/>
      </c>
      <c r="DZ45" s="15" t="str">
        <f>IFERROR(IF(OR(E46="A",E46="P"),M45,""),"")</f>
        <v/>
      </c>
      <c r="EA45" s="15" t="str">
        <f>IFERROR(IF(OR(E46="A",E46="P"),RIGHT(N45,2),""),"")</f>
        <v/>
      </c>
      <c r="EB45" s="15"/>
      <c r="EC45" s="15" t="str">
        <f>IF(AND($F$8="Open Team Acrobatic",LEFT(F45,4)="Acro"),E46,"")</f>
        <v/>
      </c>
      <c r="ED45" s="15" t="str">
        <f>IFERROR(IF(HLOOKUP(EC45,$DQ$12:$DT$13,2,FALSE)&gt;2,"X",""),"")</f>
        <v/>
      </c>
      <c r="EE45" s="15"/>
      <c r="EF45" s="15" t="str">
        <f>IF(OR(AND(F45="Hybrid - Thrust + 2 connections",EF46="T"),AND(E46="H",EF46&lt;&gt;"")),"X","")</f>
        <v/>
      </c>
      <c r="EG45" s="15"/>
      <c r="EH45" s="15">
        <f t="shared" ref="EH45:EX45" si="159">IFERROR(IF(AND($E46="H",J45&lt;&gt;""),IF(OR(LEFT(J45,1)="T",LEFT(J45,1)="S",LEFT(J45,1)="A",LEFT(J45,1)="F",LEFT(J45,1)="C"),LEFT(J45,1),"R"),EH$18),"")</f>
        <v>1</v>
      </c>
      <c r="EI45" s="15">
        <f t="shared" si="159"/>
        <v>2</v>
      </c>
      <c r="EJ45" s="15">
        <f t="shared" si="159"/>
        <v>3</v>
      </c>
      <c r="EK45" s="15">
        <f t="shared" si="159"/>
        <v>4</v>
      </c>
      <c r="EL45" s="15">
        <f t="shared" si="159"/>
        <v>5</v>
      </c>
      <c r="EM45" s="15">
        <f t="shared" si="159"/>
        <v>6</v>
      </c>
      <c r="EN45" s="15">
        <f t="shared" si="159"/>
        <v>7</v>
      </c>
      <c r="EO45" s="15">
        <f t="shared" si="159"/>
        <v>8</v>
      </c>
      <c r="EP45" s="15">
        <f t="shared" si="159"/>
        <v>9</v>
      </c>
      <c r="EQ45" s="15">
        <f t="shared" si="159"/>
        <v>10</v>
      </c>
      <c r="ER45" s="15">
        <f t="shared" si="159"/>
        <v>11</v>
      </c>
      <c r="ES45" s="15">
        <f t="shared" si="159"/>
        <v>12</v>
      </c>
      <c r="ET45" s="15">
        <f t="shared" si="159"/>
        <v>13</v>
      </c>
      <c r="EU45" s="15">
        <f t="shared" si="159"/>
        <v>14</v>
      </c>
      <c r="EV45" s="15">
        <f t="shared" si="159"/>
        <v>15</v>
      </c>
      <c r="EW45" s="15">
        <f t="shared" si="159"/>
        <v>16</v>
      </c>
      <c r="EX45" s="15">
        <f t="shared" si="159"/>
        <v>17</v>
      </c>
      <c r="EY45" s="15">
        <f t="shared" ref="EY45:FK45" si="160">IFERROR(IF(AND($E46="H",AK45&lt;&gt;""),IF(OR(LEFT(AK45,1)="T",LEFT(AK45,1)="S",LEFT(AK45,1)="A",LEFT(AK45,1)="F",LEFT(AK45,1)="C"),LEFT(AK45,1),"R"),EY$18),"")</f>
        <v>18</v>
      </c>
      <c r="EZ45" s="15">
        <f t="shared" si="160"/>
        <v>19</v>
      </c>
      <c r="FA45" s="15">
        <f t="shared" si="160"/>
        <v>20</v>
      </c>
      <c r="FB45" s="15">
        <f t="shared" si="160"/>
        <v>21</v>
      </c>
      <c r="FC45" s="15">
        <f t="shared" si="160"/>
        <v>22</v>
      </c>
      <c r="FD45" s="15">
        <f t="shared" si="160"/>
        <v>23</v>
      </c>
      <c r="FE45" s="15">
        <f t="shared" si="160"/>
        <v>24</v>
      </c>
      <c r="FF45" s="15">
        <f t="shared" si="160"/>
        <v>25</v>
      </c>
      <c r="FG45" s="15">
        <f t="shared" si="160"/>
        <v>26</v>
      </c>
      <c r="FH45" s="15">
        <f t="shared" si="160"/>
        <v>27</v>
      </c>
      <c r="FI45" s="15">
        <f t="shared" si="160"/>
        <v>28</v>
      </c>
      <c r="FJ45" s="15">
        <f t="shared" si="160"/>
        <v>29</v>
      </c>
      <c r="FK45" s="15">
        <f t="shared" si="160"/>
        <v>30</v>
      </c>
      <c r="FL45" s="15"/>
      <c r="FM45" s="15"/>
      <c r="FN45" s="15"/>
      <c r="FO45" s="244"/>
      <c r="FP45" s="245"/>
      <c r="FQ45" s="245"/>
      <c r="FR45" s="245"/>
      <c r="FS45" s="245"/>
      <c r="FT45" s="245"/>
      <c r="FU45" s="245"/>
      <c r="FV45" s="245"/>
      <c r="FW45" s="245"/>
      <c r="FX45" s="245"/>
      <c r="FY45" s="245"/>
      <c r="FZ45" s="245"/>
      <c r="GA45" s="245"/>
      <c r="GB45" s="245"/>
      <c r="GC45" s="245"/>
      <c r="GD45" s="245"/>
      <c r="GE45" s="245"/>
      <c r="GF45" s="245"/>
      <c r="GG45" s="245"/>
      <c r="GH45" s="245"/>
      <c r="GI45" s="245"/>
      <c r="GJ45" s="245"/>
      <c r="GK45" s="245"/>
      <c r="GL45" s="245"/>
      <c r="GM45" s="245"/>
      <c r="GN45" s="245"/>
      <c r="GO45" s="245"/>
      <c r="GP45" s="245"/>
      <c r="GQ45" s="245"/>
      <c r="GR45" s="246"/>
      <c r="GS45" s="15"/>
      <c r="GT45" s="15">
        <f t="shared" ref="GT45:GY45" si="161">COUNTIF($EH45:$FK45,GT$18)</f>
        <v>0</v>
      </c>
      <c r="GU45" s="15">
        <f t="shared" si="161"/>
        <v>0</v>
      </c>
      <c r="GV45" s="15">
        <f t="shared" si="161"/>
        <v>0</v>
      </c>
      <c r="GW45" s="15">
        <f t="shared" si="161"/>
        <v>0</v>
      </c>
      <c r="GX45" s="15">
        <f t="shared" si="161"/>
        <v>0</v>
      </c>
      <c r="GY45" s="15">
        <f t="shared" si="161"/>
        <v>0</v>
      </c>
      <c r="GZ45" s="15"/>
      <c r="HA45" s="15" t="str">
        <f>IF(AND($F45="Hybrid - Thrust + 2 connections",HA46=0,LEFT($J45,1)="C",LEFT($K45,1)="C",LEFT($L45,1)="C"),"X","")</f>
        <v/>
      </c>
      <c r="HB45" s="15"/>
      <c r="HC45" s="5"/>
      <c r="HD45" s="124"/>
      <c r="HE45" s="124"/>
      <c r="HF45" s="5" t="str">
        <f>IF(E46=3,_xludf.NUMBERVALUE(LEFT(J45,1)),"")</f>
        <v/>
      </c>
    </row>
    <row r="46" spans="1:214" ht="12.75" customHeight="1" x14ac:dyDescent="0.3">
      <c r="A46" s="118"/>
      <c r="B46" s="119"/>
      <c r="C46" s="119"/>
      <c r="D46" s="119"/>
      <c r="E46" s="50" t="str">
        <f>IF(F45="Acrobatic - Pair","PA",IF(F45="Acrobatic Airborn","A",IF(F45="Acrobatic Balance","B",IF(F45="Acrobatic Combined","C",IF(F45="Acrobatic Platform","P",IF(F45="Technical Required Element",3,IF(LEFT(F45,4)="Hybr","H","")))))))</f>
        <v/>
      </c>
      <c r="F46" s="50" t="str">
        <f>IF(AND(F45="Hybrid - Thrust + 2 connections",CR45="X"),"Hybrid - Thrust",IF(OR(E46="A",E46="B",E46="C",E46="P"),"Acrobatic",""))</f>
        <v/>
      </c>
      <c r="G46" s="120"/>
      <c r="H46" s="126" t="str">
        <f>IF(E46="PA",IF(OR(LEFT(J45,1)="L",LEFT(J45,1)="S"),"A-Pair-Lift",IF(OR(LEFT(J45,1)="W",LEFT(J45,1)="T"),"A-Pair-Throw",IF(LEFT(J45,1)="J","A-Pair-Jump","A-Pair"))),IF(OR(E46="A",E46="B",E46="C",E46="P"),CONCATENATE("Acro-",E46),""))</f>
        <v/>
      </c>
      <c r="I46" s="127" t="e">
        <f t="array" ref="I46">IF(OR(F45="Hybrid - min 4 swimmers (no DD)",LEFT(F45,5)="Trans"),0,INDEX($BY$3:$BY$9,MATCH(E46,$BX$3:$BX$9,0)))</f>
        <v>#N/A</v>
      </c>
      <c r="J46" s="128">
        <f t="array" aca="1" ref="J46" ca="1">IFERROR(IF($H45="No DD",IF(J45="ChoHY",1,0),IF(OR(ISBLANK(J45),J45="N/A"),0,INDEX(INDIRECT(BI46),MATCH(J45,INDIRECT(BI45),0)))),0)</f>
        <v>0</v>
      </c>
      <c r="K46" s="128">
        <f t="shared" ref="K46:AM46" ca="1" si="162">IFERROR(IF($H45="No DD",0,IF(OR(ISBLANK(K45),K45="N/A"),0,INDEX(INDIRECT(BJ46),MATCH(K45,INDIRECT(BJ45),0)))),0)</f>
        <v>0</v>
      </c>
      <c r="L46" s="128">
        <f t="shared" ca="1" si="162"/>
        <v>0</v>
      </c>
      <c r="M46" s="128">
        <f t="shared" ca="1" si="162"/>
        <v>0</v>
      </c>
      <c r="N46" s="128">
        <f t="shared" ca="1" si="162"/>
        <v>0</v>
      </c>
      <c r="O46" s="128">
        <f t="shared" ca="1" si="162"/>
        <v>0</v>
      </c>
      <c r="P46" s="128">
        <f t="shared" ca="1" si="162"/>
        <v>0</v>
      </c>
      <c r="Q46" s="128">
        <f t="shared" ca="1" si="162"/>
        <v>0</v>
      </c>
      <c r="R46" s="128">
        <f t="shared" ca="1" si="162"/>
        <v>0</v>
      </c>
      <c r="S46" s="128">
        <f t="shared" ca="1" si="162"/>
        <v>0</v>
      </c>
      <c r="T46" s="128">
        <f t="shared" ca="1" si="162"/>
        <v>0</v>
      </c>
      <c r="U46" s="128">
        <f t="shared" ca="1" si="162"/>
        <v>0</v>
      </c>
      <c r="V46" s="128">
        <f t="shared" ca="1" si="162"/>
        <v>0</v>
      </c>
      <c r="W46" s="128">
        <f t="shared" ca="1" si="162"/>
        <v>0</v>
      </c>
      <c r="X46" s="128">
        <f t="shared" ca="1" si="162"/>
        <v>0</v>
      </c>
      <c r="Y46" s="128">
        <f t="shared" ca="1" si="162"/>
        <v>0</v>
      </c>
      <c r="Z46" s="128">
        <f t="shared" ca="1" si="162"/>
        <v>0</v>
      </c>
      <c r="AA46" s="128">
        <f t="shared" ca="1" si="162"/>
        <v>0</v>
      </c>
      <c r="AB46" s="128">
        <f t="shared" ca="1" si="162"/>
        <v>0</v>
      </c>
      <c r="AC46" s="128">
        <f t="shared" ca="1" si="162"/>
        <v>0</v>
      </c>
      <c r="AD46" s="128">
        <f t="shared" ca="1" si="162"/>
        <v>0</v>
      </c>
      <c r="AE46" s="128">
        <f t="shared" ca="1" si="162"/>
        <v>0</v>
      </c>
      <c r="AF46" s="128">
        <f t="shared" ca="1" si="162"/>
        <v>0</v>
      </c>
      <c r="AG46" s="128">
        <f t="shared" ca="1" si="162"/>
        <v>0</v>
      </c>
      <c r="AH46" s="128">
        <f t="shared" ca="1" si="162"/>
        <v>0</v>
      </c>
      <c r="AI46" s="128">
        <f t="shared" ca="1" si="162"/>
        <v>0</v>
      </c>
      <c r="AJ46" s="128">
        <f t="shared" ca="1" si="162"/>
        <v>0</v>
      </c>
      <c r="AK46" s="128">
        <f t="shared" ca="1" si="162"/>
        <v>0</v>
      </c>
      <c r="AL46" s="128">
        <f t="shared" ca="1" si="162"/>
        <v>0</v>
      </c>
      <c r="AM46" s="128">
        <f t="shared" ca="1" si="162"/>
        <v>0</v>
      </c>
      <c r="AN46" s="129" t="str">
        <f t="array" ref="AN46">IFERROR(IF(E46="H",INDEX(HybridBonus_Value,MATCH(AN45,HybridBonus_Code,0)),""),"")</f>
        <v/>
      </c>
      <c r="AO46" s="130" t="str">
        <f>IFERROR(SUM(I46:AN46),"")</f>
        <v/>
      </c>
      <c r="AP46" s="132"/>
      <c r="AQ46" s="132"/>
      <c r="AR46" s="131"/>
      <c r="AS46" s="131"/>
      <c r="AT46" s="131"/>
      <c r="AU46" s="131"/>
      <c r="AV46" s="131"/>
      <c r="AW46" s="131"/>
      <c r="AX46" s="131"/>
      <c r="AY46" s="131"/>
      <c r="AZ46" s="131"/>
      <c r="BA46" s="131"/>
      <c r="BB46" s="131"/>
      <c r="BC46" s="131"/>
      <c r="BD46" s="131"/>
      <c r="BE46" s="131"/>
      <c r="BF46" s="131"/>
      <c r="BG46" s="12"/>
      <c r="BH46" s="131"/>
      <c r="BI46" s="5" t="str">
        <f t="shared" ref="BI46:BQ46" si="163">IF($E46="H",IF($F45="Hybrid - Thrust + 2 connections","Hybrid_Mix_Req_Value","HybridDD_Value"),IF($E46=3,"TreDD_Value",IF($E46="PA","AcroPair_Value",IF(LEFT($F45,4)="Acro",CONCATENATE(BI$16,$E46,"_Value"),""))))</f>
        <v/>
      </c>
      <c r="BJ46" s="5" t="str">
        <f t="shared" si="163"/>
        <v/>
      </c>
      <c r="BK46" s="5" t="str">
        <f t="shared" si="163"/>
        <v/>
      </c>
      <c r="BL46" s="5" t="str">
        <f t="shared" si="163"/>
        <v/>
      </c>
      <c r="BM46" s="5" t="str">
        <f t="shared" si="163"/>
        <v/>
      </c>
      <c r="BN46" s="5" t="str">
        <f t="shared" si="163"/>
        <v/>
      </c>
      <c r="BO46" s="5" t="str">
        <f t="shared" si="163"/>
        <v/>
      </c>
      <c r="BP46" s="5" t="str">
        <f t="shared" si="163"/>
        <v/>
      </c>
      <c r="BQ46" s="5" t="str">
        <f t="shared" si="163"/>
        <v/>
      </c>
      <c r="BR46" s="12" t="str">
        <f t="shared" ref="BR46:CL46" si="164">IF($E46="H",IF($F45="Hybrid - Thrust + 2 connections","Data!$BI$1:$BI$5","HybridDD_Value"),"Data!$BI$1:$BI$5")</f>
        <v>Data!$BI$1:$BI$5</v>
      </c>
      <c r="BS46" s="12" t="str">
        <f t="shared" si="164"/>
        <v>Data!$BI$1:$BI$5</v>
      </c>
      <c r="BT46" s="12" t="str">
        <f t="shared" si="164"/>
        <v>Data!$BI$1:$BI$5</v>
      </c>
      <c r="BU46" s="12" t="str">
        <f t="shared" si="164"/>
        <v>Data!$BI$1:$BI$5</v>
      </c>
      <c r="BV46" s="12" t="str">
        <f t="shared" si="164"/>
        <v>Data!$BI$1:$BI$5</v>
      </c>
      <c r="BW46" s="12" t="str">
        <f t="shared" si="164"/>
        <v>Data!$BI$1:$BI$5</v>
      </c>
      <c r="BX46" s="12" t="str">
        <f t="shared" si="164"/>
        <v>Data!$BI$1:$BI$5</v>
      </c>
      <c r="BY46" s="12" t="str">
        <f t="shared" si="164"/>
        <v>Data!$BI$1:$BI$5</v>
      </c>
      <c r="BZ46" s="12" t="str">
        <f t="shared" si="164"/>
        <v>Data!$BI$1:$BI$5</v>
      </c>
      <c r="CA46" s="12" t="str">
        <f t="shared" si="164"/>
        <v>Data!$BI$1:$BI$5</v>
      </c>
      <c r="CB46" s="12" t="str">
        <f t="shared" si="164"/>
        <v>Data!$BI$1:$BI$5</v>
      </c>
      <c r="CC46" s="12" t="str">
        <f t="shared" si="164"/>
        <v>Data!$BI$1:$BI$5</v>
      </c>
      <c r="CD46" s="12" t="str">
        <f t="shared" si="164"/>
        <v>Data!$BI$1:$BI$5</v>
      </c>
      <c r="CE46" s="12" t="str">
        <f t="shared" si="164"/>
        <v>Data!$BI$1:$BI$5</v>
      </c>
      <c r="CF46" s="12" t="str">
        <f t="shared" si="164"/>
        <v>Data!$BI$1:$BI$5</v>
      </c>
      <c r="CG46" s="12" t="str">
        <f t="shared" si="164"/>
        <v>Data!$BI$1:$BI$5</v>
      </c>
      <c r="CH46" s="12" t="str">
        <f t="shared" si="164"/>
        <v>Data!$BI$1:$BI$5</v>
      </c>
      <c r="CI46" s="12" t="str">
        <f t="shared" si="164"/>
        <v>Data!$BI$1:$BI$5</v>
      </c>
      <c r="CJ46" s="12" t="str">
        <f t="shared" si="164"/>
        <v>Data!$BI$1:$BI$5</v>
      </c>
      <c r="CK46" s="12" t="str">
        <f t="shared" si="164"/>
        <v>Data!$BI$1:$BI$5</v>
      </c>
      <c r="CL46" s="12" t="str">
        <f t="shared" si="164"/>
        <v>Data!$BI$1:$BI$5</v>
      </c>
      <c r="CM46" s="131"/>
      <c r="CN46" s="131"/>
      <c r="CO46" s="124" t="str">
        <f>IFERROR(IF(AND($BV$6="T",$BV$8="T",LEFT(F45,4)="Acro",AO46&gt;3),"X",IF($N$7="X",IF(AND(E46="C",AO46&gt;$CN$6),"X",IF(AND(E46="A",AO46&gt;$CN$4),"X",IF(AND(E46="B",AO46&gt;$CN$5),"X",IF(AND(E46="P",AO46&gt;$CN$7),"X","")))),"")),"")</f>
        <v/>
      </c>
      <c r="CP46" s="63"/>
      <c r="CQ46" s="5"/>
      <c r="CR46" s="15"/>
      <c r="CS46" s="5"/>
      <c r="CT46" s="5"/>
      <c r="CU46" s="5"/>
      <c r="CV46" s="5"/>
      <c r="CW46" s="5"/>
      <c r="CX46" s="5"/>
      <c r="CY46" s="5"/>
      <c r="CZ46" s="5"/>
      <c r="DA46" s="15"/>
      <c r="DB46" s="15"/>
      <c r="DC46" s="15"/>
      <c r="DD46" s="15" t="str">
        <f t="shared" si="10"/>
        <v/>
      </c>
      <c r="DE46" s="15" t="str">
        <f t="shared" si="11"/>
        <v/>
      </c>
      <c r="DF46" s="15" t="str">
        <f t="shared" si="12"/>
        <v/>
      </c>
      <c r="DG46" s="15" t="str">
        <f t="shared" si="13"/>
        <v/>
      </c>
      <c r="DH46" s="15"/>
      <c r="DI46" s="15"/>
      <c r="DJ46" s="15"/>
      <c r="DK46" s="15"/>
      <c r="DL46" s="15"/>
      <c r="DM46" s="15"/>
      <c r="DN46" s="15"/>
      <c r="DO46" s="15">
        <v>28</v>
      </c>
      <c r="DP46" s="15"/>
      <c r="DQ46" s="15"/>
      <c r="DR46" s="15"/>
      <c r="DS46" s="15"/>
      <c r="DT46" s="15"/>
      <c r="DU46" s="15"/>
      <c r="DV46" s="15"/>
      <c r="DW46" s="15"/>
      <c r="DX46" s="15"/>
      <c r="DY46" s="15"/>
      <c r="DZ46" s="15"/>
      <c r="EA46" s="15"/>
      <c r="EB46" s="15"/>
      <c r="EC46" s="15"/>
      <c r="ED46" s="15"/>
      <c r="EE46" s="15"/>
      <c r="EF46" s="15" t="str">
        <f t="array" ref="EF46">IFERROR(INDEX(EH46:FK46,MATCH(TRUE,INDEX((EH46:FK46&lt;&gt;""),),0)),"")</f>
        <v/>
      </c>
      <c r="EG46" s="15"/>
      <c r="EH46" s="15" t="str">
        <f t="shared" ref="EH46:FK46" si="165">IF(F45="Hybrid - Thrust + 2 connections",IF(COUNTIF($EH45:$FA45,EH45)&gt;1,EH45,""),IF(COUNTIF($EH45:$FA45,EH45)&gt;5,EH45,""))</f>
        <v/>
      </c>
      <c r="EI46" s="15" t="str">
        <f t="shared" si="165"/>
        <v/>
      </c>
      <c r="EJ46" s="15" t="str">
        <f t="shared" si="165"/>
        <v/>
      </c>
      <c r="EK46" s="15" t="str">
        <f t="shared" si="165"/>
        <v/>
      </c>
      <c r="EL46" s="15" t="str">
        <f t="shared" si="165"/>
        <v/>
      </c>
      <c r="EM46" s="15" t="str">
        <f t="shared" si="165"/>
        <v/>
      </c>
      <c r="EN46" s="15" t="str">
        <f t="shared" si="165"/>
        <v/>
      </c>
      <c r="EO46" s="15" t="str">
        <f t="shared" si="165"/>
        <v/>
      </c>
      <c r="EP46" s="15" t="str">
        <f t="shared" si="165"/>
        <v/>
      </c>
      <c r="EQ46" s="15" t="str">
        <f t="shared" si="165"/>
        <v/>
      </c>
      <c r="ER46" s="15" t="str">
        <f t="shared" si="165"/>
        <v/>
      </c>
      <c r="ES46" s="15" t="str">
        <f t="shared" si="165"/>
        <v/>
      </c>
      <c r="ET46" s="15" t="str">
        <f t="shared" si="165"/>
        <v/>
      </c>
      <c r="EU46" s="15" t="str">
        <f t="shared" si="165"/>
        <v/>
      </c>
      <c r="EV46" s="15" t="str">
        <f t="shared" si="165"/>
        <v/>
      </c>
      <c r="EW46" s="15" t="str">
        <f t="shared" si="165"/>
        <v/>
      </c>
      <c r="EX46" s="15" t="str">
        <f t="shared" si="165"/>
        <v/>
      </c>
      <c r="EY46" s="15" t="str">
        <f t="shared" si="165"/>
        <v/>
      </c>
      <c r="EZ46" s="15" t="str">
        <f t="shared" si="165"/>
        <v/>
      </c>
      <c r="FA46" s="15" t="str">
        <f t="shared" si="165"/>
        <v/>
      </c>
      <c r="FB46" s="15" t="str">
        <f t="shared" si="165"/>
        <v/>
      </c>
      <c r="FC46" s="15" t="str">
        <f t="shared" si="165"/>
        <v/>
      </c>
      <c r="FD46" s="15" t="str">
        <f t="shared" si="165"/>
        <v/>
      </c>
      <c r="FE46" s="15" t="str">
        <f t="shared" si="165"/>
        <v/>
      </c>
      <c r="FF46" s="15" t="str">
        <f t="shared" si="165"/>
        <v/>
      </c>
      <c r="FG46" s="15" t="str">
        <f t="shared" si="165"/>
        <v/>
      </c>
      <c r="FH46" s="15" t="str">
        <f t="shared" si="165"/>
        <v/>
      </c>
      <c r="FI46" s="15" t="str">
        <f t="shared" si="165"/>
        <v/>
      </c>
      <c r="FJ46" s="15" t="str">
        <f t="shared" si="165"/>
        <v/>
      </c>
      <c r="FK46" s="15" t="str">
        <f t="shared" si="165"/>
        <v/>
      </c>
      <c r="FL46" s="15">
        <f>FL44+5</f>
        <v>65</v>
      </c>
      <c r="FM46" s="15" t="str">
        <f ca="1">OFFSET($FM$75,FL46,0)</f>
        <v/>
      </c>
      <c r="FN46" s="15" t="str">
        <f ca="1">OFFSET($FN$75,FL46,0)</f>
        <v/>
      </c>
      <c r="FO46" s="244"/>
      <c r="FP46" s="245"/>
      <c r="FQ46" s="245"/>
      <c r="FR46" s="245"/>
      <c r="FS46" s="245"/>
      <c r="FT46" s="245"/>
      <c r="FU46" s="245"/>
      <c r="FV46" s="245"/>
      <c r="FW46" s="245"/>
      <c r="FX46" s="245"/>
      <c r="FY46" s="245"/>
      <c r="FZ46" s="245"/>
      <c r="GA46" s="245"/>
      <c r="GB46" s="245"/>
      <c r="GC46" s="245"/>
      <c r="GD46" s="245"/>
      <c r="GE46" s="245"/>
      <c r="GF46" s="245"/>
      <c r="GG46" s="245"/>
      <c r="GH46" s="245"/>
      <c r="GI46" s="245"/>
      <c r="GJ46" s="245"/>
      <c r="GK46" s="245"/>
      <c r="GL46" s="245"/>
      <c r="GM46" s="245"/>
      <c r="GN46" s="245"/>
      <c r="GO46" s="245"/>
      <c r="GP46" s="245"/>
      <c r="GQ46" s="245"/>
      <c r="GR46" s="246"/>
      <c r="GS46" s="15"/>
      <c r="GT46" s="15"/>
      <c r="GU46" s="15"/>
      <c r="GV46" s="15"/>
      <c r="GW46" s="15"/>
      <c r="GX46" s="15"/>
      <c r="GY46" s="15"/>
      <c r="GZ46" s="15"/>
      <c r="HA46" s="15" t="str">
        <f>IF($F45="Hybrid - Thrust + 2 connections",COUNTBLANK(J45:L45),"")</f>
        <v/>
      </c>
      <c r="HB46" s="15"/>
      <c r="HC46" s="5"/>
      <c r="HD46" s="5"/>
      <c r="HE46" s="5"/>
      <c r="HF46" s="5"/>
    </row>
    <row r="47" spans="1:214" ht="12.75" customHeight="1" x14ac:dyDescent="0.3">
      <c r="A47" s="118" t="str">
        <f>IF(AND(E45="",A45&lt;&gt;""),IF(CP45=$CP$18,"",IF(C45&lt;&gt;"",IF(D45=59,MINUTE(CP45)+1,MINUTE(CP45)),"")),"")</f>
        <v/>
      </c>
      <c r="B47" s="119" t="str">
        <f>IF(AND(E45="",B45&lt;&gt;""),IF(CP45=$CP$18,"",IF(C45&lt;&gt;"",IF(D45=59,0,SECOND(CP45)+1),"")),"")</f>
        <v/>
      </c>
      <c r="C47" s="119"/>
      <c r="D47" s="119"/>
      <c r="E47" s="119"/>
      <c r="F47" s="57"/>
      <c r="G47" s="120" t="str">
        <f>IF(F47&lt;&gt;"",IF(OR(F47="Transition",F47="Transition - Surface Connection"),0,MAX($G$19:G46)+1),"")</f>
        <v/>
      </c>
      <c r="H47" s="223" t="str">
        <f>IFERROR(IF(E48="3","",IF(OR(F47="Hybrid - min 4 swimmers (no DD)",LEFT(F47,5)="Trans"),"No DD",CONCATENATE("BM = ",I48))),"")</f>
        <v/>
      </c>
      <c r="I47" s="224"/>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2"/>
      <c r="AO47" s="123"/>
      <c r="AP47" s="52"/>
      <c r="AQ47" s="52"/>
      <c r="AR47" s="12"/>
      <c r="AS47" s="12"/>
      <c r="AT47" s="12"/>
      <c r="AU47" s="12"/>
      <c r="AV47" s="12"/>
      <c r="AW47" s="12"/>
      <c r="AX47" s="12"/>
      <c r="AY47" s="12"/>
      <c r="AZ47" s="12"/>
      <c r="BA47" s="12"/>
      <c r="BB47" s="12"/>
      <c r="BC47" s="12"/>
      <c r="BD47" s="12"/>
      <c r="BE47" s="12"/>
      <c r="BF47" s="12"/>
      <c r="BG47" s="12" t="str">
        <f t="array" ref="BG47">IFERROR(IF(F47&lt;&gt;"",INDEX(Parts_Active,MATCH(F47,Parts_Active,0)),""),"No")</f>
        <v/>
      </c>
      <c r="BH47" s="12"/>
      <c r="BI47" s="12" t="str">
        <f>IF($E48="H",IF($F47="Hybrid - Thrust + 2 connections","Hybrid_Mix_Req",IF($F47="Hybrid - min 4 swimmers (no DD)","Hybrid_ChoHY","HybridDD_Code")),IF($E48=3,"TreDD_Code",IF($E48="PA","AcroPair_Code",IF(LEFT($F47,4)="Acro",CONCATENATE(BI$16,$E48,"_Code"),"Data!$BI$1:$BI$5"))))</f>
        <v>Data!$BI$1:$BI$5</v>
      </c>
      <c r="BJ47" s="12" t="str">
        <f t="shared" ref="BJ47:BQ47" si="166">IF($E48="H",IF($F47="Hybrid - Thrust + 2 connections","Hybrid_Mix_Req",IF($F47="Hybrid - min 4 swimmers (no DD)","Data!$BI$1:$BI$5","HybridDD_Code")),IF($E48=3,"TreDD_Code",IF($E48="PA","AcroPair_Code",IF(LEFT($F47,4)="Acro",CONCATENATE(BJ$16,$E48,"_Code"),"Data!$BI$1:$BI$5"))))</f>
        <v>Data!$BI$1:$BI$5</v>
      </c>
      <c r="BK47" s="12" t="str">
        <f t="shared" si="166"/>
        <v>Data!$BI$1:$BI$5</v>
      </c>
      <c r="BL47" s="12" t="str">
        <f t="shared" si="166"/>
        <v>Data!$BI$1:$BI$5</v>
      </c>
      <c r="BM47" s="12" t="str">
        <f t="shared" si="166"/>
        <v>Data!$BI$1:$BI$5</v>
      </c>
      <c r="BN47" s="12" t="str">
        <f t="shared" si="166"/>
        <v>Data!$BI$1:$BI$5</v>
      </c>
      <c r="BO47" s="12" t="str">
        <f t="shared" si="166"/>
        <v>Data!$BI$1:$BI$5</v>
      </c>
      <c r="BP47" s="12" t="str">
        <f t="shared" si="166"/>
        <v>Data!$BI$1:$BI$5</v>
      </c>
      <c r="BQ47" s="12" t="str">
        <f t="shared" si="166"/>
        <v>Data!$BI$1:$BI$5</v>
      </c>
      <c r="BR47" s="12" t="str">
        <f>IF($E48="H",IF($F47="Hybrid - Thrust + 2 connections","Data!$BI$1:$BI$5","HybridDD_Code"),"Data!$BI$1:$BI$5")</f>
        <v>Data!$BI$1:$BI$5</v>
      </c>
      <c r="BS47" s="12" t="str">
        <f t="shared" ref="BS47:CL47" si="167">$BR47</f>
        <v>Data!$BI$1:$BI$5</v>
      </c>
      <c r="BT47" s="12" t="str">
        <f t="shared" si="167"/>
        <v>Data!$BI$1:$BI$5</v>
      </c>
      <c r="BU47" s="12" t="str">
        <f t="shared" si="167"/>
        <v>Data!$BI$1:$BI$5</v>
      </c>
      <c r="BV47" s="12" t="str">
        <f t="shared" si="167"/>
        <v>Data!$BI$1:$BI$5</v>
      </c>
      <c r="BW47" s="12" t="str">
        <f t="shared" si="167"/>
        <v>Data!$BI$1:$BI$5</v>
      </c>
      <c r="BX47" s="12" t="str">
        <f t="shared" si="167"/>
        <v>Data!$BI$1:$BI$5</v>
      </c>
      <c r="BY47" s="12" t="str">
        <f t="shared" si="167"/>
        <v>Data!$BI$1:$BI$5</v>
      </c>
      <c r="BZ47" s="12" t="str">
        <f t="shared" si="167"/>
        <v>Data!$BI$1:$BI$5</v>
      </c>
      <c r="CA47" s="12" t="str">
        <f t="shared" si="167"/>
        <v>Data!$BI$1:$BI$5</v>
      </c>
      <c r="CB47" s="12" t="str">
        <f t="shared" si="167"/>
        <v>Data!$BI$1:$BI$5</v>
      </c>
      <c r="CC47" s="12" t="str">
        <f t="shared" si="167"/>
        <v>Data!$BI$1:$BI$5</v>
      </c>
      <c r="CD47" s="12" t="str">
        <f t="shared" si="167"/>
        <v>Data!$BI$1:$BI$5</v>
      </c>
      <c r="CE47" s="12" t="str">
        <f t="shared" si="167"/>
        <v>Data!$BI$1:$BI$5</v>
      </c>
      <c r="CF47" s="12" t="str">
        <f t="shared" si="167"/>
        <v>Data!$BI$1:$BI$5</v>
      </c>
      <c r="CG47" s="12" t="str">
        <f t="shared" si="167"/>
        <v>Data!$BI$1:$BI$5</v>
      </c>
      <c r="CH47" s="12" t="str">
        <f t="shared" si="167"/>
        <v>Data!$BI$1:$BI$5</v>
      </c>
      <c r="CI47" s="12" t="str">
        <f t="shared" si="167"/>
        <v>Data!$BI$1:$BI$5</v>
      </c>
      <c r="CJ47" s="12" t="str">
        <f t="shared" si="167"/>
        <v>Data!$BI$1:$BI$5</v>
      </c>
      <c r="CK47" s="12" t="str">
        <f t="shared" si="167"/>
        <v>Data!$BI$1:$BI$5</v>
      </c>
      <c r="CL47" s="12" t="str">
        <f t="shared" si="167"/>
        <v>Data!$BI$1:$BI$5</v>
      </c>
      <c r="CM47" s="12"/>
      <c r="CN47" s="12"/>
      <c r="CO47" s="63" t="str">
        <f>IFERROR(TIME(0,A47,B47),"")</f>
        <v/>
      </c>
      <c r="CP47" s="63">
        <f>IFERROR(TIME(0,C47,D47),"")</f>
        <v>0</v>
      </c>
      <c r="CQ47" s="63" t="str">
        <f>IF(CP47&gt;$D$12,"X","")</f>
        <v/>
      </c>
      <c r="CR47" s="15" t="str">
        <f>IF(AND(F47="Hybrid - Thrust + 2 connections",OR(LEFT(J47,1)="T",LEFT(K47,1)="T",LEFT(L47,1)="T",LEFT(OY47,1)="T",LEFT(M47,1)="T",LEFT(N47,1)="T",LEFT(O47,1)="T",LEFT(P47,1)="T",LEFT(Q47,1)="T",LEFT(R47,1)="T",LEFT(S47,1)="T",LEFT(T47,1)="T",LEFT(U47,1)="T",LEFT(V47,1)="T",LEFT(W47,1)="T",LEFT(X47,1)="T",LEFT(AK47,1)="T",LEFT(AL47,1)="T",LEFT(AM47,1)="T")),IF(OR(LEN(J47)=2,LEN(K47)=2,LEN(L47)=2,LEN(M47)=2,LEN(N47)=2,LEN(O47)=2,LEN(P47)=2,LEN(Q47)=2,LEN(R47)=2,LEN(S47)=2,LEN(T47)=2,LEN(U47)=2,LEN(V47)=2,LEN(W47)=2,LEN(X47)=2,LEN(Y47)=2,LEN(Z47)=2,LEN(AK47)=2,LEN(AL47)=2,LEN(AM47)=2),"X",""),"")</f>
        <v/>
      </c>
      <c r="CS47" s="5" t="str">
        <f>IF(F47="Hybrid",SECOND(CP47),"")</f>
        <v/>
      </c>
      <c r="CT47" s="15" t="str">
        <f>IF(LEFT(F47,4)="Acro",IF(AND(N47&lt;&gt;"",M47=RIGHT(N47,2)),"X","OK"),"")</f>
        <v/>
      </c>
      <c r="CU47" s="12" t="str">
        <f t="array" ref="CU47">IFERROR(IF(AND(LEFT($F47,4)="Acro",INDEX(Requ_App,MATCH(BI47,Requ_Code,0))="No"),"X",""),"")</f>
        <v/>
      </c>
      <c r="CV47" s="12" t="str">
        <f t="array" ref="CV47">IFERROR(IF(AND(LEFT($F47,4)="Acro",INDEX(Requ_App,MATCH(BJ47,Requ_Code,0))="No"),"X",""),"")</f>
        <v/>
      </c>
      <c r="CW47" s="12" t="str">
        <f t="array" ref="CW47">IFERROR(IF(AND(LEFT($F47,4)="Acro",INDEX(Requ_App,MATCH(BK47,Requ_Code,0))="No"),"X",""),"")</f>
        <v/>
      </c>
      <c r="CX47" s="12" t="str">
        <f t="array" ref="CX47">IFERROR(IF(AND(LEFT($F47,4)="Acro",INDEX(Requ_App,MATCH(BL47,Requ_Code,0))="No"),"X",""),"")</f>
        <v/>
      </c>
      <c r="CY47" s="12" t="str">
        <f t="array" ref="CY47">IFERROR(IF(AND(LEFT($F47,4)="Acro",INDEX(Requ_App,MATCH(BM47,Requ_Code,0))="No"),"X",""),"")</f>
        <v/>
      </c>
      <c r="CZ47" s="12" t="str">
        <f t="array" ref="CZ47">IFERROR(IF(AND(LEFT($F47,4)="Acro",INDEX(Requ_App,MATCH(BN47,Requ_Code,0))="No"),"X",""),"")</f>
        <v/>
      </c>
      <c r="DA47" s="12" t="str">
        <f t="array" ref="DA47">IFERROR(IF(AND(LEFT($F47,4)="Acro",INDEX(Requ_App,MATCH(BO47,Requ_Code,0))="No"),"X",""),"")</f>
        <v/>
      </c>
      <c r="DB47" s="12" t="str">
        <f t="array" ref="DB47">IFERROR(IF(AND(LEFT($F47,4)="Acro",INDEX(Requ_App,MATCH(BP47,Requ_Code,0))="No"),"X",""),"")</f>
        <v/>
      </c>
      <c r="DC47" s="12" t="str">
        <f t="array" ref="DC47">IFERROR(IF(AND(LEFT($F47,4)="Acro",INDEX(Requ_App,MATCH(BP47,Requ_Code,0))="No"),"X",""),"")</f>
        <v/>
      </c>
      <c r="DD47" s="15" t="str">
        <f t="shared" si="10"/>
        <v/>
      </c>
      <c r="DE47" s="15" t="str">
        <f t="shared" si="11"/>
        <v/>
      </c>
      <c r="DF47" s="15" t="str">
        <f t="shared" si="12"/>
        <v/>
      </c>
      <c r="DG47" s="15" t="str">
        <f t="shared" si="13"/>
        <v/>
      </c>
      <c r="DH47" s="15"/>
      <c r="DI47" s="15"/>
      <c r="DJ47" s="15"/>
      <c r="DK47" s="15">
        <f>IF(AND(E48="A",OR(Q47="Grip",Q47="Conn",Q47="Catch")),"A1",IF(AND(E48="A",OR(Q47="Hula",Q47="RetSq",Q47="RetPa")),"A2",IF(AND(E48="B",OR(Q47="Twirl",Q47="RotF")),"B1",IF(AND(E48="B",OR(Q47="Moon",Q47="Mov")),"B2",IF(AND(E48="B",Q47="Hold"),"B3",IF(AND(E48="P",OR(Q47="Porp",Q47="Spitch")),"P1",IF(AND(E48="P",OR(Q47="Dive",Q47="Ps1",Q47="Ps1t0.5",Q47="Ps1op",Q47="Ps1t0,5o",Q47="Ps1t1",Q47="CH+")),"P2",IF(AND(E48="P",OR(Q47="Spider",Q47="Climb")),"P3",IF(AND(E48="P",OR(Q47="Fall",Q47="FTurn")),"P4",IF(AND(E48="C",OR(Q47="Jump",Q47="Jump&gt;",Q47="On1Foot",Q47="1F&gt;1F")),"C1",IF(AND(E48="C",OR(Q47="Run",Q47="BRun")),"C2",1)))))))))))</f>
        <v>1</v>
      </c>
      <c r="DL47" s="15">
        <f>IF(AND(E48="A",OR(R47="Grip",R47="Conn",R47="Catch")),"A1",IF(AND(E48="A",OR(R47="Hula",R47="RetSq",R47="RetPa")),"A2",IF(AND(E48="B",OR(R47="Twirl",R47="RotF")),"B1",IF(AND(E48="B",OR(R47="Moon",R47="Mov")),"B3",IF(AND(E48="B",R47="Hold"),"B2",IF(AND(E48="P",OR(R47="Porp",R47="Spitch")),"P1",IF(AND(E48="P",OR(R47="Dive",R47="Ps1",R47="Ps1t0.5",R47="Ps1op",R47="Ps1t0,5o",R47="Ps1t1",R47="CH+")),"P2",IF(AND(E48="P",OR(R47="Spider",R47="Climb")),"P3",IF(AND(E48="P",OR(R47="Fall",R47="FTurn")),"P4",IF(AND(E48="C",OR(R47="Jump",R47="Jump&gt;",R47="On1Foot",R47="1F&gt;1F")),"C1",IF(AND(E48="C",OR(R47="Run",R47="BRun")),"C2",2)))))))))))</f>
        <v>2</v>
      </c>
      <c r="DM47" s="15" t="str">
        <f>IF(AND(LEFT(F47,4)="Acro",Q47&lt;&gt;"",OR(Q47=R47,DK47=DL47)),IF(R47="C-Roll","","X"),IF(OR(AND(E48="A",Q47="Catch",R47&lt;&gt;"Dbl"),AND(E48="A",R47="Catch",Q47&lt;&gt;"Dbl")),"X",""))</f>
        <v/>
      </c>
      <c r="DN47" s="15" t="str">
        <f>IF(E48="PA",J47,"")</f>
        <v/>
      </c>
      <c r="DO47" s="15">
        <v>29</v>
      </c>
      <c r="DP47" s="15"/>
      <c r="DQ47" s="15" t="str">
        <f t="shared" ref="DQ47:DR47" si="168">IF(AND($E48="A",COUNTIF($DZ$19:$EA$68,DZ47)&gt;1),DZ47,"")</f>
        <v/>
      </c>
      <c r="DR47" s="15" t="str">
        <f t="shared" si="168"/>
        <v/>
      </c>
      <c r="DS47" s="15" t="str">
        <f ca="1">IF(AND($E48="B",COUNTIF($J$19:$J$68,J47)&gt;1),J47,"")</f>
        <v/>
      </c>
      <c r="DT47" s="15" t="str">
        <f ca="1">IF(AND($E48="B",COUNTIF($K$19:$K$68,K47)&gt;1),K47,"")</f>
        <v/>
      </c>
      <c r="DU47" s="15" t="str">
        <f ca="1">IF(AND($E48="C",COUNTIF($J$19:$J$68,J47)&gt;1),J47,"")</f>
        <v/>
      </c>
      <c r="DV47" s="15" t="str">
        <f ca="1">IF(AND($E48="P",COUNTIF($J$19:$J$68,J47)&gt;1),J47,"")</f>
        <v/>
      </c>
      <c r="DW47" s="15" t="str">
        <f ca="1">IF(AND($E48="P",COUNTIF($K$19:$K$68,K47)&gt;1),K47,"")</f>
        <v/>
      </c>
      <c r="DX47" s="15" t="str">
        <f t="shared" ref="DX47:DY47" si="169">IF(AND($E48="P",COUNTIF($DZ$19:$EA$68,DZ47)&gt;1),DZ47,"")</f>
        <v/>
      </c>
      <c r="DY47" s="15" t="str">
        <f t="shared" si="169"/>
        <v/>
      </c>
      <c r="DZ47" s="15" t="str">
        <f>IFERROR(IF(OR(E48="A",E48="P"),M47,""),"")</f>
        <v/>
      </c>
      <c r="EA47" s="15" t="str">
        <f>IFERROR(IF(OR(E48="A",E48="P"),RIGHT(N47,2),""),"")</f>
        <v/>
      </c>
      <c r="EB47" s="15"/>
      <c r="EC47" s="15" t="str">
        <f>IF(AND($F$8="Open Team Acrobatic",LEFT(F47,4)="Acro"),E48,"")</f>
        <v/>
      </c>
      <c r="ED47" s="15" t="str">
        <f>IFERROR(IF(HLOOKUP(EC47,$DQ$12:$DT$13,2,FALSE)&gt;2,"X",""),"")</f>
        <v/>
      </c>
      <c r="EE47" s="15"/>
      <c r="EF47" s="15" t="str">
        <f>IF(OR(AND(F47="Hybrid - Thrust + 2 connections",EF48="T"),AND(E48="H",EF48&lt;&gt;"")),"X","")</f>
        <v/>
      </c>
      <c r="EG47" s="15"/>
      <c r="EH47" s="15">
        <f t="shared" ref="EH47:EX47" si="170">IFERROR(IF(AND($E48="H",J47&lt;&gt;""),IF(OR(LEFT(J47,1)="T",LEFT(J47,1)="S",LEFT(J47,1)="A",LEFT(J47,1)="F",LEFT(J47,1)="C"),LEFT(J47,1),"R"),EH$18),"")</f>
        <v>1</v>
      </c>
      <c r="EI47" s="15">
        <f t="shared" si="170"/>
        <v>2</v>
      </c>
      <c r="EJ47" s="15">
        <f t="shared" si="170"/>
        <v>3</v>
      </c>
      <c r="EK47" s="15">
        <f t="shared" si="170"/>
        <v>4</v>
      </c>
      <c r="EL47" s="15">
        <f t="shared" si="170"/>
        <v>5</v>
      </c>
      <c r="EM47" s="15">
        <f t="shared" si="170"/>
        <v>6</v>
      </c>
      <c r="EN47" s="15">
        <f t="shared" si="170"/>
        <v>7</v>
      </c>
      <c r="EO47" s="15">
        <f t="shared" si="170"/>
        <v>8</v>
      </c>
      <c r="EP47" s="15">
        <f t="shared" si="170"/>
        <v>9</v>
      </c>
      <c r="EQ47" s="15">
        <f t="shared" si="170"/>
        <v>10</v>
      </c>
      <c r="ER47" s="15">
        <f t="shared" si="170"/>
        <v>11</v>
      </c>
      <c r="ES47" s="15">
        <f t="shared" si="170"/>
        <v>12</v>
      </c>
      <c r="ET47" s="15">
        <f t="shared" si="170"/>
        <v>13</v>
      </c>
      <c r="EU47" s="15">
        <f t="shared" si="170"/>
        <v>14</v>
      </c>
      <c r="EV47" s="15">
        <f t="shared" si="170"/>
        <v>15</v>
      </c>
      <c r="EW47" s="15">
        <f t="shared" si="170"/>
        <v>16</v>
      </c>
      <c r="EX47" s="15">
        <f t="shared" si="170"/>
        <v>17</v>
      </c>
      <c r="EY47" s="15">
        <f t="shared" ref="EY47:FK47" si="171">IFERROR(IF(AND($E48="H",AK47&lt;&gt;""),IF(OR(LEFT(AK47,1)="T",LEFT(AK47,1)="S",LEFT(AK47,1)="A",LEFT(AK47,1)="F",LEFT(AK47,1)="C"),LEFT(AK47,1),"R"),EY$18),"")</f>
        <v>18</v>
      </c>
      <c r="EZ47" s="15">
        <f t="shared" si="171"/>
        <v>19</v>
      </c>
      <c r="FA47" s="15">
        <f t="shared" si="171"/>
        <v>20</v>
      </c>
      <c r="FB47" s="15">
        <f t="shared" si="171"/>
        <v>21</v>
      </c>
      <c r="FC47" s="15">
        <f t="shared" si="171"/>
        <v>22</v>
      </c>
      <c r="FD47" s="15">
        <f t="shared" si="171"/>
        <v>23</v>
      </c>
      <c r="FE47" s="15">
        <f t="shared" si="171"/>
        <v>24</v>
      </c>
      <c r="FF47" s="15">
        <f t="shared" si="171"/>
        <v>25</v>
      </c>
      <c r="FG47" s="15">
        <f t="shared" si="171"/>
        <v>26</v>
      </c>
      <c r="FH47" s="15">
        <f t="shared" si="171"/>
        <v>27</v>
      </c>
      <c r="FI47" s="15">
        <f t="shared" si="171"/>
        <v>28</v>
      </c>
      <c r="FJ47" s="15">
        <f t="shared" si="171"/>
        <v>29</v>
      </c>
      <c r="FK47" s="15">
        <f t="shared" si="171"/>
        <v>30</v>
      </c>
      <c r="FL47" s="15"/>
      <c r="FM47" s="15"/>
      <c r="FN47" s="15"/>
      <c r="FO47" s="244"/>
      <c r="FP47" s="245"/>
      <c r="FQ47" s="245"/>
      <c r="FR47" s="245"/>
      <c r="FS47" s="245"/>
      <c r="FT47" s="245"/>
      <c r="FU47" s="245"/>
      <c r="FV47" s="245"/>
      <c r="FW47" s="245"/>
      <c r="FX47" s="245"/>
      <c r="FY47" s="245"/>
      <c r="FZ47" s="245"/>
      <c r="GA47" s="245"/>
      <c r="GB47" s="245"/>
      <c r="GC47" s="245"/>
      <c r="GD47" s="245"/>
      <c r="GE47" s="245"/>
      <c r="GF47" s="245"/>
      <c r="GG47" s="245"/>
      <c r="GH47" s="245"/>
      <c r="GI47" s="245"/>
      <c r="GJ47" s="245"/>
      <c r="GK47" s="245"/>
      <c r="GL47" s="245"/>
      <c r="GM47" s="245"/>
      <c r="GN47" s="245"/>
      <c r="GO47" s="245"/>
      <c r="GP47" s="245"/>
      <c r="GQ47" s="245"/>
      <c r="GR47" s="246"/>
      <c r="GS47" s="15"/>
      <c r="GT47" s="15">
        <f t="shared" ref="GT47:GY47" si="172">COUNTIF($EH47:$FK47,GT$18)</f>
        <v>0</v>
      </c>
      <c r="GU47" s="15">
        <f t="shared" si="172"/>
        <v>0</v>
      </c>
      <c r="GV47" s="15">
        <f t="shared" si="172"/>
        <v>0</v>
      </c>
      <c r="GW47" s="15">
        <f t="shared" si="172"/>
        <v>0</v>
      </c>
      <c r="GX47" s="15">
        <f t="shared" si="172"/>
        <v>0</v>
      </c>
      <c r="GY47" s="15">
        <f t="shared" si="172"/>
        <v>0</v>
      </c>
      <c r="GZ47" s="15"/>
      <c r="HA47" s="15" t="str">
        <f>IF(AND($F47="Hybrid - Thrust + 2 connections",HA48=0,LEFT($J47,1)="C",LEFT($K47,1)="C",LEFT($L47,1)="C"),"X","")</f>
        <v/>
      </c>
      <c r="HB47" s="15"/>
      <c r="HC47" s="5"/>
      <c r="HD47" s="124"/>
      <c r="HE47" s="124"/>
      <c r="HF47" s="5" t="str">
        <f>IF(E48=3,_xludf.NUMBERVALUE(LEFT(J47,1)),"")</f>
        <v/>
      </c>
    </row>
    <row r="48" spans="1:214" ht="12.75" customHeight="1" x14ac:dyDescent="0.3">
      <c r="A48" s="118"/>
      <c r="B48" s="119"/>
      <c r="C48" s="119"/>
      <c r="D48" s="119"/>
      <c r="E48" s="50" t="str">
        <f>IF(F47="Acrobatic - Pair","PA",IF(F47="Acrobatic Airborn","A",IF(F47="Acrobatic Balance","B",IF(F47="Acrobatic Combined","C",IF(F47="Acrobatic Platform","P",IF(F47="Technical Required Element",3,IF(LEFT(F47,4)="Hybr","H","")))))))</f>
        <v/>
      </c>
      <c r="F48" s="50" t="str">
        <f>IF(AND(F47="Hybrid - Thrust + 2 connections",CR47="X"),"Hybrid - Thrust",IF(OR(E48="A",E48="B",E48="C",E48="P"),"Acrobatic",""))</f>
        <v/>
      </c>
      <c r="G48" s="120"/>
      <c r="H48" s="126" t="str">
        <f>IF(E48="PA",IF(OR(LEFT(J47,1)="L",LEFT(J47,1)="S"),"A-Pair-Lift",IF(OR(LEFT(J47,1)="W",LEFT(J47,1)="T"),"A-Pair-Throw",IF(LEFT(J47,1)="J","A-Pair-Jump","A-Pair"))),IF(OR(E48="A",E48="B",E48="C",E48="P"),CONCATENATE("Acro-",E48),""))</f>
        <v/>
      </c>
      <c r="I48" s="127" t="e">
        <f t="array" ref="I48">IF(OR(F47="Hybrid - min 4 swimmers (no DD)",LEFT(F47,5)="Trans"),0,INDEX($BY$3:$BY$9,MATCH(E48,$BX$3:$BX$9,0)))</f>
        <v>#N/A</v>
      </c>
      <c r="J48" s="128">
        <f t="array" aca="1" ref="J48" ca="1">IFERROR(IF($H47="No DD",IF(J47="ChoHY",1,0),IF(OR(ISBLANK(J47),J47="N/A"),0,INDEX(INDIRECT(BI48),MATCH(J47,INDIRECT(BI47),0)))),0)</f>
        <v>0</v>
      </c>
      <c r="K48" s="128">
        <f t="shared" ref="K48:AM48" ca="1" si="173">IFERROR(IF($H47="No DD",0,IF(OR(ISBLANK(K47),K47="N/A"),0,INDEX(INDIRECT(BJ48),MATCH(K47,INDIRECT(BJ47),0)))),0)</f>
        <v>0</v>
      </c>
      <c r="L48" s="128">
        <f t="shared" ca="1" si="173"/>
        <v>0</v>
      </c>
      <c r="M48" s="128">
        <f t="shared" ca="1" si="173"/>
        <v>0</v>
      </c>
      <c r="N48" s="128">
        <f t="shared" ca="1" si="173"/>
        <v>0</v>
      </c>
      <c r="O48" s="128">
        <f t="shared" ca="1" si="173"/>
        <v>0</v>
      </c>
      <c r="P48" s="128">
        <f t="shared" ca="1" si="173"/>
        <v>0</v>
      </c>
      <c r="Q48" s="128">
        <f t="shared" ca="1" si="173"/>
        <v>0</v>
      </c>
      <c r="R48" s="128">
        <f t="shared" ca="1" si="173"/>
        <v>0</v>
      </c>
      <c r="S48" s="128">
        <f t="shared" ca="1" si="173"/>
        <v>0</v>
      </c>
      <c r="T48" s="128">
        <f t="shared" ca="1" si="173"/>
        <v>0</v>
      </c>
      <c r="U48" s="128">
        <f t="shared" ca="1" si="173"/>
        <v>0</v>
      </c>
      <c r="V48" s="128">
        <f t="shared" ca="1" si="173"/>
        <v>0</v>
      </c>
      <c r="W48" s="128">
        <f t="shared" ca="1" si="173"/>
        <v>0</v>
      </c>
      <c r="X48" s="128">
        <f t="shared" ca="1" si="173"/>
        <v>0</v>
      </c>
      <c r="Y48" s="128">
        <f t="shared" ca="1" si="173"/>
        <v>0</v>
      </c>
      <c r="Z48" s="128">
        <f t="shared" ca="1" si="173"/>
        <v>0</v>
      </c>
      <c r="AA48" s="128">
        <f t="shared" ca="1" si="173"/>
        <v>0</v>
      </c>
      <c r="AB48" s="128">
        <f t="shared" ca="1" si="173"/>
        <v>0</v>
      </c>
      <c r="AC48" s="128">
        <f t="shared" ca="1" si="173"/>
        <v>0</v>
      </c>
      <c r="AD48" s="128">
        <f t="shared" ca="1" si="173"/>
        <v>0</v>
      </c>
      <c r="AE48" s="128">
        <f t="shared" ca="1" si="173"/>
        <v>0</v>
      </c>
      <c r="AF48" s="128">
        <f t="shared" ca="1" si="173"/>
        <v>0</v>
      </c>
      <c r="AG48" s="128">
        <f t="shared" ca="1" si="173"/>
        <v>0</v>
      </c>
      <c r="AH48" s="128">
        <f t="shared" ca="1" si="173"/>
        <v>0</v>
      </c>
      <c r="AI48" s="128">
        <f t="shared" ca="1" si="173"/>
        <v>0</v>
      </c>
      <c r="AJ48" s="128">
        <f t="shared" ca="1" si="173"/>
        <v>0</v>
      </c>
      <c r="AK48" s="128">
        <f t="shared" ca="1" si="173"/>
        <v>0</v>
      </c>
      <c r="AL48" s="128">
        <f t="shared" ca="1" si="173"/>
        <v>0</v>
      </c>
      <c r="AM48" s="128">
        <f t="shared" ca="1" si="173"/>
        <v>0</v>
      </c>
      <c r="AN48" s="129" t="str">
        <f t="array" ref="AN48">IFERROR(IF(E48="H",INDEX(HybridBonus_Value,MATCH(AN47,HybridBonus_Code,0)),""),"")</f>
        <v/>
      </c>
      <c r="AO48" s="130" t="str">
        <f>IFERROR(SUM(I48:AN48),"")</f>
        <v/>
      </c>
      <c r="AP48" s="132"/>
      <c r="AQ48" s="132"/>
      <c r="AR48" s="131"/>
      <c r="AS48" s="131"/>
      <c r="AT48" s="131"/>
      <c r="AU48" s="131"/>
      <c r="AV48" s="131"/>
      <c r="AW48" s="131"/>
      <c r="AX48" s="131"/>
      <c r="AY48" s="131"/>
      <c r="AZ48" s="131"/>
      <c r="BA48" s="131"/>
      <c r="BB48" s="131"/>
      <c r="BC48" s="131"/>
      <c r="BD48" s="131"/>
      <c r="BE48" s="131"/>
      <c r="BF48" s="131"/>
      <c r="BG48" s="12"/>
      <c r="BH48" s="131"/>
      <c r="BI48" s="5" t="str">
        <f t="shared" ref="BI48:BQ48" si="174">IF($E48="H",IF($F47="Hybrid - Thrust + 2 connections","Hybrid_Mix_Req_Value","HybridDD_Value"),IF($E48=3,"TreDD_Value",IF($E48="PA","AcroPair_Value",IF(LEFT($F47,4)="Acro",CONCATENATE(BI$16,$E48,"_Value"),""))))</f>
        <v/>
      </c>
      <c r="BJ48" s="5" t="str">
        <f t="shared" si="174"/>
        <v/>
      </c>
      <c r="BK48" s="5" t="str">
        <f t="shared" si="174"/>
        <v/>
      </c>
      <c r="BL48" s="5" t="str">
        <f t="shared" si="174"/>
        <v/>
      </c>
      <c r="BM48" s="5" t="str">
        <f t="shared" si="174"/>
        <v/>
      </c>
      <c r="BN48" s="5" t="str">
        <f t="shared" si="174"/>
        <v/>
      </c>
      <c r="BO48" s="5" t="str">
        <f t="shared" si="174"/>
        <v/>
      </c>
      <c r="BP48" s="5" t="str">
        <f t="shared" si="174"/>
        <v/>
      </c>
      <c r="BQ48" s="5" t="str">
        <f t="shared" si="174"/>
        <v/>
      </c>
      <c r="BR48" s="12" t="str">
        <f t="shared" ref="BR48:CL48" si="175">IF($E48="H",IF($F47="Hybrid - Thrust + 2 connections","Data!$BI$1:$BI$5","HybridDD_Value"),"Data!$BI$1:$BI$5")</f>
        <v>Data!$BI$1:$BI$5</v>
      </c>
      <c r="BS48" s="12" t="str">
        <f t="shared" si="175"/>
        <v>Data!$BI$1:$BI$5</v>
      </c>
      <c r="BT48" s="12" t="str">
        <f t="shared" si="175"/>
        <v>Data!$BI$1:$BI$5</v>
      </c>
      <c r="BU48" s="12" t="str">
        <f t="shared" si="175"/>
        <v>Data!$BI$1:$BI$5</v>
      </c>
      <c r="BV48" s="12" t="str">
        <f t="shared" si="175"/>
        <v>Data!$BI$1:$BI$5</v>
      </c>
      <c r="BW48" s="12" t="str">
        <f t="shared" si="175"/>
        <v>Data!$BI$1:$BI$5</v>
      </c>
      <c r="BX48" s="12" t="str">
        <f t="shared" si="175"/>
        <v>Data!$BI$1:$BI$5</v>
      </c>
      <c r="BY48" s="12" t="str">
        <f t="shared" si="175"/>
        <v>Data!$BI$1:$BI$5</v>
      </c>
      <c r="BZ48" s="12" t="str">
        <f t="shared" si="175"/>
        <v>Data!$BI$1:$BI$5</v>
      </c>
      <c r="CA48" s="12" t="str">
        <f t="shared" si="175"/>
        <v>Data!$BI$1:$BI$5</v>
      </c>
      <c r="CB48" s="12" t="str">
        <f t="shared" si="175"/>
        <v>Data!$BI$1:$BI$5</v>
      </c>
      <c r="CC48" s="12" t="str">
        <f t="shared" si="175"/>
        <v>Data!$BI$1:$BI$5</v>
      </c>
      <c r="CD48" s="12" t="str">
        <f t="shared" si="175"/>
        <v>Data!$BI$1:$BI$5</v>
      </c>
      <c r="CE48" s="12" t="str">
        <f t="shared" si="175"/>
        <v>Data!$BI$1:$BI$5</v>
      </c>
      <c r="CF48" s="12" t="str">
        <f t="shared" si="175"/>
        <v>Data!$BI$1:$BI$5</v>
      </c>
      <c r="CG48" s="12" t="str">
        <f t="shared" si="175"/>
        <v>Data!$BI$1:$BI$5</v>
      </c>
      <c r="CH48" s="12" t="str">
        <f t="shared" si="175"/>
        <v>Data!$BI$1:$BI$5</v>
      </c>
      <c r="CI48" s="12" t="str">
        <f t="shared" si="175"/>
        <v>Data!$BI$1:$BI$5</v>
      </c>
      <c r="CJ48" s="12" t="str">
        <f t="shared" si="175"/>
        <v>Data!$BI$1:$BI$5</v>
      </c>
      <c r="CK48" s="12" t="str">
        <f t="shared" si="175"/>
        <v>Data!$BI$1:$BI$5</v>
      </c>
      <c r="CL48" s="12" t="str">
        <f t="shared" si="175"/>
        <v>Data!$BI$1:$BI$5</v>
      </c>
      <c r="CM48" s="131"/>
      <c r="CN48" s="131"/>
      <c r="CO48" s="124" t="str">
        <f>IFERROR(IF(AND($BV$6="T",$BV$8="T",LEFT(F47,4)="Acro",AO48&gt;3),"X",IF($N$7="X",IF(AND(E48="C",AO48&gt;$CN$6),"X",IF(AND(E48="A",AO48&gt;$CN$4),"X",IF(AND(E48="B",AO48&gt;$CN$5),"X",IF(AND(E48="P",AO48&gt;$CN$7),"X","")))),"")),"")</f>
        <v/>
      </c>
      <c r="CP48" s="63"/>
      <c r="CQ48" s="5"/>
      <c r="CR48" s="15"/>
      <c r="CS48" s="5"/>
      <c r="CT48" s="5"/>
      <c r="CU48" s="5"/>
      <c r="CV48" s="5"/>
      <c r="CW48" s="5"/>
      <c r="CX48" s="5"/>
      <c r="CY48" s="5"/>
      <c r="CZ48" s="5"/>
      <c r="DA48" s="15"/>
      <c r="DB48" s="15"/>
      <c r="DC48" s="15"/>
      <c r="DD48" s="15" t="str">
        <f t="shared" si="10"/>
        <v/>
      </c>
      <c r="DE48" s="15" t="str">
        <f t="shared" si="11"/>
        <v/>
      </c>
      <c r="DF48" s="15" t="str">
        <f t="shared" si="12"/>
        <v/>
      </c>
      <c r="DG48" s="15" t="str">
        <f t="shared" si="13"/>
        <v/>
      </c>
      <c r="DH48" s="15"/>
      <c r="DI48" s="15"/>
      <c r="DJ48" s="15"/>
      <c r="DK48" s="15"/>
      <c r="DL48" s="15"/>
      <c r="DM48" s="15"/>
      <c r="DN48" s="15"/>
      <c r="DO48" s="15">
        <v>30</v>
      </c>
      <c r="DP48" s="15"/>
      <c r="DQ48" s="15"/>
      <c r="DR48" s="15"/>
      <c r="DS48" s="15"/>
      <c r="DT48" s="15"/>
      <c r="DU48" s="15"/>
      <c r="DV48" s="15"/>
      <c r="DW48" s="15"/>
      <c r="DX48" s="15"/>
      <c r="DY48" s="15"/>
      <c r="DZ48" s="15"/>
      <c r="EA48" s="15"/>
      <c r="EB48" s="15"/>
      <c r="EC48" s="15"/>
      <c r="ED48" s="15"/>
      <c r="EE48" s="15"/>
      <c r="EF48" s="15" t="str">
        <f t="array" ref="EF48">IFERROR(INDEX(EH48:FK48,MATCH(TRUE,INDEX((EH48:FK48&lt;&gt;""),),0)),"")</f>
        <v/>
      </c>
      <c r="EG48" s="15"/>
      <c r="EH48" s="15" t="str">
        <f t="shared" ref="EH48:FK48" si="176">IF(F47="Hybrid - Thrust + 2 connections",IF(COUNTIF($EH47:$FA47,EH47)&gt;1,EH47,""),IF(COUNTIF($EH47:$FA47,EH47)&gt;5,EH47,""))</f>
        <v/>
      </c>
      <c r="EI48" s="15" t="str">
        <f t="shared" si="176"/>
        <v/>
      </c>
      <c r="EJ48" s="15" t="str">
        <f t="shared" si="176"/>
        <v/>
      </c>
      <c r="EK48" s="15" t="str">
        <f t="shared" si="176"/>
        <v/>
      </c>
      <c r="EL48" s="15" t="str">
        <f t="shared" si="176"/>
        <v/>
      </c>
      <c r="EM48" s="15" t="str">
        <f t="shared" si="176"/>
        <v/>
      </c>
      <c r="EN48" s="15" t="str">
        <f t="shared" si="176"/>
        <v/>
      </c>
      <c r="EO48" s="15" t="str">
        <f t="shared" si="176"/>
        <v/>
      </c>
      <c r="EP48" s="15" t="str">
        <f t="shared" si="176"/>
        <v/>
      </c>
      <c r="EQ48" s="15" t="str">
        <f t="shared" si="176"/>
        <v/>
      </c>
      <c r="ER48" s="15" t="str">
        <f t="shared" si="176"/>
        <v/>
      </c>
      <c r="ES48" s="15" t="str">
        <f t="shared" si="176"/>
        <v/>
      </c>
      <c r="ET48" s="15" t="str">
        <f t="shared" si="176"/>
        <v/>
      </c>
      <c r="EU48" s="15" t="str">
        <f t="shared" si="176"/>
        <v/>
      </c>
      <c r="EV48" s="15" t="str">
        <f t="shared" si="176"/>
        <v/>
      </c>
      <c r="EW48" s="15" t="str">
        <f t="shared" si="176"/>
        <v/>
      </c>
      <c r="EX48" s="15" t="str">
        <f t="shared" si="176"/>
        <v/>
      </c>
      <c r="EY48" s="15" t="str">
        <f t="shared" si="176"/>
        <v/>
      </c>
      <c r="EZ48" s="15" t="str">
        <f t="shared" si="176"/>
        <v/>
      </c>
      <c r="FA48" s="15" t="str">
        <f t="shared" si="176"/>
        <v/>
      </c>
      <c r="FB48" s="15" t="str">
        <f t="shared" si="176"/>
        <v/>
      </c>
      <c r="FC48" s="15" t="str">
        <f t="shared" si="176"/>
        <v/>
      </c>
      <c r="FD48" s="15" t="str">
        <f t="shared" si="176"/>
        <v/>
      </c>
      <c r="FE48" s="15" t="str">
        <f t="shared" si="176"/>
        <v/>
      </c>
      <c r="FF48" s="15" t="str">
        <f t="shared" si="176"/>
        <v/>
      </c>
      <c r="FG48" s="15" t="str">
        <f t="shared" si="176"/>
        <v/>
      </c>
      <c r="FH48" s="15" t="str">
        <f t="shared" si="176"/>
        <v/>
      </c>
      <c r="FI48" s="15" t="str">
        <f t="shared" si="176"/>
        <v/>
      </c>
      <c r="FJ48" s="15" t="str">
        <f t="shared" si="176"/>
        <v/>
      </c>
      <c r="FK48" s="15" t="str">
        <f t="shared" si="176"/>
        <v/>
      </c>
      <c r="FL48" s="15">
        <f>FL46+5</f>
        <v>70</v>
      </c>
      <c r="FM48" s="15" t="str">
        <f ca="1">OFFSET($FM$75,FL48,0)</f>
        <v/>
      </c>
      <c r="FN48" s="15" t="str">
        <f ca="1">OFFSET($FN$75,FL48,0)</f>
        <v/>
      </c>
      <c r="FO48" s="244"/>
      <c r="FP48" s="245"/>
      <c r="FQ48" s="245"/>
      <c r="FR48" s="245"/>
      <c r="FS48" s="245"/>
      <c r="FT48" s="245"/>
      <c r="FU48" s="245"/>
      <c r="FV48" s="245"/>
      <c r="FW48" s="245"/>
      <c r="FX48" s="245"/>
      <c r="FY48" s="245"/>
      <c r="FZ48" s="245"/>
      <c r="GA48" s="245"/>
      <c r="GB48" s="245"/>
      <c r="GC48" s="245"/>
      <c r="GD48" s="245"/>
      <c r="GE48" s="245"/>
      <c r="GF48" s="245"/>
      <c r="GG48" s="245"/>
      <c r="GH48" s="245"/>
      <c r="GI48" s="245"/>
      <c r="GJ48" s="245"/>
      <c r="GK48" s="245"/>
      <c r="GL48" s="245"/>
      <c r="GM48" s="245"/>
      <c r="GN48" s="245"/>
      <c r="GO48" s="245"/>
      <c r="GP48" s="245"/>
      <c r="GQ48" s="245"/>
      <c r="GR48" s="246"/>
      <c r="GS48" s="15"/>
      <c r="GT48" s="15"/>
      <c r="GU48" s="15"/>
      <c r="GV48" s="15"/>
      <c r="GW48" s="15"/>
      <c r="GX48" s="15"/>
      <c r="GY48" s="15"/>
      <c r="GZ48" s="15"/>
      <c r="HA48" s="15" t="str">
        <f>IF($F47="Hybrid - Thrust + 2 connections",COUNTBLANK(J47:L47),"")</f>
        <v/>
      </c>
      <c r="HB48" s="15"/>
      <c r="HC48" s="5"/>
      <c r="HD48" s="5"/>
      <c r="HE48" s="5"/>
      <c r="HF48" s="5"/>
    </row>
    <row r="49" spans="1:214" ht="12.75" customHeight="1" x14ac:dyDescent="0.3">
      <c r="A49" s="118" t="str">
        <f>IF(AND(E47="",A47&lt;&gt;""),IF(CP47=$CP$18,"",IF(C47&lt;&gt;"",IF(D47=59,MINUTE(CP47)+1,MINUTE(CP47)),"")),"")</f>
        <v/>
      </c>
      <c r="B49" s="119" t="str">
        <f>IF(AND(E47="",B47&lt;&gt;""),IF(CP47=$CP$18,"",IF(C47&lt;&gt;"",IF(D47=59,0,SECOND(CP47)+1),"")),"")</f>
        <v/>
      </c>
      <c r="C49" s="119"/>
      <c r="D49" s="119"/>
      <c r="E49" s="119"/>
      <c r="F49" s="57"/>
      <c r="G49" s="120" t="str">
        <f>IF(F49&lt;&gt;"",IF(OR(F49="Transition",F49="Transition - Surface Connection"),0,MAX($G$19:G48)+1),"")</f>
        <v/>
      </c>
      <c r="H49" s="223" t="str">
        <f>IFERROR(IF(E50="3","",IF(OR(F49="Hybrid - min 4 swimmers (no DD)",LEFT(F49,5)="Trans"),"No DD",CONCATENATE("BM = ",I50))),"")</f>
        <v/>
      </c>
      <c r="I49" s="224"/>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2"/>
      <c r="AO49" s="123"/>
      <c r="AP49" s="52"/>
      <c r="AQ49" s="52"/>
      <c r="AR49" s="12"/>
      <c r="AS49" s="12"/>
      <c r="AT49" s="12"/>
      <c r="AU49" s="12"/>
      <c r="AV49" s="12"/>
      <c r="AW49" s="12"/>
      <c r="AX49" s="12"/>
      <c r="AY49" s="12"/>
      <c r="AZ49" s="12"/>
      <c r="BA49" s="12"/>
      <c r="BB49" s="12"/>
      <c r="BC49" s="12"/>
      <c r="BD49" s="12"/>
      <c r="BE49" s="12"/>
      <c r="BF49" s="12"/>
      <c r="BG49" s="12" t="str">
        <f t="array" ref="BG49">IFERROR(IF(F49&lt;&gt;"",INDEX(Parts_Active,MATCH(F49,Parts_Active,0)),""),"No")</f>
        <v/>
      </c>
      <c r="BH49" s="12"/>
      <c r="BI49" s="12" t="str">
        <f>IF($E50="H",IF($F49="Hybrid - Thrust + 2 connections","Hybrid_Mix_Req",IF($F49="Hybrid - min 4 swimmers (no DD)","Hybrid_ChoHY","HybridDD_Code")),IF($E50=3,"TreDD_Code",IF($E50="PA","AcroPair_Code",IF(LEFT($F49,4)="Acro",CONCATENATE(BI$16,$E50,"_Code"),"Data!$BI$1:$BI$5"))))</f>
        <v>Data!$BI$1:$BI$5</v>
      </c>
      <c r="BJ49" s="12" t="str">
        <f t="shared" ref="BJ49:BQ49" si="177">IF($E50="H",IF($F49="Hybrid - Thrust + 2 connections","Hybrid_Mix_Req",IF($F49="Hybrid - min 4 swimmers (no DD)","Data!$BI$1:$BI$5","HybridDD_Code")),IF($E50=3,"TreDD_Code",IF($E50="PA","AcroPair_Code",IF(LEFT($F49,4)="Acro",CONCATENATE(BJ$16,$E50,"_Code"),"Data!$BI$1:$BI$5"))))</f>
        <v>Data!$BI$1:$BI$5</v>
      </c>
      <c r="BK49" s="12" t="str">
        <f t="shared" si="177"/>
        <v>Data!$BI$1:$BI$5</v>
      </c>
      <c r="BL49" s="12" t="str">
        <f t="shared" si="177"/>
        <v>Data!$BI$1:$BI$5</v>
      </c>
      <c r="BM49" s="12" t="str">
        <f t="shared" si="177"/>
        <v>Data!$BI$1:$BI$5</v>
      </c>
      <c r="BN49" s="12" t="str">
        <f t="shared" si="177"/>
        <v>Data!$BI$1:$BI$5</v>
      </c>
      <c r="BO49" s="12" t="str">
        <f t="shared" si="177"/>
        <v>Data!$BI$1:$BI$5</v>
      </c>
      <c r="BP49" s="12" t="str">
        <f t="shared" si="177"/>
        <v>Data!$BI$1:$BI$5</v>
      </c>
      <c r="BQ49" s="12" t="str">
        <f t="shared" si="177"/>
        <v>Data!$BI$1:$BI$5</v>
      </c>
      <c r="BR49" s="12" t="str">
        <f>IF($E50="H",IF($F49="Hybrid - Thrust + 2 connections","Data!$BI$1:$BI$5","HybridDD_Code"),"Data!$BI$1:$BI$5")</f>
        <v>Data!$BI$1:$BI$5</v>
      </c>
      <c r="BS49" s="12" t="str">
        <f t="shared" ref="BS49:CL49" si="178">$BR49</f>
        <v>Data!$BI$1:$BI$5</v>
      </c>
      <c r="BT49" s="12" t="str">
        <f t="shared" si="178"/>
        <v>Data!$BI$1:$BI$5</v>
      </c>
      <c r="BU49" s="12" t="str">
        <f t="shared" si="178"/>
        <v>Data!$BI$1:$BI$5</v>
      </c>
      <c r="BV49" s="12" t="str">
        <f t="shared" si="178"/>
        <v>Data!$BI$1:$BI$5</v>
      </c>
      <c r="BW49" s="12" t="str">
        <f t="shared" si="178"/>
        <v>Data!$BI$1:$BI$5</v>
      </c>
      <c r="BX49" s="12" t="str">
        <f t="shared" si="178"/>
        <v>Data!$BI$1:$BI$5</v>
      </c>
      <c r="BY49" s="12" t="str">
        <f t="shared" si="178"/>
        <v>Data!$BI$1:$BI$5</v>
      </c>
      <c r="BZ49" s="12" t="str">
        <f t="shared" si="178"/>
        <v>Data!$BI$1:$BI$5</v>
      </c>
      <c r="CA49" s="12" t="str">
        <f t="shared" si="178"/>
        <v>Data!$BI$1:$BI$5</v>
      </c>
      <c r="CB49" s="12" t="str">
        <f t="shared" si="178"/>
        <v>Data!$BI$1:$BI$5</v>
      </c>
      <c r="CC49" s="12" t="str">
        <f t="shared" si="178"/>
        <v>Data!$BI$1:$BI$5</v>
      </c>
      <c r="CD49" s="12" t="str">
        <f t="shared" si="178"/>
        <v>Data!$BI$1:$BI$5</v>
      </c>
      <c r="CE49" s="12" t="str">
        <f t="shared" si="178"/>
        <v>Data!$BI$1:$BI$5</v>
      </c>
      <c r="CF49" s="12" t="str">
        <f t="shared" si="178"/>
        <v>Data!$BI$1:$BI$5</v>
      </c>
      <c r="CG49" s="12" t="str">
        <f t="shared" si="178"/>
        <v>Data!$BI$1:$BI$5</v>
      </c>
      <c r="CH49" s="12" t="str">
        <f t="shared" si="178"/>
        <v>Data!$BI$1:$BI$5</v>
      </c>
      <c r="CI49" s="12" t="str">
        <f t="shared" si="178"/>
        <v>Data!$BI$1:$BI$5</v>
      </c>
      <c r="CJ49" s="12" t="str">
        <f t="shared" si="178"/>
        <v>Data!$BI$1:$BI$5</v>
      </c>
      <c r="CK49" s="12" t="str">
        <f t="shared" si="178"/>
        <v>Data!$BI$1:$BI$5</v>
      </c>
      <c r="CL49" s="12" t="str">
        <f t="shared" si="178"/>
        <v>Data!$BI$1:$BI$5</v>
      </c>
      <c r="CM49" s="12"/>
      <c r="CN49" s="12"/>
      <c r="CO49" s="63" t="str">
        <f>IFERROR(TIME(0,A49,B49),"")</f>
        <v/>
      </c>
      <c r="CP49" s="63">
        <f>IFERROR(TIME(0,C49,D49),"")</f>
        <v>0</v>
      </c>
      <c r="CQ49" s="63" t="str">
        <f>IF(CP49&gt;$D$12,"X","")</f>
        <v/>
      </c>
      <c r="CR49" s="15" t="str">
        <f>IF(AND(F49="Hybrid - Thrust + 2 connections",OR(LEFT(J49,1)="T",LEFT(K49,1)="T",LEFT(L49,1)="T",LEFT(OY49,1)="T",LEFT(M49,1)="T",LEFT(N49,1)="T",LEFT(O49,1)="T",LEFT(P49,1)="T",LEFT(Q49,1)="T",LEFT(R49,1)="T",LEFT(S49,1)="T",LEFT(T49,1)="T",LEFT(U49,1)="T",LEFT(V49,1)="T",LEFT(W49,1)="T",LEFT(X49,1)="T",LEFT(AK49,1)="T",LEFT(AL49,1)="T",LEFT(AM49,1)="T")),IF(OR(LEN(J49)=2,LEN(K49)=2,LEN(L49)=2,LEN(M49)=2,LEN(N49)=2,LEN(O49)=2,LEN(P49)=2,LEN(Q49)=2,LEN(R49)=2,LEN(S49)=2,LEN(T49)=2,LEN(U49)=2,LEN(V49)=2,LEN(W49)=2,LEN(X49)=2,LEN(Y49)=2,LEN(Z49)=2,LEN(AK49)=2,LEN(AL49)=2,LEN(AM49)=2),"X",""),"")</f>
        <v/>
      </c>
      <c r="CS49" s="5" t="str">
        <f>IF(F49="Hybrid",SECOND(CP49),"")</f>
        <v/>
      </c>
      <c r="CT49" s="15" t="str">
        <f>IF(LEFT(F49,4)="Acro",IF(AND(N49&lt;&gt;"",M49=RIGHT(N49,2)),"X","OK"),"")</f>
        <v/>
      </c>
      <c r="CU49" s="12" t="str">
        <f t="array" ref="CU49">IFERROR(IF(AND(LEFT($F49,4)="Acro",INDEX(Requ_App,MATCH(BI49,Requ_Code,0))="No"),"X",""),"")</f>
        <v/>
      </c>
      <c r="CV49" s="12" t="str">
        <f t="array" ref="CV49">IFERROR(IF(AND(LEFT($F49,4)="Acro",INDEX(Requ_App,MATCH(BJ49,Requ_Code,0))="No"),"X",""),"")</f>
        <v/>
      </c>
      <c r="CW49" s="12" t="str">
        <f t="array" ref="CW49">IFERROR(IF(AND(LEFT($F49,4)="Acro",INDEX(Requ_App,MATCH(BK49,Requ_Code,0))="No"),"X",""),"")</f>
        <v/>
      </c>
      <c r="CX49" s="12" t="str">
        <f t="array" ref="CX49">IFERROR(IF(AND(LEFT($F49,4)="Acro",INDEX(Requ_App,MATCH(BL49,Requ_Code,0))="No"),"X",""),"")</f>
        <v/>
      </c>
      <c r="CY49" s="12" t="str">
        <f t="array" ref="CY49">IFERROR(IF(AND(LEFT($F49,4)="Acro",INDEX(Requ_App,MATCH(BM49,Requ_Code,0))="No"),"X",""),"")</f>
        <v/>
      </c>
      <c r="CZ49" s="12" t="str">
        <f t="array" ref="CZ49">IFERROR(IF(AND(LEFT($F49,4)="Acro",INDEX(Requ_App,MATCH(BN49,Requ_Code,0))="No"),"X",""),"")</f>
        <v/>
      </c>
      <c r="DA49" s="12" t="str">
        <f t="array" ref="DA49">IFERROR(IF(AND(LEFT($F49,4)="Acro",INDEX(Requ_App,MATCH(BO49,Requ_Code,0))="No"),"X",""),"")</f>
        <v/>
      </c>
      <c r="DB49" s="12" t="str">
        <f t="array" ref="DB49">IFERROR(IF(AND(LEFT($F49,4)="Acro",INDEX(Requ_App,MATCH(BP49,Requ_Code,0))="No"),"X",""),"")</f>
        <v/>
      </c>
      <c r="DC49" s="12" t="str">
        <f t="array" ref="DC49">IFERROR(IF(AND(LEFT($F49,4)="Acro",INDEX(Requ_App,MATCH(BP49,Requ_Code,0))="No"),"X",""),"")</f>
        <v/>
      </c>
      <c r="DD49" s="15" t="str">
        <f t="shared" si="10"/>
        <v/>
      </c>
      <c r="DE49" s="15" t="str">
        <f t="shared" si="11"/>
        <v/>
      </c>
      <c r="DF49" s="15" t="str">
        <f t="shared" si="12"/>
        <v/>
      </c>
      <c r="DG49" s="15" t="str">
        <f t="shared" si="13"/>
        <v/>
      </c>
      <c r="DH49" s="15"/>
      <c r="DI49" s="15"/>
      <c r="DJ49" s="15"/>
      <c r="DK49" s="15">
        <f>IF(AND(E50="A",OR(Q49="Grip",Q49="Conn",Q49="Catch")),"A1",IF(AND(E50="A",OR(Q49="Hula",Q49="RetSq",Q49="RetPa")),"A2",IF(AND(E50="B",OR(Q49="Twirl",Q49="RotF")),"B1",IF(AND(E50="B",OR(Q49="Moon",Q49="Mov")),"B2",IF(AND(E50="B",Q49="Hold"),"B3",IF(AND(E50="P",OR(Q49="Porp",Q49="Spitch")),"P1",IF(AND(E50="P",OR(Q49="Dive",Q49="Ps1",Q49="Ps1t0.5",Q49="Ps1op",Q49="Ps1t0,5o",Q49="Ps1t1",Q49="CH+")),"P2",IF(AND(E50="P",OR(Q49="Spider",Q49="Climb")),"P3",IF(AND(E50="P",OR(Q49="Fall",Q49="FTurn")),"P4",IF(AND(E50="C",OR(Q49="Jump",Q49="Jump&gt;",Q49="On1Foot",Q49="1F&gt;1F")),"C1",IF(AND(E50="C",OR(Q49="Run",Q49="BRun")),"C2",1)))))))))))</f>
        <v>1</v>
      </c>
      <c r="DL49" s="15">
        <f>IF(AND(E50="A",OR(R49="Grip",R49="Conn",R49="Catch")),"A1",IF(AND(E50="A",OR(R49="Hula",R49="RetSq",R49="RetPa")),"A2",IF(AND(E50="B",OR(R49="Twirl",R49="RotF")),"B1",IF(AND(E50="B",OR(R49="Moon",R49="Mov")),"B3",IF(AND(E50="B",R49="Hold"),"B2",IF(AND(E50="P",OR(R49="Porp",R49="Spitch")),"P1",IF(AND(E50="P",OR(R49="Dive",R49="Ps1",R49="Ps1t0.5",R49="Ps1op",R49="Ps1t0,5o",R49="Ps1t1",R49="CH+")),"P2",IF(AND(E50="P",OR(R49="Spider",R49="Climb")),"P3",IF(AND(E50="P",OR(R49="Fall",R49="FTurn")),"P4",IF(AND(E50="C",OR(R49="Jump",R49="Jump&gt;",R49="On1Foot",R49="1F&gt;1F")),"C1",IF(AND(E50="C",OR(R49="Run",R49="BRun")),"C2",2)))))))))))</f>
        <v>2</v>
      </c>
      <c r="DM49" s="15" t="str">
        <f>IF(AND(LEFT(F49,4)="Acro",Q49&lt;&gt;"",OR(Q49=R49,DK49=DL49)),IF(R49="C-Roll","","X"),IF(OR(AND(E50="A",Q49="Catch",R49&lt;&gt;"Dbl"),AND(E50="A",R49="Catch",Q49&lt;&gt;"Dbl")),"X",""))</f>
        <v/>
      </c>
      <c r="DN49" s="15" t="str">
        <f>IF(E50="PA",J49,"")</f>
        <v/>
      </c>
      <c r="DO49" s="15">
        <v>31</v>
      </c>
      <c r="DP49" s="15"/>
      <c r="DQ49" s="15" t="str">
        <f t="shared" ref="DQ49:DR49" si="179">IF(AND($E50="A",COUNTIF($DZ$19:$EA$68,DZ49)&gt;1),DZ49,"")</f>
        <v/>
      </c>
      <c r="DR49" s="15" t="str">
        <f t="shared" si="179"/>
        <v/>
      </c>
      <c r="DS49" s="15" t="str">
        <f ca="1">IF(AND($E50="B",COUNTIF($J$19:$J$68,J49)&gt;1),J49,"")</f>
        <v/>
      </c>
      <c r="DT49" s="15" t="str">
        <f ca="1">IF(AND($E50="B",COUNTIF($K$19:$K$68,K49)&gt;1),K49,"")</f>
        <v/>
      </c>
      <c r="DU49" s="15" t="str">
        <f ca="1">IF(AND($E50="C",COUNTIF($J$19:$J$68,J49)&gt;1),J49,"")</f>
        <v/>
      </c>
      <c r="DV49" s="15" t="str">
        <f ca="1">IF(AND($E50="P",COUNTIF($J$19:$J$68,J49)&gt;1),J49,"")</f>
        <v/>
      </c>
      <c r="DW49" s="15" t="str">
        <f ca="1">IF(AND($E50="P",COUNTIF($K$19:$K$68,K49)&gt;1),K49,"")</f>
        <v/>
      </c>
      <c r="DX49" s="15" t="str">
        <f t="shared" ref="DX49:DY49" si="180">IF(AND($E50="P",COUNTIF($DZ$19:$EA$68,DZ49)&gt;1),DZ49,"")</f>
        <v/>
      </c>
      <c r="DY49" s="15" t="str">
        <f t="shared" si="180"/>
        <v/>
      </c>
      <c r="DZ49" s="15" t="str">
        <f>IFERROR(IF(OR(E50="A",E50="P"),M49,""),"")</f>
        <v/>
      </c>
      <c r="EA49" s="15" t="str">
        <f>IFERROR(IF(OR(E50="A",E50="P"),RIGHT(N49,2),""),"")</f>
        <v/>
      </c>
      <c r="EB49" s="15"/>
      <c r="EC49" s="15" t="str">
        <f>IF(AND($F$8="Open Team Acrobatic",LEFT(F49,4)="Acro"),E50,"")</f>
        <v/>
      </c>
      <c r="ED49" s="15" t="str">
        <f>IFERROR(IF(HLOOKUP(EC49,$DQ$12:$DT$13,2,FALSE)&gt;2,"X",""),"")</f>
        <v/>
      </c>
      <c r="EE49" s="15"/>
      <c r="EF49" s="15" t="str">
        <f>IF(OR(AND(F49="Hybrid - Thrust + 2 connections",EF50="T"),AND(E50="H",EF50&lt;&gt;"")),"X","")</f>
        <v/>
      </c>
      <c r="EG49" s="15"/>
      <c r="EH49" s="15">
        <f t="shared" ref="EH49:EX49" si="181">IFERROR(IF(AND($E50="H",J49&lt;&gt;""),IF(OR(LEFT(J49,1)="T",LEFT(J49,1)="S",LEFT(J49,1)="A",LEFT(J49,1)="F",LEFT(J49,1)="C"),LEFT(J49,1),"R"),EH$18),"")</f>
        <v>1</v>
      </c>
      <c r="EI49" s="15">
        <f t="shared" si="181"/>
        <v>2</v>
      </c>
      <c r="EJ49" s="15">
        <f t="shared" si="181"/>
        <v>3</v>
      </c>
      <c r="EK49" s="15">
        <f t="shared" si="181"/>
        <v>4</v>
      </c>
      <c r="EL49" s="15">
        <f t="shared" si="181"/>
        <v>5</v>
      </c>
      <c r="EM49" s="15">
        <f t="shared" si="181"/>
        <v>6</v>
      </c>
      <c r="EN49" s="15">
        <f t="shared" si="181"/>
        <v>7</v>
      </c>
      <c r="EO49" s="15">
        <f t="shared" si="181"/>
        <v>8</v>
      </c>
      <c r="EP49" s="15">
        <f t="shared" si="181"/>
        <v>9</v>
      </c>
      <c r="EQ49" s="15">
        <f t="shared" si="181"/>
        <v>10</v>
      </c>
      <c r="ER49" s="15">
        <f t="shared" si="181"/>
        <v>11</v>
      </c>
      <c r="ES49" s="15">
        <f t="shared" si="181"/>
        <v>12</v>
      </c>
      <c r="ET49" s="15">
        <f t="shared" si="181"/>
        <v>13</v>
      </c>
      <c r="EU49" s="15">
        <f t="shared" si="181"/>
        <v>14</v>
      </c>
      <c r="EV49" s="15">
        <f t="shared" si="181"/>
        <v>15</v>
      </c>
      <c r="EW49" s="15">
        <f t="shared" si="181"/>
        <v>16</v>
      </c>
      <c r="EX49" s="15">
        <f t="shared" si="181"/>
        <v>17</v>
      </c>
      <c r="EY49" s="15">
        <f t="shared" ref="EY49:FK49" si="182">IFERROR(IF(AND($E50="H",AK49&lt;&gt;""),IF(OR(LEFT(AK49,1)="T",LEFT(AK49,1)="S",LEFT(AK49,1)="A",LEFT(AK49,1)="F",LEFT(AK49,1)="C"),LEFT(AK49,1),"R"),EY$18),"")</f>
        <v>18</v>
      </c>
      <c r="EZ49" s="15">
        <f t="shared" si="182"/>
        <v>19</v>
      </c>
      <c r="FA49" s="15">
        <f t="shared" si="182"/>
        <v>20</v>
      </c>
      <c r="FB49" s="15">
        <f t="shared" si="182"/>
        <v>21</v>
      </c>
      <c r="FC49" s="15">
        <f t="shared" si="182"/>
        <v>22</v>
      </c>
      <c r="FD49" s="15">
        <f t="shared" si="182"/>
        <v>23</v>
      </c>
      <c r="FE49" s="15">
        <f t="shared" si="182"/>
        <v>24</v>
      </c>
      <c r="FF49" s="15">
        <f t="shared" si="182"/>
        <v>25</v>
      </c>
      <c r="FG49" s="15">
        <f t="shared" si="182"/>
        <v>26</v>
      </c>
      <c r="FH49" s="15">
        <f t="shared" si="182"/>
        <v>27</v>
      </c>
      <c r="FI49" s="15">
        <f t="shared" si="182"/>
        <v>28</v>
      </c>
      <c r="FJ49" s="15">
        <f t="shared" si="182"/>
        <v>29</v>
      </c>
      <c r="FK49" s="15">
        <f t="shared" si="182"/>
        <v>30</v>
      </c>
      <c r="FL49" s="15"/>
      <c r="FM49" s="15"/>
      <c r="FN49" s="15"/>
      <c r="FO49" s="244"/>
      <c r="FP49" s="245"/>
      <c r="FQ49" s="245"/>
      <c r="FR49" s="245"/>
      <c r="FS49" s="245"/>
      <c r="FT49" s="245"/>
      <c r="FU49" s="245"/>
      <c r="FV49" s="245"/>
      <c r="FW49" s="245"/>
      <c r="FX49" s="245"/>
      <c r="FY49" s="245"/>
      <c r="FZ49" s="245"/>
      <c r="GA49" s="245"/>
      <c r="GB49" s="245"/>
      <c r="GC49" s="245"/>
      <c r="GD49" s="245"/>
      <c r="GE49" s="245"/>
      <c r="GF49" s="245"/>
      <c r="GG49" s="245"/>
      <c r="GH49" s="245"/>
      <c r="GI49" s="245"/>
      <c r="GJ49" s="245"/>
      <c r="GK49" s="245"/>
      <c r="GL49" s="245"/>
      <c r="GM49" s="245"/>
      <c r="GN49" s="245"/>
      <c r="GO49" s="245"/>
      <c r="GP49" s="245"/>
      <c r="GQ49" s="245"/>
      <c r="GR49" s="246"/>
      <c r="GS49" s="15"/>
      <c r="GT49" s="15">
        <f t="shared" ref="GT49:GY49" si="183">COUNTIF($EH49:$FK49,GT$18)</f>
        <v>0</v>
      </c>
      <c r="GU49" s="15">
        <f t="shared" si="183"/>
        <v>0</v>
      </c>
      <c r="GV49" s="15">
        <f t="shared" si="183"/>
        <v>0</v>
      </c>
      <c r="GW49" s="15">
        <f t="shared" si="183"/>
        <v>0</v>
      </c>
      <c r="GX49" s="15">
        <f t="shared" si="183"/>
        <v>0</v>
      </c>
      <c r="GY49" s="15">
        <f t="shared" si="183"/>
        <v>0</v>
      </c>
      <c r="GZ49" s="15"/>
      <c r="HA49" s="15" t="str">
        <f>IF(AND($F49="Hybrid - Thrust + 2 connections",HA50=0,LEFT($J49,1)="C",LEFT($K49,1)="C",LEFT($L49,1)="C"),"X","")</f>
        <v/>
      </c>
      <c r="HB49" s="15"/>
      <c r="HC49" s="5"/>
      <c r="HD49" s="124"/>
      <c r="HE49" s="124"/>
      <c r="HF49" s="5" t="str">
        <f>IF(E50=3,_xludf.NUMBERVALUE(LEFT(J49,1)),"")</f>
        <v/>
      </c>
    </row>
    <row r="50" spans="1:214" ht="12.75" customHeight="1" x14ac:dyDescent="0.3">
      <c r="A50" s="118"/>
      <c r="B50" s="119"/>
      <c r="C50" s="119"/>
      <c r="D50" s="119"/>
      <c r="E50" s="50" t="str">
        <f>IF(F49="Acrobatic - Pair","PA",IF(F49="Acrobatic Airborn","A",IF(F49="Acrobatic Balance","B",IF(F49="Acrobatic Combined","C",IF(F49="Acrobatic Platform","P",IF(F49="Technical Required Element",3,IF(LEFT(F49,4)="Hybr","H","")))))))</f>
        <v/>
      </c>
      <c r="F50" s="50" t="str">
        <f>IF(AND(F49="Hybrid - Thrust + 2 connections",CR49="X"),"Hybrid - Thrust",IF(OR(E50="A",E50="B",E50="C",E50="P"),"Acrobatic",""))</f>
        <v/>
      </c>
      <c r="G50" s="120"/>
      <c r="H50" s="126" t="str">
        <f>IF(E50="PA",IF(OR(LEFT(J49,1)="L",LEFT(J49,1)="S"),"A-Pair-Lift",IF(OR(LEFT(J49,1)="W",LEFT(J49,1)="T"),"A-Pair-Throw",IF(LEFT(J49,1)="J","A-Pair-Jump","A-Pair"))),IF(OR(E50="A",E50="B",E50="C",E50="P"),CONCATENATE("Acro-",E50),""))</f>
        <v/>
      </c>
      <c r="I50" s="127" t="e">
        <f t="array" ref="I50">IF(OR(F49="Hybrid - min 4 swimmers (no DD)",LEFT(F49,5)="Trans"),0,INDEX($BY$3:$BY$9,MATCH(E50,$BX$3:$BX$9,0)))</f>
        <v>#N/A</v>
      </c>
      <c r="J50" s="128">
        <f t="array" aca="1" ref="J50" ca="1">IFERROR(IF($H49="No DD",IF(J49="ChoHY",1,0),IF(OR(ISBLANK(J49),J49="N/A"),0,INDEX(INDIRECT(BI50),MATCH(J49,INDIRECT(BI49),0)))),0)</f>
        <v>0</v>
      </c>
      <c r="K50" s="128">
        <f t="shared" ref="K50:AM50" ca="1" si="184">IFERROR(IF($H49="No DD",0,IF(OR(ISBLANK(K49),K49="N/A"),0,INDEX(INDIRECT(BJ50),MATCH(K49,INDIRECT(BJ49),0)))),0)</f>
        <v>0</v>
      </c>
      <c r="L50" s="128">
        <f t="shared" ca="1" si="184"/>
        <v>0</v>
      </c>
      <c r="M50" s="128">
        <f t="shared" ca="1" si="184"/>
        <v>0</v>
      </c>
      <c r="N50" s="128">
        <f t="shared" ca="1" si="184"/>
        <v>0</v>
      </c>
      <c r="O50" s="128">
        <f t="shared" ca="1" si="184"/>
        <v>0</v>
      </c>
      <c r="P50" s="128">
        <f t="shared" ca="1" si="184"/>
        <v>0</v>
      </c>
      <c r="Q50" s="128">
        <f t="shared" ca="1" si="184"/>
        <v>0</v>
      </c>
      <c r="R50" s="128">
        <f t="shared" ca="1" si="184"/>
        <v>0</v>
      </c>
      <c r="S50" s="128">
        <f t="shared" ca="1" si="184"/>
        <v>0</v>
      </c>
      <c r="T50" s="128">
        <f t="shared" ca="1" si="184"/>
        <v>0</v>
      </c>
      <c r="U50" s="128">
        <f t="shared" ca="1" si="184"/>
        <v>0</v>
      </c>
      <c r="V50" s="128">
        <f t="shared" ca="1" si="184"/>
        <v>0</v>
      </c>
      <c r="W50" s="128">
        <f t="shared" ca="1" si="184"/>
        <v>0</v>
      </c>
      <c r="X50" s="128">
        <f t="shared" ca="1" si="184"/>
        <v>0</v>
      </c>
      <c r="Y50" s="128">
        <f t="shared" ca="1" si="184"/>
        <v>0</v>
      </c>
      <c r="Z50" s="128">
        <f t="shared" ca="1" si="184"/>
        <v>0</v>
      </c>
      <c r="AA50" s="128">
        <f t="shared" ca="1" si="184"/>
        <v>0</v>
      </c>
      <c r="AB50" s="128">
        <f t="shared" ca="1" si="184"/>
        <v>0</v>
      </c>
      <c r="AC50" s="128">
        <f t="shared" ca="1" si="184"/>
        <v>0</v>
      </c>
      <c r="AD50" s="128">
        <f t="shared" ca="1" si="184"/>
        <v>0</v>
      </c>
      <c r="AE50" s="128">
        <f t="shared" ca="1" si="184"/>
        <v>0</v>
      </c>
      <c r="AF50" s="128">
        <f t="shared" ca="1" si="184"/>
        <v>0</v>
      </c>
      <c r="AG50" s="128">
        <f t="shared" ca="1" si="184"/>
        <v>0</v>
      </c>
      <c r="AH50" s="128">
        <f t="shared" ca="1" si="184"/>
        <v>0</v>
      </c>
      <c r="AI50" s="128">
        <f t="shared" ca="1" si="184"/>
        <v>0</v>
      </c>
      <c r="AJ50" s="128">
        <f t="shared" ca="1" si="184"/>
        <v>0</v>
      </c>
      <c r="AK50" s="128">
        <f t="shared" ca="1" si="184"/>
        <v>0</v>
      </c>
      <c r="AL50" s="128">
        <f t="shared" ca="1" si="184"/>
        <v>0</v>
      </c>
      <c r="AM50" s="128">
        <f t="shared" ca="1" si="184"/>
        <v>0</v>
      </c>
      <c r="AN50" s="129" t="str">
        <f t="array" ref="AN50">IFERROR(IF(E50="H",INDEX(HybridBonus_Value,MATCH(AN49,HybridBonus_Code,0)),""),"")</f>
        <v/>
      </c>
      <c r="AO50" s="130" t="str">
        <f>IFERROR(SUM(I50:AN50),"")</f>
        <v/>
      </c>
      <c r="AP50" s="132"/>
      <c r="AQ50" s="132"/>
      <c r="AR50" s="131"/>
      <c r="AS50" s="131"/>
      <c r="AT50" s="131"/>
      <c r="AU50" s="131"/>
      <c r="AV50" s="131"/>
      <c r="AW50" s="131"/>
      <c r="AX50" s="131"/>
      <c r="AY50" s="131"/>
      <c r="AZ50" s="131"/>
      <c r="BA50" s="131"/>
      <c r="BB50" s="131"/>
      <c r="BC50" s="131"/>
      <c r="BD50" s="131"/>
      <c r="BE50" s="131"/>
      <c r="BF50" s="131"/>
      <c r="BG50" s="12"/>
      <c r="BH50" s="131"/>
      <c r="BI50" s="5" t="str">
        <f t="shared" ref="BI50:BQ50" si="185">IF($E50="H",IF($F49="Hybrid - Thrust + 2 connections","Hybrid_Mix_Req_Value","HybridDD_Value"),IF($E50=3,"TreDD_Value",IF($E50="PA","AcroPair_Value",IF(LEFT($F49,4)="Acro",CONCATENATE(BI$16,$E50,"_Value"),""))))</f>
        <v/>
      </c>
      <c r="BJ50" s="5" t="str">
        <f t="shared" si="185"/>
        <v/>
      </c>
      <c r="BK50" s="5" t="str">
        <f t="shared" si="185"/>
        <v/>
      </c>
      <c r="BL50" s="5" t="str">
        <f t="shared" si="185"/>
        <v/>
      </c>
      <c r="BM50" s="5" t="str">
        <f t="shared" si="185"/>
        <v/>
      </c>
      <c r="BN50" s="5" t="str">
        <f t="shared" si="185"/>
        <v/>
      </c>
      <c r="BO50" s="5" t="str">
        <f t="shared" si="185"/>
        <v/>
      </c>
      <c r="BP50" s="5" t="str">
        <f t="shared" si="185"/>
        <v/>
      </c>
      <c r="BQ50" s="5" t="str">
        <f t="shared" si="185"/>
        <v/>
      </c>
      <c r="BR50" s="12" t="str">
        <f t="shared" ref="BR50:CL50" si="186">IF($E50="H",IF($F49="Hybrid - Thrust + 2 connections","Data!$BI$1:$BI$5","HybridDD_Value"),"Data!$BI$1:$BI$5")</f>
        <v>Data!$BI$1:$BI$5</v>
      </c>
      <c r="BS50" s="12" t="str">
        <f t="shared" si="186"/>
        <v>Data!$BI$1:$BI$5</v>
      </c>
      <c r="BT50" s="12" t="str">
        <f t="shared" si="186"/>
        <v>Data!$BI$1:$BI$5</v>
      </c>
      <c r="BU50" s="12" t="str">
        <f t="shared" si="186"/>
        <v>Data!$BI$1:$BI$5</v>
      </c>
      <c r="BV50" s="12" t="str">
        <f t="shared" si="186"/>
        <v>Data!$BI$1:$BI$5</v>
      </c>
      <c r="BW50" s="12" t="str">
        <f t="shared" si="186"/>
        <v>Data!$BI$1:$BI$5</v>
      </c>
      <c r="BX50" s="12" t="str">
        <f t="shared" si="186"/>
        <v>Data!$BI$1:$BI$5</v>
      </c>
      <c r="BY50" s="12" t="str">
        <f t="shared" si="186"/>
        <v>Data!$BI$1:$BI$5</v>
      </c>
      <c r="BZ50" s="12" t="str">
        <f t="shared" si="186"/>
        <v>Data!$BI$1:$BI$5</v>
      </c>
      <c r="CA50" s="12" t="str">
        <f t="shared" si="186"/>
        <v>Data!$BI$1:$BI$5</v>
      </c>
      <c r="CB50" s="12" t="str">
        <f t="shared" si="186"/>
        <v>Data!$BI$1:$BI$5</v>
      </c>
      <c r="CC50" s="12" t="str">
        <f t="shared" si="186"/>
        <v>Data!$BI$1:$BI$5</v>
      </c>
      <c r="CD50" s="12" t="str">
        <f t="shared" si="186"/>
        <v>Data!$BI$1:$BI$5</v>
      </c>
      <c r="CE50" s="12" t="str">
        <f t="shared" si="186"/>
        <v>Data!$BI$1:$BI$5</v>
      </c>
      <c r="CF50" s="12" t="str">
        <f t="shared" si="186"/>
        <v>Data!$BI$1:$BI$5</v>
      </c>
      <c r="CG50" s="12" t="str">
        <f t="shared" si="186"/>
        <v>Data!$BI$1:$BI$5</v>
      </c>
      <c r="CH50" s="12" t="str">
        <f t="shared" si="186"/>
        <v>Data!$BI$1:$BI$5</v>
      </c>
      <c r="CI50" s="12" t="str">
        <f t="shared" si="186"/>
        <v>Data!$BI$1:$BI$5</v>
      </c>
      <c r="CJ50" s="12" t="str">
        <f t="shared" si="186"/>
        <v>Data!$BI$1:$BI$5</v>
      </c>
      <c r="CK50" s="12" t="str">
        <f t="shared" si="186"/>
        <v>Data!$BI$1:$BI$5</v>
      </c>
      <c r="CL50" s="12" t="str">
        <f t="shared" si="186"/>
        <v>Data!$BI$1:$BI$5</v>
      </c>
      <c r="CM50" s="131"/>
      <c r="CN50" s="131"/>
      <c r="CO50" s="124" t="str">
        <f>IFERROR(IF(AND($BV$6="T",$BV$8="T",LEFT(F49,4)="Acro",AO50&gt;3),"X",IF($N$7="X",IF(AND(E50="C",AO50&gt;$CN$6),"X",IF(AND(E50="A",AO50&gt;$CN$4),"X",IF(AND(E50="B",AO50&gt;$CN$5),"X",IF(AND(E50="P",AO50&gt;$CN$7),"X","")))),"")),"")</f>
        <v/>
      </c>
      <c r="CP50" s="63"/>
      <c r="CQ50" s="5"/>
      <c r="CR50" s="15"/>
      <c r="CS50" s="5"/>
      <c r="CT50" s="5"/>
      <c r="CU50" s="5"/>
      <c r="CV50" s="5"/>
      <c r="CW50" s="5"/>
      <c r="CX50" s="5"/>
      <c r="CY50" s="5"/>
      <c r="CZ50" s="5"/>
      <c r="DA50" s="15"/>
      <c r="DB50" s="15"/>
      <c r="DC50" s="15"/>
      <c r="DD50" s="15" t="str">
        <f t="shared" si="10"/>
        <v/>
      </c>
      <c r="DE50" s="15" t="str">
        <f t="shared" si="11"/>
        <v/>
      </c>
      <c r="DF50" s="15" t="str">
        <f t="shared" si="12"/>
        <v/>
      </c>
      <c r="DG50" s="15" t="str">
        <f t="shared" si="13"/>
        <v/>
      </c>
      <c r="DH50" s="15"/>
      <c r="DI50" s="15"/>
      <c r="DJ50" s="15"/>
      <c r="DK50" s="15"/>
      <c r="DL50" s="15"/>
      <c r="DM50" s="15"/>
      <c r="DN50" s="15"/>
      <c r="DO50" s="15">
        <v>32</v>
      </c>
      <c r="DP50" s="15"/>
      <c r="DQ50" s="15"/>
      <c r="DR50" s="15"/>
      <c r="DS50" s="15"/>
      <c r="DT50" s="15"/>
      <c r="DU50" s="15"/>
      <c r="DV50" s="15"/>
      <c r="DW50" s="15"/>
      <c r="DX50" s="15"/>
      <c r="DY50" s="15"/>
      <c r="DZ50" s="15"/>
      <c r="EA50" s="15"/>
      <c r="EB50" s="15"/>
      <c r="EC50" s="15"/>
      <c r="ED50" s="15"/>
      <c r="EE50" s="15"/>
      <c r="EF50" s="15" t="str">
        <f t="array" ref="EF50">IFERROR(INDEX(EH50:FK50,MATCH(TRUE,INDEX((EH50:FK50&lt;&gt;""),),0)),"")</f>
        <v/>
      </c>
      <c r="EG50" s="15"/>
      <c r="EH50" s="15" t="str">
        <f t="shared" ref="EH50:FK50" si="187">IF(F49="Hybrid - Thrust + 2 connections",IF(COUNTIF($EH49:$FA49,EH49)&gt;1,EH49,""),IF(COUNTIF($EH49:$FA49,EH49)&gt;5,EH49,""))</f>
        <v/>
      </c>
      <c r="EI50" s="15" t="str">
        <f t="shared" si="187"/>
        <v/>
      </c>
      <c r="EJ50" s="15" t="str">
        <f t="shared" si="187"/>
        <v/>
      </c>
      <c r="EK50" s="15" t="str">
        <f t="shared" si="187"/>
        <v/>
      </c>
      <c r="EL50" s="15" t="str">
        <f t="shared" si="187"/>
        <v/>
      </c>
      <c r="EM50" s="15" t="str">
        <f t="shared" si="187"/>
        <v/>
      </c>
      <c r="EN50" s="15" t="str">
        <f t="shared" si="187"/>
        <v/>
      </c>
      <c r="EO50" s="15" t="str">
        <f t="shared" si="187"/>
        <v/>
      </c>
      <c r="EP50" s="15" t="str">
        <f t="shared" si="187"/>
        <v/>
      </c>
      <c r="EQ50" s="15" t="str">
        <f t="shared" si="187"/>
        <v/>
      </c>
      <c r="ER50" s="15" t="str">
        <f t="shared" si="187"/>
        <v/>
      </c>
      <c r="ES50" s="15" t="str">
        <f t="shared" si="187"/>
        <v/>
      </c>
      <c r="ET50" s="15" t="str">
        <f t="shared" si="187"/>
        <v/>
      </c>
      <c r="EU50" s="15" t="str">
        <f t="shared" si="187"/>
        <v/>
      </c>
      <c r="EV50" s="15" t="str">
        <f t="shared" si="187"/>
        <v/>
      </c>
      <c r="EW50" s="15" t="str">
        <f t="shared" si="187"/>
        <v/>
      </c>
      <c r="EX50" s="15" t="str">
        <f t="shared" si="187"/>
        <v/>
      </c>
      <c r="EY50" s="15" t="str">
        <f t="shared" si="187"/>
        <v/>
      </c>
      <c r="EZ50" s="15" t="str">
        <f t="shared" si="187"/>
        <v/>
      </c>
      <c r="FA50" s="15" t="str">
        <f t="shared" si="187"/>
        <v/>
      </c>
      <c r="FB50" s="15" t="str">
        <f t="shared" si="187"/>
        <v/>
      </c>
      <c r="FC50" s="15" t="str">
        <f t="shared" si="187"/>
        <v/>
      </c>
      <c r="FD50" s="15" t="str">
        <f t="shared" si="187"/>
        <v/>
      </c>
      <c r="FE50" s="15" t="str">
        <f t="shared" si="187"/>
        <v/>
      </c>
      <c r="FF50" s="15" t="str">
        <f t="shared" si="187"/>
        <v/>
      </c>
      <c r="FG50" s="15" t="str">
        <f t="shared" si="187"/>
        <v/>
      </c>
      <c r="FH50" s="15" t="str">
        <f t="shared" si="187"/>
        <v/>
      </c>
      <c r="FI50" s="15" t="str">
        <f t="shared" si="187"/>
        <v/>
      </c>
      <c r="FJ50" s="15" t="str">
        <f t="shared" si="187"/>
        <v/>
      </c>
      <c r="FK50" s="15" t="str">
        <f t="shared" si="187"/>
        <v/>
      </c>
      <c r="FL50" s="15">
        <f>FL48+5</f>
        <v>75</v>
      </c>
      <c r="FM50" s="15" t="str">
        <f ca="1">OFFSET($FM$75,FL50,0)</f>
        <v/>
      </c>
      <c r="FN50" s="15" t="str">
        <f ca="1">OFFSET($FN$75,FL50,0)</f>
        <v/>
      </c>
      <c r="FO50" s="244"/>
      <c r="FP50" s="245"/>
      <c r="FQ50" s="245"/>
      <c r="FR50" s="245"/>
      <c r="FS50" s="245"/>
      <c r="FT50" s="245"/>
      <c r="FU50" s="245"/>
      <c r="FV50" s="245"/>
      <c r="FW50" s="245"/>
      <c r="FX50" s="245"/>
      <c r="FY50" s="245"/>
      <c r="FZ50" s="245"/>
      <c r="GA50" s="245"/>
      <c r="GB50" s="245"/>
      <c r="GC50" s="245"/>
      <c r="GD50" s="245"/>
      <c r="GE50" s="245"/>
      <c r="GF50" s="245"/>
      <c r="GG50" s="245"/>
      <c r="GH50" s="245"/>
      <c r="GI50" s="245"/>
      <c r="GJ50" s="245"/>
      <c r="GK50" s="245"/>
      <c r="GL50" s="245"/>
      <c r="GM50" s="245"/>
      <c r="GN50" s="245"/>
      <c r="GO50" s="245"/>
      <c r="GP50" s="245"/>
      <c r="GQ50" s="245"/>
      <c r="GR50" s="246"/>
      <c r="GS50" s="15"/>
      <c r="GT50" s="15"/>
      <c r="GU50" s="15"/>
      <c r="GV50" s="15"/>
      <c r="GW50" s="15"/>
      <c r="GX50" s="15"/>
      <c r="GY50" s="15"/>
      <c r="GZ50" s="15"/>
      <c r="HA50" s="15" t="str">
        <f>IF($F49="Hybrid - Thrust + 2 connections",COUNTBLANK(J49:L49),"")</f>
        <v/>
      </c>
      <c r="HB50" s="15"/>
      <c r="HC50" s="5"/>
      <c r="HD50" s="5"/>
      <c r="HE50" s="5"/>
      <c r="HF50" s="5"/>
    </row>
    <row r="51" spans="1:214" ht="12.75" customHeight="1" x14ac:dyDescent="0.3">
      <c r="A51" s="118" t="str">
        <f>IF(AND(E49="",A49&lt;&gt;""),IF(CP49=$CP$18,"",IF(C49&lt;&gt;"",IF(D49=59,MINUTE(CP49)+1,MINUTE(CP49)),"")),"")</f>
        <v/>
      </c>
      <c r="B51" s="119" t="str">
        <f>IF(AND(E49="",B49&lt;&gt;""),IF(CP49=$CP$18,"",IF(C49&lt;&gt;"",IF(D49=59,0,SECOND(CP49)+1),"")),"")</f>
        <v/>
      </c>
      <c r="C51" s="119"/>
      <c r="D51" s="119"/>
      <c r="E51" s="119"/>
      <c r="F51" s="57"/>
      <c r="G51" s="120" t="str">
        <f>IF(F51&lt;&gt;"",IF(OR(F51="Transition",F51="Transition - Surface Connection"),0,MAX($G$19:G50)+1),"")</f>
        <v/>
      </c>
      <c r="H51" s="223" t="str">
        <f>IFERROR(IF(E52="3","",IF(OR(F51="Hybrid - min 4 swimmers (no DD)",LEFT(F51,5)="Trans"),"No DD",CONCATENATE("BM = ",I52))),"")</f>
        <v/>
      </c>
      <c r="I51" s="224"/>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2"/>
      <c r="AO51" s="123"/>
      <c r="AP51" s="52"/>
      <c r="AQ51" s="52"/>
      <c r="AR51" s="12"/>
      <c r="AS51" s="12"/>
      <c r="AT51" s="12"/>
      <c r="AU51" s="12"/>
      <c r="AV51" s="12"/>
      <c r="AW51" s="12"/>
      <c r="AX51" s="12"/>
      <c r="AY51" s="12"/>
      <c r="AZ51" s="12"/>
      <c r="BA51" s="12"/>
      <c r="BB51" s="12"/>
      <c r="BC51" s="12"/>
      <c r="BD51" s="12"/>
      <c r="BE51" s="12"/>
      <c r="BF51" s="12"/>
      <c r="BG51" s="12" t="str">
        <f t="array" ref="BG51">IFERROR(IF(F51&lt;&gt;"",INDEX(Parts_Active,MATCH(F51,Parts_Active,0)),""),"No")</f>
        <v/>
      </c>
      <c r="BH51" s="12"/>
      <c r="BI51" s="12" t="str">
        <f>IF($E52="H",IF($F51="Hybrid - Thrust + 2 connections","Hybrid_Mix_Req",IF($F51="Hybrid - min 4 swimmers (no DD)","Hybrid_ChoHY","HybridDD_Code")),IF($E52=3,"TreDD_Code",IF($E52="PA","AcroPair_Code",IF(LEFT($F51,4)="Acro",CONCATENATE(BI$16,$E52,"_Code"),"Data!$BI$1:$BI$5"))))</f>
        <v>Data!$BI$1:$BI$5</v>
      </c>
      <c r="BJ51" s="12" t="str">
        <f t="shared" ref="BJ51:BQ51" si="188">IF($E52="H",IF($F51="Hybrid - Thrust + 2 connections","Hybrid_Mix_Req",IF($F51="Hybrid - min 4 swimmers (no DD)","Data!$BI$1:$BI$5","HybridDD_Code")),IF($E52=3,"TreDD_Code",IF($E52="PA","AcroPair_Code",IF(LEFT($F51,4)="Acro",CONCATENATE(BJ$16,$E52,"_Code"),"Data!$BI$1:$BI$5"))))</f>
        <v>Data!$BI$1:$BI$5</v>
      </c>
      <c r="BK51" s="12" t="str">
        <f t="shared" si="188"/>
        <v>Data!$BI$1:$BI$5</v>
      </c>
      <c r="BL51" s="12" t="str">
        <f t="shared" si="188"/>
        <v>Data!$BI$1:$BI$5</v>
      </c>
      <c r="BM51" s="12" t="str">
        <f t="shared" si="188"/>
        <v>Data!$BI$1:$BI$5</v>
      </c>
      <c r="BN51" s="12" t="str">
        <f t="shared" si="188"/>
        <v>Data!$BI$1:$BI$5</v>
      </c>
      <c r="BO51" s="12" t="str">
        <f t="shared" si="188"/>
        <v>Data!$BI$1:$BI$5</v>
      </c>
      <c r="BP51" s="12" t="str">
        <f t="shared" si="188"/>
        <v>Data!$BI$1:$BI$5</v>
      </c>
      <c r="BQ51" s="12" t="str">
        <f t="shared" si="188"/>
        <v>Data!$BI$1:$BI$5</v>
      </c>
      <c r="BR51" s="12" t="str">
        <f>IF($E52="H",IF($F51="Hybrid - Thrust + 2 connections","Data!$BI$1:$BI$5","HybridDD_Code"),"Data!$BI$1:$BI$5")</f>
        <v>Data!$BI$1:$BI$5</v>
      </c>
      <c r="BS51" s="12" t="str">
        <f t="shared" ref="BS51:CL51" si="189">$BR51</f>
        <v>Data!$BI$1:$BI$5</v>
      </c>
      <c r="BT51" s="12" t="str">
        <f t="shared" si="189"/>
        <v>Data!$BI$1:$BI$5</v>
      </c>
      <c r="BU51" s="12" t="str">
        <f t="shared" si="189"/>
        <v>Data!$BI$1:$BI$5</v>
      </c>
      <c r="BV51" s="12" t="str">
        <f t="shared" si="189"/>
        <v>Data!$BI$1:$BI$5</v>
      </c>
      <c r="BW51" s="12" t="str">
        <f t="shared" si="189"/>
        <v>Data!$BI$1:$BI$5</v>
      </c>
      <c r="BX51" s="12" t="str">
        <f t="shared" si="189"/>
        <v>Data!$BI$1:$BI$5</v>
      </c>
      <c r="BY51" s="12" t="str">
        <f t="shared" si="189"/>
        <v>Data!$BI$1:$BI$5</v>
      </c>
      <c r="BZ51" s="12" t="str">
        <f t="shared" si="189"/>
        <v>Data!$BI$1:$BI$5</v>
      </c>
      <c r="CA51" s="12" t="str">
        <f t="shared" si="189"/>
        <v>Data!$BI$1:$BI$5</v>
      </c>
      <c r="CB51" s="12" t="str">
        <f t="shared" si="189"/>
        <v>Data!$BI$1:$BI$5</v>
      </c>
      <c r="CC51" s="12" t="str">
        <f t="shared" si="189"/>
        <v>Data!$BI$1:$BI$5</v>
      </c>
      <c r="CD51" s="12" t="str">
        <f t="shared" si="189"/>
        <v>Data!$BI$1:$BI$5</v>
      </c>
      <c r="CE51" s="12" t="str">
        <f t="shared" si="189"/>
        <v>Data!$BI$1:$BI$5</v>
      </c>
      <c r="CF51" s="12" t="str">
        <f t="shared" si="189"/>
        <v>Data!$BI$1:$BI$5</v>
      </c>
      <c r="CG51" s="12" t="str">
        <f t="shared" si="189"/>
        <v>Data!$BI$1:$BI$5</v>
      </c>
      <c r="CH51" s="12" t="str">
        <f t="shared" si="189"/>
        <v>Data!$BI$1:$BI$5</v>
      </c>
      <c r="CI51" s="12" t="str">
        <f t="shared" si="189"/>
        <v>Data!$BI$1:$BI$5</v>
      </c>
      <c r="CJ51" s="12" t="str">
        <f t="shared" si="189"/>
        <v>Data!$BI$1:$BI$5</v>
      </c>
      <c r="CK51" s="12" t="str">
        <f t="shared" si="189"/>
        <v>Data!$BI$1:$BI$5</v>
      </c>
      <c r="CL51" s="12" t="str">
        <f t="shared" si="189"/>
        <v>Data!$BI$1:$BI$5</v>
      </c>
      <c r="CM51" s="12"/>
      <c r="CN51" s="12"/>
      <c r="CO51" s="63" t="str">
        <f>IFERROR(TIME(0,A51,B51),"")</f>
        <v/>
      </c>
      <c r="CP51" s="63">
        <f>IFERROR(TIME(0,C51,D51),"")</f>
        <v>0</v>
      </c>
      <c r="CQ51" s="63" t="str">
        <f>IF(CP51&gt;$D$12,"X","")</f>
        <v/>
      </c>
      <c r="CR51" s="15" t="str">
        <f>IF(AND(F51="Hybrid - Thrust + 2 connections",OR(LEFT(J51,1)="T",LEFT(K51,1)="T",LEFT(L51,1)="T",LEFT(OY51,1)="T",LEFT(M51,1)="T",LEFT(N51,1)="T",LEFT(O51,1)="T",LEFT(P51,1)="T",LEFT(Q51,1)="T",LEFT(R51,1)="T",LEFT(S51,1)="T",LEFT(T51,1)="T",LEFT(U51,1)="T",LEFT(V51,1)="T",LEFT(W51,1)="T",LEFT(X51,1)="T",LEFT(AK51,1)="T",LEFT(AL51,1)="T",LEFT(AM51,1)="T")),IF(OR(LEN(J51)=2,LEN(K51)=2,LEN(L51)=2,LEN(M51)=2,LEN(N51)=2,LEN(O51)=2,LEN(P51)=2,LEN(Q51)=2,LEN(R51)=2,LEN(S51)=2,LEN(T51)=2,LEN(U51)=2,LEN(V51)=2,LEN(W51)=2,LEN(X51)=2,LEN(Y51)=2,LEN(Z51)=2,LEN(AK51)=2,LEN(AL51)=2,LEN(AM51)=2),"X",""),"")</f>
        <v/>
      </c>
      <c r="CS51" s="5" t="str">
        <f>IF(F51="Hybrid",SECOND(CP51),"")</f>
        <v/>
      </c>
      <c r="CT51" s="15" t="str">
        <f>IF(LEFT(F51,4)="Acro",IF(AND(N51&lt;&gt;"",M51=RIGHT(N51,2)),"X","OK"),"")</f>
        <v/>
      </c>
      <c r="CU51" s="12" t="str">
        <f t="array" ref="CU51">IFERROR(IF(AND(LEFT($F51,4)="Acro",INDEX(Requ_App,MATCH(BI51,Requ_Code,0))="No"),"X",""),"")</f>
        <v/>
      </c>
      <c r="CV51" s="12" t="str">
        <f t="array" ref="CV51">IFERROR(IF(AND(LEFT($F51,4)="Acro",INDEX(Requ_App,MATCH(BJ51,Requ_Code,0))="No"),"X",""),"")</f>
        <v/>
      </c>
      <c r="CW51" s="12" t="str">
        <f t="array" ref="CW51">IFERROR(IF(AND(LEFT($F51,4)="Acro",INDEX(Requ_App,MATCH(BK51,Requ_Code,0))="No"),"X",""),"")</f>
        <v/>
      </c>
      <c r="CX51" s="12" t="str">
        <f t="array" ref="CX51">IFERROR(IF(AND(LEFT($F51,4)="Acro",INDEX(Requ_App,MATCH(BL51,Requ_Code,0))="No"),"X",""),"")</f>
        <v/>
      </c>
      <c r="CY51" s="12" t="str">
        <f t="array" ref="CY51">IFERROR(IF(AND(LEFT($F51,4)="Acro",INDEX(Requ_App,MATCH(BM51,Requ_Code,0))="No"),"X",""),"")</f>
        <v/>
      </c>
      <c r="CZ51" s="12" t="str">
        <f t="array" ref="CZ51">IFERROR(IF(AND(LEFT($F51,4)="Acro",INDEX(Requ_App,MATCH(BN51,Requ_Code,0))="No"),"X",""),"")</f>
        <v/>
      </c>
      <c r="DA51" s="12" t="str">
        <f t="array" ref="DA51">IFERROR(IF(AND(LEFT($F51,4)="Acro",INDEX(Requ_App,MATCH(BO51,Requ_Code,0))="No"),"X",""),"")</f>
        <v/>
      </c>
      <c r="DB51" s="12" t="str">
        <f t="array" ref="DB51">IFERROR(IF(AND(LEFT($F51,4)="Acro",INDEX(Requ_App,MATCH(BP51,Requ_Code,0))="No"),"X",""),"")</f>
        <v/>
      </c>
      <c r="DC51" s="12" t="str">
        <f t="array" ref="DC51">IFERROR(IF(AND(LEFT($F51,4)="Acro",INDEX(Requ_App,MATCH(BP51,Requ_Code,0))="No"),"X",""),"")</f>
        <v/>
      </c>
      <c r="DD51" s="15" t="str">
        <f t="shared" si="10"/>
        <v/>
      </c>
      <c r="DE51" s="15" t="str">
        <f t="shared" si="11"/>
        <v/>
      </c>
      <c r="DF51" s="15" t="str">
        <f t="shared" si="12"/>
        <v/>
      </c>
      <c r="DG51" s="15" t="str">
        <f t="shared" si="13"/>
        <v/>
      </c>
      <c r="DH51" s="15"/>
      <c r="DI51" s="15"/>
      <c r="DJ51" s="15"/>
      <c r="DK51" s="15">
        <f>IF(AND(E52="A",OR(Q51="Grip",Q51="Conn",Q51="Catch")),"A1",IF(AND(E52="A",OR(Q51="Hula",Q51="RetSq",Q51="RetPa")),"A2",IF(AND(E52="B",OR(Q51="Twirl",Q51="RotF")),"B1",IF(AND(E52="B",OR(Q51="Moon",Q51="Mov")),"B2",IF(AND(E52="B",Q51="Hold"),"B3",IF(AND(E52="P",OR(Q51="Porp",Q51="Spitch")),"P1",IF(AND(E52="P",OR(Q51="Dive",Q51="Ps1",Q51="Ps1t0.5",Q51="Ps1op",Q51="Ps1t0,5o",Q51="Ps1t1",Q51="CH+")),"P2",IF(AND(E52="P",OR(Q51="Spider",Q51="Climb")),"P3",IF(AND(E52="P",OR(Q51="Fall",Q51="FTurn")),"P4",IF(AND(E52="C",OR(Q51="Jump",Q51="Jump&gt;",Q51="On1Foot",Q51="1F&gt;1F")),"C1",IF(AND(E52="C",OR(Q51="Run",Q51="BRun")),"C2",1)))))))))))</f>
        <v>1</v>
      </c>
      <c r="DL51" s="15">
        <f>IF(AND(E52="A",OR(R51="Grip",R51="Conn",R51="Catch")),"A1",IF(AND(E52="A",OR(R51="Hula",R51="RetSq",R51="RetPa")),"A2",IF(AND(E52="B",OR(R51="Twirl",R51="RotF")),"B1",IF(AND(E52="B",OR(R51="Moon",R51="Mov")),"B3",IF(AND(E52="B",R51="Hold"),"B2",IF(AND(E52="P",OR(R51="Porp",R51="Spitch")),"P1",IF(AND(E52="P",OR(R51="Dive",R51="Ps1",R51="Ps1t0.5",R51="Ps1op",R51="Ps1t0,5o",R51="Ps1t1",R51="CH+")),"P2",IF(AND(E52="P",OR(R51="Spider",R51="Climb")),"P3",IF(AND(E52="P",OR(R51="Fall",R51="FTurn")),"P4",IF(AND(E52="C",OR(R51="Jump",R51="Jump&gt;",R51="On1Foot",R51="1F&gt;1F")),"C1",IF(AND(E52="C",OR(R51="Run",R51="BRun")),"C2",2)))))))))))</f>
        <v>2</v>
      </c>
      <c r="DM51" s="15" t="str">
        <f>IF(AND(LEFT(F51,4)="Acro",Q51&lt;&gt;"",OR(Q51=R51,DK51=DL51)),IF(R51="C-Roll","","X"),IF(OR(AND(E52="A",Q51="Catch",R51&lt;&gt;"Dbl"),AND(E52="A",R51="Catch",Q51&lt;&gt;"Dbl")),"X",""))</f>
        <v/>
      </c>
      <c r="DN51" s="15" t="str">
        <f>IF(E52="PA",J51,"")</f>
        <v/>
      </c>
      <c r="DO51" s="15">
        <v>33</v>
      </c>
      <c r="DP51" s="15"/>
      <c r="DQ51" s="15" t="str">
        <f t="shared" ref="DQ51:DR51" si="190">IF(AND($E52="A",COUNTIF($DZ$19:$EA$68,DZ51)&gt;1),DZ51,"")</f>
        <v/>
      </c>
      <c r="DR51" s="15" t="str">
        <f t="shared" si="190"/>
        <v/>
      </c>
      <c r="DS51" s="15" t="str">
        <f ca="1">IF(AND($E52="B",COUNTIF($J$19:$J$68,J51)&gt;1),J51,"")</f>
        <v/>
      </c>
      <c r="DT51" s="15" t="str">
        <f ca="1">IF(AND($E52="B",COUNTIF($K$19:$K$68,K51)&gt;1),K51,"")</f>
        <v/>
      </c>
      <c r="DU51" s="15" t="str">
        <f ca="1">IF(AND($E52="C",COUNTIF($J$19:$J$68,J51)&gt;1),J51,"")</f>
        <v/>
      </c>
      <c r="DV51" s="15" t="str">
        <f ca="1">IF(AND($E52="P",COUNTIF($J$19:$J$68,J51)&gt;1),J51,"")</f>
        <v/>
      </c>
      <c r="DW51" s="15" t="str">
        <f ca="1">IF(AND($E52="P",COUNTIF($K$19:$K$68,K51)&gt;1),K51,"")</f>
        <v/>
      </c>
      <c r="DX51" s="15" t="str">
        <f t="shared" ref="DX51:DY51" si="191">IF(AND($E52="P",COUNTIF($DZ$19:$EA$68,DZ51)&gt;1),DZ51,"")</f>
        <v/>
      </c>
      <c r="DY51" s="15" t="str">
        <f t="shared" si="191"/>
        <v/>
      </c>
      <c r="DZ51" s="15" t="str">
        <f>IFERROR(IF(OR(E52="A",E52="P"),M51,""),"")</f>
        <v/>
      </c>
      <c r="EA51" s="15" t="str">
        <f>IFERROR(IF(OR(E52="A",E52="P"),RIGHT(N51,2),""),"")</f>
        <v/>
      </c>
      <c r="EB51" s="15"/>
      <c r="EC51" s="15" t="str">
        <f>IF(AND($F$8="Open Team Acrobatic",LEFT(F51,4)="Acro"),E52,"")</f>
        <v/>
      </c>
      <c r="ED51" s="15" t="str">
        <f>IFERROR(IF(HLOOKUP(EC51,$DQ$12:$DT$13,2,FALSE)&gt;2,"X",""),"")</f>
        <v/>
      </c>
      <c r="EE51" s="15"/>
      <c r="EF51" s="15" t="str">
        <f>IF(OR(AND(F51="Hybrid - Thrust + 2 connections",EF52="T"),AND(E52="H",EF52&lt;&gt;"")),"X","")</f>
        <v/>
      </c>
      <c r="EG51" s="15"/>
      <c r="EH51" s="15">
        <f t="shared" ref="EH51:EX51" si="192">IFERROR(IF(AND($E52="H",J51&lt;&gt;""),IF(OR(LEFT(J51,1)="T",LEFT(J51,1)="S",LEFT(J51,1)="A",LEFT(J51,1)="F",LEFT(J51,1)="C"),LEFT(J51,1),"R"),EH$18),"")</f>
        <v>1</v>
      </c>
      <c r="EI51" s="15">
        <f t="shared" si="192"/>
        <v>2</v>
      </c>
      <c r="EJ51" s="15">
        <f t="shared" si="192"/>
        <v>3</v>
      </c>
      <c r="EK51" s="15">
        <f t="shared" si="192"/>
        <v>4</v>
      </c>
      <c r="EL51" s="15">
        <f t="shared" si="192"/>
        <v>5</v>
      </c>
      <c r="EM51" s="15">
        <f t="shared" si="192"/>
        <v>6</v>
      </c>
      <c r="EN51" s="15">
        <f t="shared" si="192"/>
        <v>7</v>
      </c>
      <c r="EO51" s="15">
        <f t="shared" si="192"/>
        <v>8</v>
      </c>
      <c r="EP51" s="15">
        <f t="shared" si="192"/>
        <v>9</v>
      </c>
      <c r="EQ51" s="15">
        <f t="shared" si="192"/>
        <v>10</v>
      </c>
      <c r="ER51" s="15">
        <f t="shared" si="192"/>
        <v>11</v>
      </c>
      <c r="ES51" s="15">
        <f t="shared" si="192"/>
        <v>12</v>
      </c>
      <c r="ET51" s="15">
        <f t="shared" si="192"/>
        <v>13</v>
      </c>
      <c r="EU51" s="15">
        <f t="shared" si="192"/>
        <v>14</v>
      </c>
      <c r="EV51" s="15">
        <f t="shared" si="192"/>
        <v>15</v>
      </c>
      <c r="EW51" s="15">
        <f t="shared" si="192"/>
        <v>16</v>
      </c>
      <c r="EX51" s="15">
        <f t="shared" si="192"/>
        <v>17</v>
      </c>
      <c r="EY51" s="15">
        <f t="shared" ref="EY51:FK51" si="193">IFERROR(IF(AND($E52="H",AK51&lt;&gt;""),IF(OR(LEFT(AK51,1)="T",LEFT(AK51,1)="S",LEFT(AK51,1)="A",LEFT(AK51,1)="F",LEFT(AK51,1)="C"),LEFT(AK51,1),"R"),EY$18),"")</f>
        <v>18</v>
      </c>
      <c r="EZ51" s="15">
        <f t="shared" si="193"/>
        <v>19</v>
      </c>
      <c r="FA51" s="15">
        <f t="shared" si="193"/>
        <v>20</v>
      </c>
      <c r="FB51" s="15">
        <f t="shared" si="193"/>
        <v>21</v>
      </c>
      <c r="FC51" s="15">
        <f t="shared" si="193"/>
        <v>22</v>
      </c>
      <c r="FD51" s="15">
        <f t="shared" si="193"/>
        <v>23</v>
      </c>
      <c r="FE51" s="15">
        <f t="shared" si="193"/>
        <v>24</v>
      </c>
      <c r="FF51" s="15">
        <f t="shared" si="193"/>
        <v>25</v>
      </c>
      <c r="FG51" s="15">
        <f t="shared" si="193"/>
        <v>26</v>
      </c>
      <c r="FH51" s="15">
        <f t="shared" si="193"/>
        <v>27</v>
      </c>
      <c r="FI51" s="15">
        <f t="shared" si="193"/>
        <v>28</v>
      </c>
      <c r="FJ51" s="15">
        <f t="shared" si="193"/>
        <v>29</v>
      </c>
      <c r="FK51" s="15">
        <f t="shared" si="193"/>
        <v>30</v>
      </c>
      <c r="FL51" s="15"/>
      <c r="FM51" s="15"/>
      <c r="FN51" s="15"/>
      <c r="FO51" s="244"/>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6"/>
      <c r="GS51" s="15"/>
      <c r="GT51" s="15">
        <f t="shared" ref="GT51:GY51" si="194">COUNTIF($EH51:$FK51,GT$18)</f>
        <v>0</v>
      </c>
      <c r="GU51" s="15">
        <f t="shared" si="194"/>
        <v>0</v>
      </c>
      <c r="GV51" s="15">
        <f t="shared" si="194"/>
        <v>0</v>
      </c>
      <c r="GW51" s="15">
        <f t="shared" si="194"/>
        <v>0</v>
      </c>
      <c r="GX51" s="15">
        <f t="shared" si="194"/>
        <v>0</v>
      </c>
      <c r="GY51" s="15">
        <f t="shared" si="194"/>
        <v>0</v>
      </c>
      <c r="GZ51" s="15"/>
      <c r="HA51" s="15" t="str">
        <f>IF(AND($F51="Hybrid - Thrust + 2 connections",HA52=0,LEFT($J51,1)="C",LEFT($K51,1)="C",LEFT($L51,1)="C"),"X","")</f>
        <v/>
      </c>
      <c r="HB51" s="15"/>
      <c r="HC51" s="5"/>
      <c r="HD51" s="124"/>
      <c r="HE51" s="124"/>
      <c r="HF51" s="5" t="str">
        <f>IF(E52=3,_xludf.NUMBERVALUE(LEFT(J51,1)),"")</f>
        <v/>
      </c>
    </row>
    <row r="52" spans="1:214" ht="12.75" customHeight="1" x14ac:dyDescent="0.3">
      <c r="A52" s="118"/>
      <c r="B52" s="119"/>
      <c r="C52" s="119"/>
      <c r="D52" s="119"/>
      <c r="E52" s="50" t="str">
        <f>IF(F51="Acrobatic - Pair","PA",IF(F51="Acrobatic Airborn","A",IF(F51="Acrobatic Balance","B",IF(F51="Acrobatic Combined","C",IF(F51="Acrobatic Platform","P",IF(F51="Technical Required Element",3,IF(LEFT(F51,4)="Hybr","H","")))))))</f>
        <v/>
      </c>
      <c r="F52" s="50" t="str">
        <f>IF(AND(F51="Hybrid - Thrust + 2 connections",CR51="X"),"Hybrid - Thrust",IF(OR(E52="A",E52="B",E52="C",E52="P"),"Acrobatic",""))</f>
        <v/>
      </c>
      <c r="G52" s="120"/>
      <c r="H52" s="126" t="str">
        <f>IF(E52="PA",IF(OR(LEFT(J51,1)="L",LEFT(J51,1)="S"),"A-Pair-Lift",IF(OR(LEFT(J51,1)="W",LEFT(J51,1)="T"),"A-Pair-Throw",IF(LEFT(J51,1)="J","A-Pair-Jump","A-Pair"))),IF(OR(E52="A",E52="B",E52="C",E52="P"),CONCATENATE("Acro-",E52),""))</f>
        <v/>
      </c>
      <c r="I52" s="127" t="e">
        <f t="array" ref="I52">IF(OR(F51="Hybrid - min 4 swimmers (no DD)",LEFT(F51,5)="Trans"),0,INDEX($BY$3:$BY$9,MATCH(E52,$BX$3:$BX$9,0)))</f>
        <v>#N/A</v>
      </c>
      <c r="J52" s="128">
        <f t="array" aca="1" ref="J52" ca="1">IFERROR(IF($H51="No DD",IF(J51="ChoHY",1,0),IF(OR(ISBLANK(J51),J51="N/A"),0,INDEX(INDIRECT(BI52),MATCH(J51,INDIRECT(BI51),0)))),0)</f>
        <v>0</v>
      </c>
      <c r="K52" s="128">
        <f t="shared" ref="K52:AM52" ca="1" si="195">IFERROR(IF($H51="No DD",0,IF(OR(ISBLANK(K51),K51="N/A"),0,INDEX(INDIRECT(BJ52),MATCH(K51,INDIRECT(BJ51),0)))),0)</f>
        <v>0</v>
      </c>
      <c r="L52" s="128">
        <f t="shared" ca="1" si="195"/>
        <v>0</v>
      </c>
      <c r="M52" s="128">
        <f t="shared" ca="1" si="195"/>
        <v>0</v>
      </c>
      <c r="N52" s="128">
        <f t="shared" ca="1" si="195"/>
        <v>0</v>
      </c>
      <c r="O52" s="128">
        <f t="shared" ca="1" si="195"/>
        <v>0</v>
      </c>
      <c r="P52" s="128">
        <f t="shared" ca="1" si="195"/>
        <v>0</v>
      </c>
      <c r="Q52" s="128">
        <f t="shared" ca="1" si="195"/>
        <v>0</v>
      </c>
      <c r="R52" s="128">
        <f t="shared" ca="1" si="195"/>
        <v>0</v>
      </c>
      <c r="S52" s="128">
        <f t="shared" ca="1" si="195"/>
        <v>0</v>
      </c>
      <c r="T52" s="128">
        <f t="shared" ca="1" si="195"/>
        <v>0</v>
      </c>
      <c r="U52" s="128">
        <f t="shared" ca="1" si="195"/>
        <v>0</v>
      </c>
      <c r="V52" s="128">
        <f t="shared" ca="1" si="195"/>
        <v>0</v>
      </c>
      <c r="W52" s="128">
        <f t="shared" ca="1" si="195"/>
        <v>0</v>
      </c>
      <c r="X52" s="128">
        <f t="shared" ca="1" si="195"/>
        <v>0</v>
      </c>
      <c r="Y52" s="128">
        <f t="shared" ca="1" si="195"/>
        <v>0</v>
      </c>
      <c r="Z52" s="128">
        <f t="shared" ca="1" si="195"/>
        <v>0</v>
      </c>
      <c r="AA52" s="128">
        <f t="shared" ca="1" si="195"/>
        <v>0</v>
      </c>
      <c r="AB52" s="128">
        <f t="shared" ca="1" si="195"/>
        <v>0</v>
      </c>
      <c r="AC52" s="128">
        <f t="shared" ca="1" si="195"/>
        <v>0</v>
      </c>
      <c r="AD52" s="128">
        <f t="shared" ca="1" si="195"/>
        <v>0</v>
      </c>
      <c r="AE52" s="128">
        <f t="shared" ca="1" si="195"/>
        <v>0</v>
      </c>
      <c r="AF52" s="128">
        <f t="shared" ca="1" si="195"/>
        <v>0</v>
      </c>
      <c r="AG52" s="128">
        <f t="shared" ca="1" si="195"/>
        <v>0</v>
      </c>
      <c r="AH52" s="128">
        <f t="shared" ca="1" si="195"/>
        <v>0</v>
      </c>
      <c r="AI52" s="128">
        <f t="shared" ca="1" si="195"/>
        <v>0</v>
      </c>
      <c r="AJ52" s="128">
        <f t="shared" ca="1" si="195"/>
        <v>0</v>
      </c>
      <c r="AK52" s="128">
        <f t="shared" ca="1" si="195"/>
        <v>0</v>
      </c>
      <c r="AL52" s="128">
        <f t="shared" ca="1" si="195"/>
        <v>0</v>
      </c>
      <c r="AM52" s="128">
        <f t="shared" ca="1" si="195"/>
        <v>0</v>
      </c>
      <c r="AN52" s="129" t="str">
        <f t="array" ref="AN52">IFERROR(IF(E52="H",INDEX(HybridBonus_Value,MATCH(AN51,HybridBonus_Code,0)),""),"")</f>
        <v/>
      </c>
      <c r="AO52" s="130" t="str">
        <f>IFERROR(SUM(I52:AN52),"")</f>
        <v/>
      </c>
      <c r="AP52" s="132"/>
      <c r="AQ52" s="132"/>
      <c r="AR52" s="131"/>
      <c r="AS52" s="131"/>
      <c r="AT52" s="131"/>
      <c r="AU52" s="131"/>
      <c r="AV52" s="131"/>
      <c r="AW52" s="131"/>
      <c r="AX52" s="131"/>
      <c r="AY52" s="131"/>
      <c r="AZ52" s="131"/>
      <c r="BA52" s="131"/>
      <c r="BB52" s="131"/>
      <c r="BC52" s="131"/>
      <c r="BD52" s="131"/>
      <c r="BE52" s="131"/>
      <c r="BF52" s="131"/>
      <c r="BG52" s="12"/>
      <c r="BH52" s="131"/>
      <c r="BI52" s="5" t="str">
        <f t="shared" ref="BI52:BQ52" si="196">IF($E52="H",IF($F51="Hybrid - Thrust + 2 connections","Hybrid_Mix_Req_Value","HybridDD_Value"),IF($E52=3,"TreDD_Value",IF($E52="PA","AcroPair_Value",IF(LEFT($F51,4)="Acro",CONCATENATE(BI$16,$E52,"_Value"),""))))</f>
        <v/>
      </c>
      <c r="BJ52" s="5" t="str">
        <f t="shared" si="196"/>
        <v/>
      </c>
      <c r="BK52" s="5" t="str">
        <f t="shared" si="196"/>
        <v/>
      </c>
      <c r="BL52" s="5" t="str">
        <f t="shared" si="196"/>
        <v/>
      </c>
      <c r="BM52" s="5" t="str">
        <f t="shared" si="196"/>
        <v/>
      </c>
      <c r="BN52" s="5" t="str">
        <f t="shared" si="196"/>
        <v/>
      </c>
      <c r="BO52" s="5" t="str">
        <f t="shared" si="196"/>
        <v/>
      </c>
      <c r="BP52" s="5" t="str">
        <f t="shared" si="196"/>
        <v/>
      </c>
      <c r="BQ52" s="5" t="str">
        <f t="shared" si="196"/>
        <v/>
      </c>
      <c r="BR52" s="12" t="str">
        <f t="shared" ref="BR52:CL52" si="197">IF($E52="H",IF($F51="Hybrid - Thrust + 2 connections","Data!$BI$1:$BI$5","HybridDD_Value"),"Data!$BI$1:$BI$5")</f>
        <v>Data!$BI$1:$BI$5</v>
      </c>
      <c r="BS52" s="12" t="str">
        <f t="shared" si="197"/>
        <v>Data!$BI$1:$BI$5</v>
      </c>
      <c r="BT52" s="12" t="str">
        <f t="shared" si="197"/>
        <v>Data!$BI$1:$BI$5</v>
      </c>
      <c r="BU52" s="12" t="str">
        <f t="shared" si="197"/>
        <v>Data!$BI$1:$BI$5</v>
      </c>
      <c r="BV52" s="12" t="str">
        <f t="shared" si="197"/>
        <v>Data!$BI$1:$BI$5</v>
      </c>
      <c r="BW52" s="12" t="str">
        <f t="shared" si="197"/>
        <v>Data!$BI$1:$BI$5</v>
      </c>
      <c r="BX52" s="12" t="str">
        <f t="shared" si="197"/>
        <v>Data!$BI$1:$BI$5</v>
      </c>
      <c r="BY52" s="12" t="str">
        <f t="shared" si="197"/>
        <v>Data!$BI$1:$BI$5</v>
      </c>
      <c r="BZ52" s="12" t="str">
        <f t="shared" si="197"/>
        <v>Data!$BI$1:$BI$5</v>
      </c>
      <c r="CA52" s="12" t="str">
        <f t="shared" si="197"/>
        <v>Data!$BI$1:$BI$5</v>
      </c>
      <c r="CB52" s="12" t="str">
        <f t="shared" si="197"/>
        <v>Data!$BI$1:$BI$5</v>
      </c>
      <c r="CC52" s="12" t="str">
        <f t="shared" si="197"/>
        <v>Data!$BI$1:$BI$5</v>
      </c>
      <c r="CD52" s="12" t="str">
        <f t="shared" si="197"/>
        <v>Data!$BI$1:$BI$5</v>
      </c>
      <c r="CE52" s="12" t="str">
        <f t="shared" si="197"/>
        <v>Data!$BI$1:$BI$5</v>
      </c>
      <c r="CF52" s="12" t="str">
        <f t="shared" si="197"/>
        <v>Data!$BI$1:$BI$5</v>
      </c>
      <c r="CG52" s="12" t="str">
        <f t="shared" si="197"/>
        <v>Data!$BI$1:$BI$5</v>
      </c>
      <c r="CH52" s="12" t="str">
        <f t="shared" si="197"/>
        <v>Data!$BI$1:$BI$5</v>
      </c>
      <c r="CI52" s="12" t="str">
        <f t="shared" si="197"/>
        <v>Data!$BI$1:$BI$5</v>
      </c>
      <c r="CJ52" s="12" t="str">
        <f t="shared" si="197"/>
        <v>Data!$BI$1:$BI$5</v>
      </c>
      <c r="CK52" s="12" t="str">
        <f t="shared" si="197"/>
        <v>Data!$BI$1:$BI$5</v>
      </c>
      <c r="CL52" s="12" t="str">
        <f t="shared" si="197"/>
        <v>Data!$BI$1:$BI$5</v>
      </c>
      <c r="CM52" s="131"/>
      <c r="CN52" s="131"/>
      <c r="CO52" s="124" t="str">
        <f>IFERROR(IF(AND($BV$6="T",$BV$8="T",LEFT(F51,4)="Acro",AO52&gt;3),"X",IF($N$7="X",IF(AND(E52="C",AO52&gt;$CN$6),"X",IF(AND(E52="A",AO52&gt;$CN$4),"X",IF(AND(E52="B",AO52&gt;$CN$5),"X",IF(AND(E52="P",AO52&gt;$CN$7),"X","")))),"")),"")</f>
        <v/>
      </c>
      <c r="CP52" s="63"/>
      <c r="CQ52" s="5"/>
      <c r="CR52" s="15"/>
      <c r="CS52" s="5"/>
      <c r="CT52" s="5"/>
      <c r="CU52" s="5"/>
      <c r="CV52" s="5"/>
      <c r="CW52" s="5"/>
      <c r="CX52" s="5"/>
      <c r="CY52" s="5"/>
      <c r="CZ52" s="5"/>
      <c r="DA52" s="15"/>
      <c r="DB52" s="15"/>
      <c r="DC52" s="15"/>
      <c r="DD52" s="15" t="str">
        <f t="shared" si="10"/>
        <v/>
      </c>
      <c r="DE52" s="15" t="str">
        <f t="shared" si="11"/>
        <v/>
      </c>
      <c r="DF52" s="15" t="str">
        <f t="shared" si="12"/>
        <v/>
      </c>
      <c r="DG52" s="15" t="str">
        <f t="shared" si="13"/>
        <v/>
      </c>
      <c r="DH52" s="15"/>
      <c r="DI52" s="15"/>
      <c r="DJ52" s="15"/>
      <c r="DK52" s="15"/>
      <c r="DL52" s="15"/>
      <c r="DM52" s="15"/>
      <c r="DN52" s="15"/>
      <c r="DO52" s="15">
        <v>34</v>
      </c>
      <c r="DP52" s="15"/>
      <c r="DQ52" s="15"/>
      <c r="DR52" s="15"/>
      <c r="DS52" s="15"/>
      <c r="DT52" s="15"/>
      <c r="DU52" s="15"/>
      <c r="DV52" s="15"/>
      <c r="DW52" s="15"/>
      <c r="DX52" s="15"/>
      <c r="DY52" s="15"/>
      <c r="DZ52" s="15"/>
      <c r="EA52" s="15"/>
      <c r="EB52" s="15"/>
      <c r="EC52" s="15"/>
      <c r="ED52" s="15"/>
      <c r="EE52" s="15"/>
      <c r="EF52" s="15" t="str">
        <f t="array" ref="EF52">IFERROR(INDEX(EH52:FK52,MATCH(TRUE,INDEX((EH52:FK52&lt;&gt;""),),0)),"")</f>
        <v/>
      </c>
      <c r="EG52" s="15"/>
      <c r="EH52" s="15" t="str">
        <f t="shared" ref="EH52:FK52" si="198">IF(F51="Hybrid - Thrust + 2 connections",IF(COUNTIF($EH51:$FA51,EH51)&gt;1,EH51,""),IF(COUNTIF($EH51:$FA51,EH51)&gt;5,EH51,""))</f>
        <v/>
      </c>
      <c r="EI52" s="15" t="str">
        <f t="shared" si="198"/>
        <v/>
      </c>
      <c r="EJ52" s="15" t="str">
        <f t="shared" si="198"/>
        <v/>
      </c>
      <c r="EK52" s="15" t="str">
        <f t="shared" si="198"/>
        <v/>
      </c>
      <c r="EL52" s="15" t="str">
        <f t="shared" si="198"/>
        <v/>
      </c>
      <c r="EM52" s="15" t="str">
        <f t="shared" si="198"/>
        <v/>
      </c>
      <c r="EN52" s="15" t="str">
        <f t="shared" si="198"/>
        <v/>
      </c>
      <c r="EO52" s="15" t="str">
        <f t="shared" si="198"/>
        <v/>
      </c>
      <c r="EP52" s="15" t="str">
        <f t="shared" si="198"/>
        <v/>
      </c>
      <c r="EQ52" s="15" t="str">
        <f t="shared" si="198"/>
        <v/>
      </c>
      <c r="ER52" s="15" t="str">
        <f t="shared" si="198"/>
        <v/>
      </c>
      <c r="ES52" s="15" t="str">
        <f t="shared" si="198"/>
        <v/>
      </c>
      <c r="ET52" s="15" t="str">
        <f t="shared" si="198"/>
        <v/>
      </c>
      <c r="EU52" s="15" t="str">
        <f t="shared" si="198"/>
        <v/>
      </c>
      <c r="EV52" s="15" t="str">
        <f t="shared" si="198"/>
        <v/>
      </c>
      <c r="EW52" s="15" t="str">
        <f t="shared" si="198"/>
        <v/>
      </c>
      <c r="EX52" s="15" t="str">
        <f t="shared" si="198"/>
        <v/>
      </c>
      <c r="EY52" s="15" t="str">
        <f t="shared" si="198"/>
        <v/>
      </c>
      <c r="EZ52" s="15" t="str">
        <f t="shared" si="198"/>
        <v/>
      </c>
      <c r="FA52" s="15" t="str">
        <f t="shared" si="198"/>
        <v/>
      </c>
      <c r="FB52" s="15" t="str">
        <f t="shared" si="198"/>
        <v/>
      </c>
      <c r="FC52" s="15" t="str">
        <f t="shared" si="198"/>
        <v/>
      </c>
      <c r="FD52" s="15" t="str">
        <f t="shared" si="198"/>
        <v/>
      </c>
      <c r="FE52" s="15" t="str">
        <f t="shared" si="198"/>
        <v/>
      </c>
      <c r="FF52" s="15" t="str">
        <f t="shared" si="198"/>
        <v/>
      </c>
      <c r="FG52" s="15" t="str">
        <f t="shared" si="198"/>
        <v/>
      </c>
      <c r="FH52" s="15" t="str">
        <f t="shared" si="198"/>
        <v/>
      </c>
      <c r="FI52" s="15" t="str">
        <f t="shared" si="198"/>
        <v/>
      </c>
      <c r="FJ52" s="15" t="str">
        <f t="shared" si="198"/>
        <v/>
      </c>
      <c r="FK52" s="15" t="str">
        <f t="shared" si="198"/>
        <v/>
      </c>
      <c r="FL52" s="15">
        <f>FL50+5</f>
        <v>80</v>
      </c>
      <c r="FM52" s="15" t="str">
        <f ca="1">OFFSET($FM$75,FL52,0)</f>
        <v/>
      </c>
      <c r="FN52" s="15" t="str">
        <f ca="1">OFFSET($FN$75,FL52,0)</f>
        <v/>
      </c>
      <c r="FO52" s="244"/>
      <c r="FP52" s="245"/>
      <c r="FQ52" s="245"/>
      <c r="FR52" s="245"/>
      <c r="FS52" s="245"/>
      <c r="FT52" s="245"/>
      <c r="FU52" s="245"/>
      <c r="FV52" s="245"/>
      <c r="FW52" s="245"/>
      <c r="FX52" s="245"/>
      <c r="FY52" s="245"/>
      <c r="FZ52" s="245"/>
      <c r="GA52" s="245"/>
      <c r="GB52" s="245"/>
      <c r="GC52" s="245"/>
      <c r="GD52" s="245"/>
      <c r="GE52" s="245"/>
      <c r="GF52" s="245"/>
      <c r="GG52" s="245"/>
      <c r="GH52" s="245"/>
      <c r="GI52" s="245"/>
      <c r="GJ52" s="245"/>
      <c r="GK52" s="245"/>
      <c r="GL52" s="245"/>
      <c r="GM52" s="245"/>
      <c r="GN52" s="245"/>
      <c r="GO52" s="245"/>
      <c r="GP52" s="245"/>
      <c r="GQ52" s="245"/>
      <c r="GR52" s="246"/>
      <c r="GS52" s="15"/>
      <c r="GT52" s="15"/>
      <c r="GU52" s="15"/>
      <c r="GV52" s="15"/>
      <c r="GW52" s="15"/>
      <c r="GX52" s="15"/>
      <c r="GY52" s="15"/>
      <c r="GZ52" s="15"/>
      <c r="HA52" s="15" t="str">
        <f>IF($F51="Hybrid - Thrust + 2 connections",COUNTBLANK(J51:L51),"")</f>
        <v/>
      </c>
      <c r="HB52" s="15"/>
      <c r="HC52" s="5"/>
      <c r="HD52" s="5"/>
      <c r="HE52" s="5"/>
      <c r="HF52" s="5"/>
    </row>
    <row r="53" spans="1:214" ht="12.75" customHeight="1" x14ac:dyDescent="0.3">
      <c r="A53" s="118" t="str">
        <f>IF(AND(E51="",A51&lt;&gt;""),IF(CP51=$CP$18,"",IF(C51&lt;&gt;"",IF(D51=59,MINUTE(CP51)+1,MINUTE(CP51)),"")),"")</f>
        <v/>
      </c>
      <c r="B53" s="119" t="str">
        <f>IF(AND(E51="",B51&lt;&gt;""),IF(CP51=$CP$18,"",IF(C51&lt;&gt;"",IF(D51=59,0,SECOND(CP51)+1),"")),"")</f>
        <v/>
      </c>
      <c r="C53" s="119"/>
      <c r="D53" s="119"/>
      <c r="E53" s="119"/>
      <c r="F53" s="57"/>
      <c r="G53" s="120" t="str">
        <f>IF(F53&lt;&gt;"",IF(OR(F53="Transition",F53="Transition - Surface Connection"),0,MAX($G$19:G52)+1),"")</f>
        <v/>
      </c>
      <c r="H53" s="223" t="str">
        <f>IFERROR(IF(E54="3","",IF(OR(F53="Hybrid - min 4 swimmers (no DD)",LEFT(F53,5)="Trans"),"No DD",CONCATENATE("BM = ",I54))),"")</f>
        <v/>
      </c>
      <c r="I53" s="224"/>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2"/>
      <c r="AO53" s="123"/>
      <c r="AP53" s="52"/>
      <c r="AQ53" s="52"/>
      <c r="AR53" s="12"/>
      <c r="AS53" s="12"/>
      <c r="AT53" s="12"/>
      <c r="AU53" s="12"/>
      <c r="AV53" s="12"/>
      <c r="AW53" s="12"/>
      <c r="AX53" s="12"/>
      <c r="AY53" s="12"/>
      <c r="AZ53" s="12"/>
      <c r="BA53" s="12"/>
      <c r="BB53" s="12"/>
      <c r="BC53" s="12"/>
      <c r="BD53" s="12"/>
      <c r="BE53" s="12"/>
      <c r="BF53" s="12"/>
      <c r="BG53" s="12" t="str">
        <f t="array" ref="BG53">IFERROR(IF(F53&lt;&gt;"",INDEX(Parts_Active,MATCH(F53,Parts_Active,0)),""),"No")</f>
        <v/>
      </c>
      <c r="BH53" s="12"/>
      <c r="BI53" s="12" t="str">
        <f>IF($E54="H",IF($F53="Hybrid - Thrust + 2 connections","Hybrid_Mix_Req",IF($F53="Hybrid - min 4 swimmers (no DD)","Hybrid_ChoHY","HybridDD_Code")),IF($E54=3,"TreDD_Code",IF($E54="PA","AcroPair_Code",IF(LEFT($F53,4)="Acro",CONCATENATE(BI$16,$E54,"_Code"),"Data!$BI$1:$BI$5"))))</f>
        <v>Data!$BI$1:$BI$5</v>
      </c>
      <c r="BJ53" s="12" t="str">
        <f t="shared" ref="BJ53:BQ53" si="199">IF($E54="H",IF($F53="Hybrid - Thrust + 2 connections","Hybrid_Mix_Req",IF($F53="Hybrid - min 4 swimmers (no DD)","Data!$BI$1:$BI$5","HybridDD_Code")),IF($E54=3,"TreDD_Code",IF($E54="PA","AcroPair_Code",IF(LEFT($F53,4)="Acro",CONCATENATE(BJ$16,$E54,"_Code"),"Data!$BI$1:$BI$5"))))</f>
        <v>Data!$BI$1:$BI$5</v>
      </c>
      <c r="BK53" s="12" t="str">
        <f t="shared" si="199"/>
        <v>Data!$BI$1:$BI$5</v>
      </c>
      <c r="BL53" s="12" t="str">
        <f t="shared" si="199"/>
        <v>Data!$BI$1:$BI$5</v>
      </c>
      <c r="BM53" s="12" t="str">
        <f t="shared" si="199"/>
        <v>Data!$BI$1:$BI$5</v>
      </c>
      <c r="BN53" s="12" t="str">
        <f t="shared" si="199"/>
        <v>Data!$BI$1:$BI$5</v>
      </c>
      <c r="BO53" s="12" t="str">
        <f t="shared" si="199"/>
        <v>Data!$BI$1:$BI$5</v>
      </c>
      <c r="BP53" s="12" t="str">
        <f t="shared" si="199"/>
        <v>Data!$BI$1:$BI$5</v>
      </c>
      <c r="BQ53" s="12" t="str">
        <f t="shared" si="199"/>
        <v>Data!$BI$1:$BI$5</v>
      </c>
      <c r="BR53" s="12" t="str">
        <f>IF($E54="H",IF($F53="Hybrid - Thrust + 2 connections","Data!$BI$1:$BI$5","HybridDD_Code"),"Data!$BI$1:$BI$5")</f>
        <v>Data!$BI$1:$BI$5</v>
      </c>
      <c r="BS53" s="12" t="str">
        <f t="shared" ref="BS53:CL53" si="200">$BR53</f>
        <v>Data!$BI$1:$BI$5</v>
      </c>
      <c r="BT53" s="12" t="str">
        <f t="shared" si="200"/>
        <v>Data!$BI$1:$BI$5</v>
      </c>
      <c r="BU53" s="12" t="str">
        <f t="shared" si="200"/>
        <v>Data!$BI$1:$BI$5</v>
      </c>
      <c r="BV53" s="12" t="str">
        <f t="shared" si="200"/>
        <v>Data!$BI$1:$BI$5</v>
      </c>
      <c r="BW53" s="12" t="str">
        <f t="shared" si="200"/>
        <v>Data!$BI$1:$BI$5</v>
      </c>
      <c r="BX53" s="12" t="str">
        <f t="shared" si="200"/>
        <v>Data!$BI$1:$BI$5</v>
      </c>
      <c r="BY53" s="12" t="str">
        <f t="shared" si="200"/>
        <v>Data!$BI$1:$BI$5</v>
      </c>
      <c r="BZ53" s="12" t="str">
        <f t="shared" si="200"/>
        <v>Data!$BI$1:$BI$5</v>
      </c>
      <c r="CA53" s="12" t="str">
        <f t="shared" si="200"/>
        <v>Data!$BI$1:$BI$5</v>
      </c>
      <c r="CB53" s="12" t="str">
        <f t="shared" si="200"/>
        <v>Data!$BI$1:$BI$5</v>
      </c>
      <c r="CC53" s="12" t="str">
        <f t="shared" si="200"/>
        <v>Data!$BI$1:$BI$5</v>
      </c>
      <c r="CD53" s="12" t="str">
        <f t="shared" si="200"/>
        <v>Data!$BI$1:$BI$5</v>
      </c>
      <c r="CE53" s="12" t="str">
        <f t="shared" si="200"/>
        <v>Data!$BI$1:$BI$5</v>
      </c>
      <c r="CF53" s="12" t="str">
        <f t="shared" si="200"/>
        <v>Data!$BI$1:$BI$5</v>
      </c>
      <c r="CG53" s="12" t="str">
        <f t="shared" si="200"/>
        <v>Data!$BI$1:$BI$5</v>
      </c>
      <c r="CH53" s="12" t="str">
        <f t="shared" si="200"/>
        <v>Data!$BI$1:$BI$5</v>
      </c>
      <c r="CI53" s="12" t="str">
        <f t="shared" si="200"/>
        <v>Data!$BI$1:$BI$5</v>
      </c>
      <c r="CJ53" s="12" t="str">
        <f t="shared" si="200"/>
        <v>Data!$BI$1:$BI$5</v>
      </c>
      <c r="CK53" s="12" t="str">
        <f t="shared" si="200"/>
        <v>Data!$BI$1:$BI$5</v>
      </c>
      <c r="CL53" s="12" t="str">
        <f t="shared" si="200"/>
        <v>Data!$BI$1:$BI$5</v>
      </c>
      <c r="CM53" s="12"/>
      <c r="CN53" s="12"/>
      <c r="CO53" s="63" t="str">
        <f>IFERROR(TIME(0,A53,B53),"")</f>
        <v/>
      </c>
      <c r="CP53" s="63">
        <f>IFERROR(TIME(0,C53,D53),"")</f>
        <v>0</v>
      </c>
      <c r="CQ53" s="63" t="str">
        <f>IF(CP53&gt;$D$12,"X","")</f>
        <v/>
      </c>
      <c r="CR53" s="15" t="str">
        <f>IF(AND(F53="Hybrid - Thrust + 2 connections",OR(LEFT(J53,1)="T",LEFT(K53,1)="T",LEFT(L53,1)="T",LEFT(OY53,1)="T",LEFT(M53,1)="T",LEFT(N53,1)="T",LEFT(O53,1)="T",LEFT(P53,1)="T",LEFT(Q53,1)="T",LEFT(R53,1)="T",LEFT(S53,1)="T",LEFT(T53,1)="T",LEFT(U53,1)="T",LEFT(V53,1)="T",LEFT(W53,1)="T",LEFT(X53,1)="T",LEFT(AK53,1)="T",LEFT(AL53,1)="T",LEFT(AM53,1)="T")),IF(OR(LEN(J53)=2,LEN(K53)=2,LEN(L53)=2,LEN(M53)=2,LEN(N53)=2,LEN(O53)=2,LEN(P53)=2,LEN(Q53)=2,LEN(R53)=2,LEN(S53)=2,LEN(T53)=2,LEN(U53)=2,LEN(V53)=2,LEN(W53)=2,LEN(X53)=2,LEN(Y53)=2,LEN(Z53)=2,LEN(AK53)=2,LEN(AL53)=2,LEN(AM53)=2),"X",""),"")</f>
        <v/>
      </c>
      <c r="CS53" s="5" t="str">
        <f t="shared" ref="CS53:CS57" si="201">IF(F53="Hybrid",SECOND(CP53),"")</f>
        <v/>
      </c>
      <c r="CT53" s="15" t="str">
        <f>IF(LEFT(F53,4)="Acro",IF(AND(N53&lt;&gt;"",M53=RIGHT(N53,2)),"X","OK"),"")</f>
        <v/>
      </c>
      <c r="CU53" s="12" t="str">
        <f t="array" ref="CU53">IFERROR(IF(AND(LEFT($F53,4)="Acro",INDEX(Requ_App,MATCH(BI53,Requ_Code,0))="No"),"X",""),"")</f>
        <v/>
      </c>
      <c r="CV53" s="12" t="str">
        <f t="array" ref="CV53">IFERROR(IF(AND(LEFT($F53,4)="Acro",INDEX(Requ_App,MATCH(BJ53,Requ_Code,0))="No"),"X",""),"")</f>
        <v/>
      </c>
      <c r="CW53" s="12" t="str">
        <f t="array" ref="CW53">IFERROR(IF(AND(LEFT($F53,4)="Acro",INDEX(Requ_App,MATCH(BK53,Requ_Code,0))="No"),"X",""),"")</f>
        <v/>
      </c>
      <c r="CX53" s="12" t="str">
        <f t="array" ref="CX53">IFERROR(IF(AND(LEFT($F53,4)="Acro",INDEX(Requ_App,MATCH(BL53,Requ_Code,0))="No"),"X",""),"")</f>
        <v/>
      </c>
      <c r="CY53" s="12" t="str">
        <f t="array" ref="CY53">IFERROR(IF(AND(LEFT($F53,4)="Acro",INDEX(Requ_App,MATCH(BM53,Requ_Code,0))="No"),"X",""),"")</f>
        <v/>
      </c>
      <c r="CZ53" s="12" t="str">
        <f t="array" ref="CZ53">IFERROR(IF(AND(LEFT($F53,4)="Acro",INDEX(Requ_App,MATCH(BN53,Requ_Code,0))="No"),"X",""),"")</f>
        <v/>
      </c>
      <c r="DA53" s="12" t="str">
        <f t="array" ref="DA53">IFERROR(IF(AND(LEFT($F53,4)="Acro",INDEX(Requ_App,MATCH(BO53,Requ_Code,0))="No"),"X",""),"")</f>
        <v/>
      </c>
      <c r="DB53" s="12" t="str">
        <f t="array" ref="DB53">IFERROR(IF(AND(LEFT($F53,4)="Acro",INDEX(Requ_App,MATCH(BP53,Requ_Code,0))="No"),"X",""),"")</f>
        <v/>
      </c>
      <c r="DC53" s="12" t="str">
        <f t="array" ref="DC53">IFERROR(IF(AND(LEFT($F53,4)="Acro",INDEX(Requ_App,MATCH(BP53,Requ_Code,0))="No"),"X",""),"")</f>
        <v/>
      </c>
      <c r="DD53" s="15" t="str">
        <f t="shared" si="10"/>
        <v/>
      </c>
      <c r="DE53" s="15" t="str">
        <f t="shared" si="11"/>
        <v/>
      </c>
      <c r="DF53" s="15" t="str">
        <f t="shared" si="12"/>
        <v/>
      </c>
      <c r="DG53" s="15" t="str">
        <f t="shared" si="13"/>
        <v/>
      </c>
      <c r="DH53" s="15"/>
      <c r="DI53" s="15"/>
      <c r="DJ53" s="15"/>
      <c r="DK53" s="15">
        <f>IF(AND(E54="A",OR(Q53="Grip",Q53="Conn",Q53="Catch")),"A1",IF(AND(E54="A",OR(Q53="Hula",Q53="RetSq",Q53="RetPa")),"A2",IF(AND(E54="B",OR(Q53="Twirl",Q53="RotF")),"B1",IF(AND(E54="B",OR(Q53="Moon",Q53="Mov")),"B2",IF(AND(E54="B",Q53="Hold"),"B3",IF(AND(E54="P",OR(Q53="Porp",Q53="Spitch")),"P1",IF(AND(E54="P",OR(Q53="Dive",Q53="Ps1",Q53="Ps1t0.5",Q53="Ps1op",Q53="Ps1t0,5o",Q53="Ps1t1",Q53="CH+")),"P2",IF(AND(E54="P",OR(Q53="Spider",Q53="Climb")),"P3",IF(AND(E54="P",OR(Q53="Fall",Q53="FTurn")),"P4",IF(AND(E54="C",OR(Q53="Jump",Q53="Jump&gt;",Q53="On1Foot",Q53="1F&gt;1F")),"C1",IF(AND(E54="C",OR(Q53="Run",Q53="BRun")),"C2",1)))))))))))</f>
        <v>1</v>
      </c>
      <c r="DL53" s="15">
        <f>IF(AND(E54="A",OR(R53="Grip",R53="Conn",R53="Catch")),"A1",IF(AND(E54="A",OR(R53="Hula",R53="RetSq",R53="RetPa")),"A2",IF(AND(E54="B",OR(R53="Twirl",R53="RotF")),"B1",IF(AND(E54="B",OR(R53="Moon",R53="Mov")),"B3",IF(AND(E54="B",R53="Hold"),"B2",IF(AND(E54="P",OR(R53="Porp",R53="Spitch")),"P1",IF(AND(E54="P",OR(R53="Dive",R53="Ps1",R53="Ps1t0.5",R53="Ps1op",R53="Ps1t0,5o",R53="Ps1t1",R53="CH+")),"P2",IF(AND(E54="P",OR(R53="Spider",R53="Climb")),"P3",IF(AND(E54="P",OR(R53="Fall",R53="FTurn")),"P4",IF(AND(E54="C",OR(R53="Jump",R53="Jump&gt;",R53="On1Foot",R53="1F&gt;1F")),"C1",IF(AND(E54="C",OR(R53="Run",R53="BRun")),"C2",2)))))))))))</f>
        <v>2</v>
      </c>
      <c r="DM53" s="15" t="str">
        <f>IF(AND(LEFT(F53,4)="Acro",Q53&lt;&gt;"",OR(Q53=R53,DK53=DL53)),IF(R53="C-Roll","","X"),IF(OR(AND(E54="A",Q53="Catch",R53&lt;&gt;"Dbl"),AND(E54="A",R53="Catch",Q53&lt;&gt;"Dbl")),"X",""))</f>
        <v/>
      </c>
      <c r="DN53" s="15" t="str">
        <f>IF(E54="PA",J53,"")</f>
        <v/>
      </c>
      <c r="DO53" s="15">
        <v>35</v>
      </c>
      <c r="DP53" s="15"/>
      <c r="DQ53" s="15" t="str">
        <f t="shared" ref="DQ53:DR53" si="202">IF(AND($E54="A",COUNTIF($DZ$19:$EA$68,DZ53)&gt;1),DZ53,"")</f>
        <v/>
      </c>
      <c r="DR53" s="15" t="str">
        <f t="shared" si="202"/>
        <v/>
      </c>
      <c r="DS53" s="15" t="str">
        <f ca="1">IF(AND($E54="B",COUNTIF($J$19:$J$68,J53)&gt;1),J53,"")</f>
        <v/>
      </c>
      <c r="DT53" s="15" t="str">
        <f ca="1">IF(AND($E54="B",COUNTIF($K$19:$K$68,K53)&gt;1),K53,"")</f>
        <v/>
      </c>
      <c r="DU53" s="15" t="str">
        <f ca="1">IF(AND($E54="C",COUNTIF($J$19:$J$68,J53)&gt;1),J53,"")</f>
        <v/>
      </c>
      <c r="DV53" s="15" t="str">
        <f ca="1">IF(AND($E54="P",COUNTIF($J$19:$J$68,J53)&gt;1),J53,"")</f>
        <v/>
      </c>
      <c r="DW53" s="15" t="str">
        <f ca="1">IF(AND($E54="P",COUNTIF($K$19:$K$68,K53)&gt;1),K53,"")</f>
        <v/>
      </c>
      <c r="DX53" s="15" t="str">
        <f t="shared" ref="DX53:DY53" si="203">IF(AND($E54="P",COUNTIF($DZ$19:$EA$68,DZ53)&gt;1),DZ53,"")</f>
        <v/>
      </c>
      <c r="DY53" s="15" t="str">
        <f t="shared" si="203"/>
        <v/>
      </c>
      <c r="DZ53" s="15" t="str">
        <f>IFERROR(IF(OR(E54="A",E54="P"),M53,""),"")</f>
        <v/>
      </c>
      <c r="EA53" s="15" t="str">
        <f>IFERROR(IF(OR(E54="A",E54="P"),RIGHT(N53,2),""),"")</f>
        <v/>
      </c>
      <c r="EB53" s="15"/>
      <c r="EC53" s="15" t="str">
        <f>IF(AND($F$8="Open Team Acrobatic",LEFT(F53,4)="Acro"),E54,"")</f>
        <v/>
      </c>
      <c r="ED53" s="15" t="str">
        <f>IFERROR(IF(HLOOKUP(EC53,$DQ$12:$DT$13,2,FALSE)&gt;2,"X",""),"")</f>
        <v/>
      </c>
      <c r="EE53" s="15"/>
      <c r="EF53" s="15" t="str">
        <f>IF(OR(AND(F53="Hybrid - Thrust + 2 connections",EF54="T"),AND(E54="H",EF54&lt;&gt;"")),"X","")</f>
        <v/>
      </c>
      <c r="EG53" s="15"/>
      <c r="EH53" s="15">
        <f t="shared" ref="EH53:EX53" si="204">IFERROR(IF(AND($E54="H",J53&lt;&gt;""),IF(OR(LEFT(J53,1)="T",LEFT(J53,1)="S",LEFT(J53,1)="A",LEFT(J53,1)="F",LEFT(J53,1)="C"),LEFT(J53,1),"R"),EH$18),"")</f>
        <v>1</v>
      </c>
      <c r="EI53" s="15">
        <f t="shared" si="204"/>
        <v>2</v>
      </c>
      <c r="EJ53" s="15">
        <f t="shared" si="204"/>
        <v>3</v>
      </c>
      <c r="EK53" s="15">
        <f t="shared" si="204"/>
        <v>4</v>
      </c>
      <c r="EL53" s="15">
        <f t="shared" si="204"/>
        <v>5</v>
      </c>
      <c r="EM53" s="15">
        <f t="shared" si="204"/>
        <v>6</v>
      </c>
      <c r="EN53" s="15">
        <f t="shared" si="204"/>
        <v>7</v>
      </c>
      <c r="EO53" s="15">
        <f t="shared" si="204"/>
        <v>8</v>
      </c>
      <c r="EP53" s="15">
        <f t="shared" si="204"/>
        <v>9</v>
      </c>
      <c r="EQ53" s="15">
        <f t="shared" si="204"/>
        <v>10</v>
      </c>
      <c r="ER53" s="15">
        <f t="shared" si="204"/>
        <v>11</v>
      </c>
      <c r="ES53" s="15">
        <f t="shared" si="204"/>
        <v>12</v>
      </c>
      <c r="ET53" s="15">
        <f t="shared" si="204"/>
        <v>13</v>
      </c>
      <c r="EU53" s="15">
        <f t="shared" si="204"/>
        <v>14</v>
      </c>
      <c r="EV53" s="15">
        <f t="shared" si="204"/>
        <v>15</v>
      </c>
      <c r="EW53" s="15">
        <f t="shared" si="204"/>
        <v>16</v>
      </c>
      <c r="EX53" s="15">
        <f t="shared" si="204"/>
        <v>17</v>
      </c>
      <c r="EY53" s="15">
        <f t="shared" ref="EY53:FK53" si="205">IFERROR(IF(AND($E54="H",AK53&lt;&gt;""),IF(OR(LEFT(AK53,1)="T",LEFT(AK53,1)="S",LEFT(AK53,1)="A",LEFT(AK53,1)="F",LEFT(AK53,1)="C"),LEFT(AK53,1),"R"),EY$18),"")</f>
        <v>18</v>
      </c>
      <c r="EZ53" s="15">
        <f t="shared" si="205"/>
        <v>19</v>
      </c>
      <c r="FA53" s="15">
        <f t="shared" si="205"/>
        <v>20</v>
      </c>
      <c r="FB53" s="15">
        <f t="shared" si="205"/>
        <v>21</v>
      </c>
      <c r="FC53" s="15">
        <f t="shared" si="205"/>
        <v>22</v>
      </c>
      <c r="FD53" s="15">
        <f t="shared" si="205"/>
        <v>23</v>
      </c>
      <c r="FE53" s="15">
        <f t="shared" si="205"/>
        <v>24</v>
      </c>
      <c r="FF53" s="15">
        <f t="shared" si="205"/>
        <v>25</v>
      </c>
      <c r="FG53" s="15">
        <f t="shared" si="205"/>
        <v>26</v>
      </c>
      <c r="FH53" s="15">
        <f t="shared" si="205"/>
        <v>27</v>
      </c>
      <c r="FI53" s="15">
        <f t="shared" si="205"/>
        <v>28</v>
      </c>
      <c r="FJ53" s="15">
        <f t="shared" si="205"/>
        <v>29</v>
      </c>
      <c r="FK53" s="15">
        <f t="shared" si="205"/>
        <v>30</v>
      </c>
      <c r="FL53" s="15"/>
      <c r="FM53" s="15"/>
      <c r="FN53" s="15"/>
      <c r="FO53" s="244"/>
      <c r="FP53" s="245"/>
      <c r="FQ53" s="245"/>
      <c r="FR53" s="245"/>
      <c r="FS53" s="245"/>
      <c r="FT53" s="245"/>
      <c r="FU53" s="245"/>
      <c r="FV53" s="245"/>
      <c r="FW53" s="245"/>
      <c r="FX53" s="245"/>
      <c r="FY53" s="245"/>
      <c r="FZ53" s="245"/>
      <c r="GA53" s="245"/>
      <c r="GB53" s="245"/>
      <c r="GC53" s="245"/>
      <c r="GD53" s="245"/>
      <c r="GE53" s="245"/>
      <c r="GF53" s="245"/>
      <c r="GG53" s="245"/>
      <c r="GH53" s="245"/>
      <c r="GI53" s="245"/>
      <c r="GJ53" s="245"/>
      <c r="GK53" s="245"/>
      <c r="GL53" s="245"/>
      <c r="GM53" s="245"/>
      <c r="GN53" s="245"/>
      <c r="GO53" s="245"/>
      <c r="GP53" s="245"/>
      <c r="GQ53" s="245"/>
      <c r="GR53" s="246"/>
      <c r="GS53" s="15"/>
      <c r="GT53" s="15">
        <f t="shared" ref="GT53:GY53" si="206">COUNTIF($EH53:$FK53,GT$18)</f>
        <v>0</v>
      </c>
      <c r="GU53" s="15">
        <f t="shared" si="206"/>
        <v>0</v>
      </c>
      <c r="GV53" s="15">
        <f t="shared" si="206"/>
        <v>0</v>
      </c>
      <c r="GW53" s="15">
        <f t="shared" si="206"/>
        <v>0</v>
      </c>
      <c r="GX53" s="15">
        <f t="shared" si="206"/>
        <v>0</v>
      </c>
      <c r="GY53" s="15">
        <f t="shared" si="206"/>
        <v>0</v>
      </c>
      <c r="GZ53" s="15"/>
      <c r="HA53" s="15" t="str">
        <f>IF(AND($F53="Hybrid - Thrust + 2 connections",HA54=0,LEFT($J53,1)="C",LEFT($K53,1)="C",LEFT($L53,1)="C"),"X","")</f>
        <v/>
      </c>
      <c r="HB53" s="15"/>
      <c r="HC53" s="5"/>
      <c r="HD53" s="124"/>
      <c r="HE53" s="124"/>
      <c r="HF53" s="5" t="str">
        <f>IF(E54=3,_xludf.NUMBERVALUE(LEFT(J53,1)),"")</f>
        <v/>
      </c>
    </row>
    <row r="54" spans="1:214" ht="12.75" customHeight="1" x14ac:dyDescent="0.3">
      <c r="A54" s="118"/>
      <c r="B54" s="119"/>
      <c r="C54" s="119"/>
      <c r="D54" s="119"/>
      <c r="E54" s="50" t="str">
        <f>IF(F53="Acrobatic - Pair","PA",IF(F53="Acrobatic Airborn","A",IF(F53="Acrobatic Balance","B",IF(F53="Acrobatic Combined","C",IF(F53="Acrobatic Platform","P",IF(F53="Technical Required Element",3,IF(LEFT(F53,4)="Hybr","H","")))))))</f>
        <v/>
      </c>
      <c r="F54" s="50" t="str">
        <f>IF(AND(F53="Hybrid - Thrust + 2 connections",CR53="X"),"Hybrid - Thrust",IF(OR(E54="A",E54="B",E54="C",E54="P"),"Acrobatic",""))</f>
        <v/>
      </c>
      <c r="G54" s="120"/>
      <c r="H54" s="126" t="str">
        <f>IF(E54="PA",IF(OR(LEFT(J53,1)="L",LEFT(J53,1)="S"),"A-Pair-Lift",IF(OR(LEFT(J53,1)="W",LEFT(J53,1)="T"),"A-Pair-Throw",IF(LEFT(J53,1)="J","A-Pair-Jump","A-Pair"))),IF(OR(E54="A",E54="B",E54="C",E54="P"),CONCATENATE("Acro-",E54),""))</f>
        <v/>
      </c>
      <c r="I54" s="127" t="e">
        <f t="array" ref="I54">IF(OR(F53="Hybrid - min 4 swimmers (no DD)",LEFT(F53,5)="Trans"),0,INDEX($BY$3:$BY$9,MATCH(E54,$BX$3:$BX$9,0)))</f>
        <v>#N/A</v>
      </c>
      <c r="J54" s="128">
        <f t="array" aca="1" ref="J54" ca="1">IFERROR(IF($H53="No DD",IF(J53="ChoHY",1,0),IF(OR(ISBLANK(J53),J53="N/A"),0,INDEX(INDIRECT(BI54),MATCH(J53,INDIRECT(BI53),0)))),0)</f>
        <v>0</v>
      </c>
      <c r="K54" s="128">
        <f t="shared" ref="K54:AM54" ca="1" si="207">IFERROR(IF($H53="No DD",0,IF(OR(ISBLANK(K53),K53="N/A"),0,INDEX(INDIRECT(BJ54),MATCH(K53,INDIRECT(BJ53),0)))),0)</f>
        <v>0</v>
      </c>
      <c r="L54" s="128">
        <f t="shared" ca="1" si="207"/>
        <v>0</v>
      </c>
      <c r="M54" s="128">
        <f t="shared" ca="1" si="207"/>
        <v>0</v>
      </c>
      <c r="N54" s="128">
        <f t="shared" ca="1" si="207"/>
        <v>0</v>
      </c>
      <c r="O54" s="128">
        <f t="shared" ca="1" si="207"/>
        <v>0</v>
      </c>
      <c r="P54" s="128">
        <f t="shared" ca="1" si="207"/>
        <v>0</v>
      </c>
      <c r="Q54" s="128">
        <f t="shared" ca="1" si="207"/>
        <v>0</v>
      </c>
      <c r="R54" s="128">
        <f t="shared" ca="1" si="207"/>
        <v>0</v>
      </c>
      <c r="S54" s="128">
        <f t="shared" ca="1" si="207"/>
        <v>0</v>
      </c>
      <c r="T54" s="128">
        <f t="shared" ca="1" si="207"/>
        <v>0</v>
      </c>
      <c r="U54" s="128">
        <f t="shared" ca="1" si="207"/>
        <v>0</v>
      </c>
      <c r="V54" s="128">
        <f t="shared" ca="1" si="207"/>
        <v>0</v>
      </c>
      <c r="W54" s="128">
        <f t="shared" ca="1" si="207"/>
        <v>0</v>
      </c>
      <c r="X54" s="128">
        <f t="shared" ca="1" si="207"/>
        <v>0</v>
      </c>
      <c r="Y54" s="128">
        <f t="shared" ca="1" si="207"/>
        <v>0</v>
      </c>
      <c r="Z54" s="128">
        <f t="shared" ca="1" si="207"/>
        <v>0</v>
      </c>
      <c r="AA54" s="128">
        <f t="shared" ca="1" si="207"/>
        <v>0</v>
      </c>
      <c r="AB54" s="128">
        <f t="shared" ca="1" si="207"/>
        <v>0</v>
      </c>
      <c r="AC54" s="128">
        <f t="shared" ca="1" si="207"/>
        <v>0</v>
      </c>
      <c r="AD54" s="128">
        <f t="shared" ca="1" si="207"/>
        <v>0</v>
      </c>
      <c r="AE54" s="128">
        <f t="shared" ca="1" si="207"/>
        <v>0</v>
      </c>
      <c r="AF54" s="128">
        <f t="shared" ca="1" si="207"/>
        <v>0</v>
      </c>
      <c r="AG54" s="128">
        <f t="shared" ca="1" si="207"/>
        <v>0</v>
      </c>
      <c r="AH54" s="128">
        <f t="shared" ca="1" si="207"/>
        <v>0</v>
      </c>
      <c r="AI54" s="128">
        <f t="shared" ca="1" si="207"/>
        <v>0</v>
      </c>
      <c r="AJ54" s="128">
        <f t="shared" ca="1" si="207"/>
        <v>0</v>
      </c>
      <c r="AK54" s="128">
        <f t="shared" ca="1" si="207"/>
        <v>0</v>
      </c>
      <c r="AL54" s="128">
        <f t="shared" ca="1" si="207"/>
        <v>0</v>
      </c>
      <c r="AM54" s="128">
        <f t="shared" ca="1" si="207"/>
        <v>0</v>
      </c>
      <c r="AN54" s="129" t="str">
        <f t="array" ref="AN54">IFERROR(IF(E54="H",INDEX(HybridBonus_Value,MATCH(AN53,HybridBonus_Code,0)),""),"")</f>
        <v/>
      </c>
      <c r="AO54" s="130" t="str">
        <f>IFERROR(SUM(I54:AN54),"")</f>
        <v/>
      </c>
      <c r="AP54" s="132"/>
      <c r="AQ54" s="132"/>
      <c r="AR54" s="131"/>
      <c r="AS54" s="131"/>
      <c r="AT54" s="131"/>
      <c r="AU54" s="131"/>
      <c r="AV54" s="131"/>
      <c r="AW54" s="131"/>
      <c r="AX54" s="131"/>
      <c r="AY54" s="131"/>
      <c r="AZ54" s="131"/>
      <c r="BA54" s="131"/>
      <c r="BB54" s="131"/>
      <c r="BC54" s="131"/>
      <c r="BD54" s="131"/>
      <c r="BE54" s="131"/>
      <c r="BF54" s="131"/>
      <c r="BG54" s="12"/>
      <c r="BH54" s="131"/>
      <c r="BI54" s="5" t="str">
        <f t="shared" ref="BI54:BQ54" si="208">IF($E54="H",IF($F53="Hybrid - Thrust + 2 connections","Hybrid_Mix_Req_Value","HybridDD_Value"),IF($E54=3,"TreDD_Value",IF($E54="PA","AcroPair_Value",IF(LEFT($F53,4)="Acro",CONCATENATE(BI$16,$E54,"_Value"),""))))</f>
        <v/>
      </c>
      <c r="BJ54" s="5" t="str">
        <f t="shared" si="208"/>
        <v/>
      </c>
      <c r="BK54" s="5" t="str">
        <f t="shared" si="208"/>
        <v/>
      </c>
      <c r="BL54" s="5" t="str">
        <f t="shared" si="208"/>
        <v/>
      </c>
      <c r="BM54" s="5" t="str">
        <f t="shared" si="208"/>
        <v/>
      </c>
      <c r="BN54" s="5" t="str">
        <f t="shared" si="208"/>
        <v/>
      </c>
      <c r="BO54" s="5" t="str">
        <f t="shared" si="208"/>
        <v/>
      </c>
      <c r="BP54" s="5" t="str">
        <f t="shared" si="208"/>
        <v/>
      </c>
      <c r="BQ54" s="5" t="str">
        <f t="shared" si="208"/>
        <v/>
      </c>
      <c r="BR54" s="12" t="str">
        <f t="shared" ref="BR54:CL54" si="209">IF($E54="H",IF($F53="Hybrid - Thrust + 2 connections","Data!$BI$1:$BI$5","HybridDD_Value"),"Data!$BI$1:$BI$5")</f>
        <v>Data!$BI$1:$BI$5</v>
      </c>
      <c r="BS54" s="12" t="str">
        <f t="shared" si="209"/>
        <v>Data!$BI$1:$BI$5</v>
      </c>
      <c r="BT54" s="12" t="str">
        <f t="shared" si="209"/>
        <v>Data!$BI$1:$BI$5</v>
      </c>
      <c r="BU54" s="12" t="str">
        <f t="shared" si="209"/>
        <v>Data!$BI$1:$BI$5</v>
      </c>
      <c r="BV54" s="12" t="str">
        <f t="shared" si="209"/>
        <v>Data!$BI$1:$BI$5</v>
      </c>
      <c r="BW54" s="12" t="str">
        <f t="shared" si="209"/>
        <v>Data!$BI$1:$BI$5</v>
      </c>
      <c r="BX54" s="12" t="str">
        <f t="shared" si="209"/>
        <v>Data!$BI$1:$BI$5</v>
      </c>
      <c r="BY54" s="12" t="str">
        <f t="shared" si="209"/>
        <v>Data!$BI$1:$BI$5</v>
      </c>
      <c r="BZ54" s="12" t="str">
        <f t="shared" si="209"/>
        <v>Data!$BI$1:$BI$5</v>
      </c>
      <c r="CA54" s="12" t="str">
        <f t="shared" si="209"/>
        <v>Data!$BI$1:$BI$5</v>
      </c>
      <c r="CB54" s="12" t="str">
        <f t="shared" si="209"/>
        <v>Data!$BI$1:$BI$5</v>
      </c>
      <c r="CC54" s="12" t="str">
        <f t="shared" si="209"/>
        <v>Data!$BI$1:$BI$5</v>
      </c>
      <c r="CD54" s="12" t="str">
        <f t="shared" si="209"/>
        <v>Data!$BI$1:$BI$5</v>
      </c>
      <c r="CE54" s="12" t="str">
        <f t="shared" si="209"/>
        <v>Data!$BI$1:$BI$5</v>
      </c>
      <c r="CF54" s="12" t="str">
        <f t="shared" si="209"/>
        <v>Data!$BI$1:$BI$5</v>
      </c>
      <c r="CG54" s="12" t="str">
        <f t="shared" si="209"/>
        <v>Data!$BI$1:$BI$5</v>
      </c>
      <c r="CH54" s="12" t="str">
        <f t="shared" si="209"/>
        <v>Data!$BI$1:$BI$5</v>
      </c>
      <c r="CI54" s="12" t="str">
        <f t="shared" si="209"/>
        <v>Data!$BI$1:$BI$5</v>
      </c>
      <c r="CJ54" s="12" t="str">
        <f t="shared" si="209"/>
        <v>Data!$BI$1:$BI$5</v>
      </c>
      <c r="CK54" s="12" t="str">
        <f t="shared" si="209"/>
        <v>Data!$BI$1:$BI$5</v>
      </c>
      <c r="CL54" s="12" t="str">
        <f t="shared" si="209"/>
        <v>Data!$BI$1:$BI$5</v>
      </c>
      <c r="CM54" s="131"/>
      <c r="CN54" s="131"/>
      <c r="CO54" s="124" t="str">
        <f>IFERROR(IF(AND($BV$6="T",$BV$8="T",LEFT(F53,4)="Acro",AO54&gt;3),"X",IF($N$7="X",IF(AND(E54="C",AO54&gt;$CN$6),"X",IF(AND(E54="A",AO54&gt;$CN$4),"X",IF(AND(E54="B",AO54&gt;$CN$5),"X",IF(AND(E54="P",AO54&gt;$CN$7),"X","")))),"")),"")</f>
        <v/>
      </c>
      <c r="CP54" s="63"/>
      <c r="CQ54" s="5"/>
      <c r="CR54" s="15"/>
      <c r="CS54" s="5" t="str">
        <f t="shared" si="201"/>
        <v/>
      </c>
      <c r="CT54" s="5"/>
      <c r="CU54" s="5"/>
      <c r="CV54" s="5"/>
      <c r="CW54" s="5"/>
      <c r="CX54" s="5"/>
      <c r="CY54" s="5"/>
      <c r="CZ54" s="5"/>
      <c r="DA54" s="15"/>
      <c r="DB54" s="15"/>
      <c r="DC54" s="15"/>
      <c r="DD54" s="15" t="str">
        <f t="shared" si="10"/>
        <v/>
      </c>
      <c r="DE54" s="15" t="str">
        <f t="shared" si="11"/>
        <v/>
      </c>
      <c r="DF54" s="15" t="str">
        <f t="shared" si="12"/>
        <v/>
      </c>
      <c r="DG54" s="15" t="str">
        <f t="shared" si="13"/>
        <v/>
      </c>
      <c r="DH54" s="15"/>
      <c r="DI54" s="15"/>
      <c r="DJ54" s="15"/>
      <c r="DK54" s="15"/>
      <c r="DL54" s="15"/>
      <c r="DM54" s="15"/>
      <c r="DN54" s="15"/>
      <c r="DO54" s="15">
        <v>36</v>
      </c>
      <c r="DP54" s="15"/>
      <c r="DQ54" s="15"/>
      <c r="DR54" s="15"/>
      <c r="DS54" s="15"/>
      <c r="DT54" s="15"/>
      <c r="DU54" s="15"/>
      <c r="DV54" s="15"/>
      <c r="DW54" s="15"/>
      <c r="DX54" s="15"/>
      <c r="DY54" s="15"/>
      <c r="DZ54" s="15"/>
      <c r="EA54" s="15"/>
      <c r="EB54" s="15"/>
      <c r="EC54" s="15"/>
      <c r="ED54" s="15"/>
      <c r="EE54" s="15"/>
      <c r="EF54" s="15" t="str">
        <f t="array" ref="EF54">IFERROR(INDEX(EH54:FK54,MATCH(TRUE,INDEX((EH54:FK54&lt;&gt;""),),0)),"")</f>
        <v/>
      </c>
      <c r="EG54" s="15"/>
      <c r="EH54" s="15" t="str">
        <f t="shared" ref="EH54:FK54" si="210">IF(F53="Hybrid - Thrust + 2 connections",IF(COUNTIF($EH53:$FA53,EH53)&gt;1,EH53,""),IF(COUNTIF($EH53:$FA53,EH53)&gt;5,EH53,""))</f>
        <v/>
      </c>
      <c r="EI54" s="15" t="str">
        <f t="shared" si="210"/>
        <v/>
      </c>
      <c r="EJ54" s="15" t="str">
        <f t="shared" si="210"/>
        <v/>
      </c>
      <c r="EK54" s="15" t="str">
        <f t="shared" si="210"/>
        <v/>
      </c>
      <c r="EL54" s="15" t="str">
        <f t="shared" si="210"/>
        <v/>
      </c>
      <c r="EM54" s="15" t="str">
        <f t="shared" si="210"/>
        <v/>
      </c>
      <c r="EN54" s="15" t="str">
        <f t="shared" si="210"/>
        <v/>
      </c>
      <c r="EO54" s="15" t="str">
        <f t="shared" si="210"/>
        <v/>
      </c>
      <c r="EP54" s="15" t="str">
        <f t="shared" si="210"/>
        <v/>
      </c>
      <c r="EQ54" s="15" t="str">
        <f t="shared" si="210"/>
        <v/>
      </c>
      <c r="ER54" s="15" t="str">
        <f t="shared" si="210"/>
        <v/>
      </c>
      <c r="ES54" s="15" t="str">
        <f t="shared" si="210"/>
        <v/>
      </c>
      <c r="ET54" s="15" t="str">
        <f t="shared" si="210"/>
        <v/>
      </c>
      <c r="EU54" s="15" t="str">
        <f t="shared" si="210"/>
        <v/>
      </c>
      <c r="EV54" s="15" t="str">
        <f t="shared" si="210"/>
        <v/>
      </c>
      <c r="EW54" s="15" t="str">
        <f t="shared" si="210"/>
        <v/>
      </c>
      <c r="EX54" s="15" t="str">
        <f t="shared" si="210"/>
        <v/>
      </c>
      <c r="EY54" s="15" t="str">
        <f t="shared" si="210"/>
        <v/>
      </c>
      <c r="EZ54" s="15" t="str">
        <f t="shared" si="210"/>
        <v/>
      </c>
      <c r="FA54" s="15" t="str">
        <f t="shared" si="210"/>
        <v/>
      </c>
      <c r="FB54" s="15" t="str">
        <f t="shared" si="210"/>
        <v/>
      </c>
      <c r="FC54" s="15" t="str">
        <f t="shared" si="210"/>
        <v/>
      </c>
      <c r="FD54" s="15" t="str">
        <f t="shared" si="210"/>
        <v/>
      </c>
      <c r="FE54" s="15" t="str">
        <f t="shared" si="210"/>
        <v/>
      </c>
      <c r="FF54" s="15" t="str">
        <f t="shared" si="210"/>
        <v/>
      </c>
      <c r="FG54" s="15" t="str">
        <f t="shared" si="210"/>
        <v/>
      </c>
      <c r="FH54" s="15" t="str">
        <f t="shared" si="210"/>
        <v/>
      </c>
      <c r="FI54" s="15" t="str">
        <f t="shared" si="210"/>
        <v/>
      </c>
      <c r="FJ54" s="15" t="str">
        <f t="shared" si="210"/>
        <v/>
      </c>
      <c r="FK54" s="15" t="str">
        <f t="shared" si="210"/>
        <v/>
      </c>
      <c r="FL54" s="15">
        <f>FL52+5</f>
        <v>85</v>
      </c>
      <c r="FM54" s="15" t="str">
        <f ca="1">OFFSET($FM$75,FL54,0)</f>
        <v/>
      </c>
      <c r="FN54" s="15" t="str">
        <f ca="1">OFFSET($FN$75,FL54,0)</f>
        <v/>
      </c>
      <c r="FO54" s="244"/>
      <c r="FP54" s="245"/>
      <c r="FQ54" s="245"/>
      <c r="FR54" s="245"/>
      <c r="FS54" s="245"/>
      <c r="FT54" s="245"/>
      <c r="FU54" s="245"/>
      <c r="FV54" s="245"/>
      <c r="FW54" s="245"/>
      <c r="FX54" s="245"/>
      <c r="FY54" s="245"/>
      <c r="FZ54" s="245"/>
      <c r="GA54" s="245"/>
      <c r="GB54" s="245"/>
      <c r="GC54" s="245"/>
      <c r="GD54" s="245"/>
      <c r="GE54" s="245"/>
      <c r="GF54" s="245"/>
      <c r="GG54" s="245"/>
      <c r="GH54" s="245"/>
      <c r="GI54" s="245"/>
      <c r="GJ54" s="245"/>
      <c r="GK54" s="245"/>
      <c r="GL54" s="245"/>
      <c r="GM54" s="245"/>
      <c r="GN54" s="245"/>
      <c r="GO54" s="245"/>
      <c r="GP54" s="245"/>
      <c r="GQ54" s="245"/>
      <c r="GR54" s="246"/>
      <c r="GS54" s="15"/>
      <c r="GT54" s="15"/>
      <c r="GU54" s="15"/>
      <c r="GV54" s="15"/>
      <c r="GW54" s="15"/>
      <c r="GX54" s="15"/>
      <c r="GY54" s="15"/>
      <c r="GZ54" s="15"/>
      <c r="HA54" s="15" t="str">
        <f>IF($F53="Hybrid - Thrust + 2 connections",COUNTBLANK(J53:L53),"")</f>
        <v/>
      </c>
      <c r="HB54" s="15"/>
      <c r="HC54" s="5"/>
      <c r="HD54" s="5"/>
      <c r="HE54" s="5"/>
      <c r="HF54" s="5"/>
    </row>
    <row r="55" spans="1:214" ht="12.75" customHeight="1" x14ac:dyDescent="0.3">
      <c r="A55" s="118" t="str">
        <f>IF(AND(E53="",A53&lt;&gt;""),IF(CP53=$CP$18,"",IF(C53&lt;&gt;"",IF(D53=59,MINUTE(CP53)+1,MINUTE(CP53)),"")),"")</f>
        <v/>
      </c>
      <c r="B55" s="119" t="str">
        <f>IF(AND(E53="",B53&lt;&gt;""),IF(CP53=$CP$18,"",IF(C53&lt;&gt;"",IF(D53=59,0,SECOND(CP53)+1),"")),"")</f>
        <v/>
      </c>
      <c r="C55" s="119"/>
      <c r="D55" s="119"/>
      <c r="E55" s="119"/>
      <c r="F55" s="57"/>
      <c r="G55" s="120" t="str">
        <f>IF(F55&lt;&gt;"",IF(OR(F55="Transition",F55="Transition - Surface Connection"),0,MAX($G$19:G54)+1),"")</f>
        <v/>
      </c>
      <c r="H55" s="223" t="str">
        <f>IFERROR(IF(E56="3","",IF(OR(F55="Hybrid - min 4 swimmers (no DD)",LEFT(F55,5)="Trans"),"No DD",CONCATENATE("BM = ",I56))),"")</f>
        <v/>
      </c>
      <c r="I55" s="224"/>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2"/>
      <c r="AO55" s="123"/>
      <c r="AP55" s="52"/>
      <c r="AQ55" s="52"/>
      <c r="AR55" s="12"/>
      <c r="AS55" s="12"/>
      <c r="AT55" s="12"/>
      <c r="AU55" s="12"/>
      <c r="AV55" s="12"/>
      <c r="AW55" s="12"/>
      <c r="AX55" s="12"/>
      <c r="AY55" s="12"/>
      <c r="AZ55" s="12"/>
      <c r="BA55" s="12"/>
      <c r="BB55" s="12"/>
      <c r="BC55" s="12"/>
      <c r="BD55" s="12"/>
      <c r="BE55" s="12"/>
      <c r="BF55" s="12"/>
      <c r="BG55" s="12" t="str">
        <f t="array" ref="BG55">IFERROR(IF(F55&lt;&gt;"",INDEX(Parts_Active,MATCH(F55,Parts_Active,0)),""),"No")</f>
        <v/>
      </c>
      <c r="BH55" s="12"/>
      <c r="BI55" s="12" t="str">
        <f>IF($E56="H",IF($F55="Hybrid - Thrust + 2 connections","Hybrid_Mix_Req",IF($F55="Hybrid - min 4 swimmers (no DD)","Hybrid_ChoHY","HybridDD_Code")),IF($E56=3,"TreDD_Code",IF($E56="PA","AcroPair_Code",IF(LEFT($F55,4)="Acro",CONCATENATE(BI$16,$E56,"_Code"),"Data!$BI$1:$BI$5"))))</f>
        <v>Data!$BI$1:$BI$5</v>
      </c>
      <c r="BJ55" s="12" t="str">
        <f t="shared" ref="BJ55:BQ55" si="211">IF($E56="H",IF($F55="Hybrid - Thrust + 2 connections","Hybrid_Mix_Req",IF($F55="Hybrid - min 4 swimmers (no DD)","Data!$BI$1:$BI$5","HybridDD_Code")),IF($E56=3,"TreDD_Code",IF($E56="PA","AcroPair_Code",IF(LEFT($F55,4)="Acro",CONCATENATE(BJ$16,$E56,"_Code"),"Data!$BI$1:$BI$5"))))</f>
        <v>Data!$BI$1:$BI$5</v>
      </c>
      <c r="BK55" s="12" t="str">
        <f t="shared" si="211"/>
        <v>Data!$BI$1:$BI$5</v>
      </c>
      <c r="BL55" s="12" t="str">
        <f t="shared" si="211"/>
        <v>Data!$BI$1:$BI$5</v>
      </c>
      <c r="BM55" s="12" t="str">
        <f t="shared" si="211"/>
        <v>Data!$BI$1:$BI$5</v>
      </c>
      <c r="BN55" s="12" t="str">
        <f t="shared" si="211"/>
        <v>Data!$BI$1:$BI$5</v>
      </c>
      <c r="BO55" s="12" t="str">
        <f t="shared" si="211"/>
        <v>Data!$BI$1:$BI$5</v>
      </c>
      <c r="BP55" s="12" t="str">
        <f t="shared" si="211"/>
        <v>Data!$BI$1:$BI$5</v>
      </c>
      <c r="BQ55" s="12" t="str">
        <f t="shared" si="211"/>
        <v>Data!$BI$1:$BI$5</v>
      </c>
      <c r="BR55" s="12" t="str">
        <f>IF($E56="H",IF($F55="Hybrid - Thrust + 2 connections","Data!$BI$1:$BI$5","HybridDD_Code"),"Data!$BI$1:$BI$5")</f>
        <v>Data!$BI$1:$BI$5</v>
      </c>
      <c r="BS55" s="12" t="str">
        <f t="shared" ref="BS55:CL55" si="212">$BR55</f>
        <v>Data!$BI$1:$BI$5</v>
      </c>
      <c r="BT55" s="12" t="str">
        <f t="shared" si="212"/>
        <v>Data!$BI$1:$BI$5</v>
      </c>
      <c r="BU55" s="12" t="str">
        <f t="shared" si="212"/>
        <v>Data!$BI$1:$BI$5</v>
      </c>
      <c r="BV55" s="12" t="str">
        <f t="shared" si="212"/>
        <v>Data!$BI$1:$BI$5</v>
      </c>
      <c r="BW55" s="12" t="str">
        <f t="shared" si="212"/>
        <v>Data!$BI$1:$BI$5</v>
      </c>
      <c r="BX55" s="12" t="str">
        <f t="shared" si="212"/>
        <v>Data!$BI$1:$BI$5</v>
      </c>
      <c r="BY55" s="12" t="str">
        <f t="shared" si="212"/>
        <v>Data!$BI$1:$BI$5</v>
      </c>
      <c r="BZ55" s="12" t="str">
        <f t="shared" si="212"/>
        <v>Data!$BI$1:$BI$5</v>
      </c>
      <c r="CA55" s="12" t="str">
        <f t="shared" si="212"/>
        <v>Data!$BI$1:$BI$5</v>
      </c>
      <c r="CB55" s="12" t="str">
        <f t="shared" si="212"/>
        <v>Data!$BI$1:$BI$5</v>
      </c>
      <c r="CC55" s="12" t="str">
        <f t="shared" si="212"/>
        <v>Data!$BI$1:$BI$5</v>
      </c>
      <c r="CD55" s="12" t="str">
        <f t="shared" si="212"/>
        <v>Data!$BI$1:$BI$5</v>
      </c>
      <c r="CE55" s="12" t="str">
        <f t="shared" si="212"/>
        <v>Data!$BI$1:$BI$5</v>
      </c>
      <c r="CF55" s="12" t="str">
        <f t="shared" si="212"/>
        <v>Data!$BI$1:$BI$5</v>
      </c>
      <c r="CG55" s="12" t="str">
        <f t="shared" si="212"/>
        <v>Data!$BI$1:$BI$5</v>
      </c>
      <c r="CH55" s="12" t="str">
        <f t="shared" si="212"/>
        <v>Data!$BI$1:$BI$5</v>
      </c>
      <c r="CI55" s="12" t="str">
        <f t="shared" si="212"/>
        <v>Data!$BI$1:$BI$5</v>
      </c>
      <c r="CJ55" s="12" t="str">
        <f t="shared" si="212"/>
        <v>Data!$BI$1:$BI$5</v>
      </c>
      <c r="CK55" s="12" t="str">
        <f t="shared" si="212"/>
        <v>Data!$BI$1:$BI$5</v>
      </c>
      <c r="CL55" s="12" t="str">
        <f t="shared" si="212"/>
        <v>Data!$BI$1:$BI$5</v>
      </c>
      <c r="CM55" s="12"/>
      <c r="CN55" s="12"/>
      <c r="CO55" s="63" t="str">
        <f>IFERROR(TIME(0,A55,B55),"")</f>
        <v/>
      </c>
      <c r="CP55" s="63">
        <f>IFERROR(TIME(0,C55,D55),"")</f>
        <v>0</v>
      </c>
      <c r="CQ55" s="63" t="str">
        <f>IF(CP55&gt;$D$12,"X","")</f>
        <v/>
      </c>
      <c r="CR55" s="15" t="str">
        <f>IF(AND(F55="Hybrid - Thrust + 2 connections",OR(LEFT(J55,1)="T",LEFT(K55,1)="T",LEFT(L55,1)="T",LEFT(OY55,1)="T",LEFT(M55,1)="T",LEFT(N55,1)="T",LEFT(O55,1)="T",LEFT(P55,1)="T",LEFT(Q55,1)="T",LEFT(R55,1)="T",LEFT(S55,1)="T",LEFT(T55,1)="T",LEFT(U55,1)="T",LEFT(V55,1)="T",LEFT(W55,1)="T",LEFT(X55,1)="T",LEFT(AK55,1)="T",LEFT(AL55,1)="T",LEFT(AM55,1)="T")),IF(OR(LEN(J55)=2,LEN(K55)=2,LEN(L55)=2,LEN(M55)=2,LEN(N55)=2,LEN(O55)=2,LEN(P55)=2,LEN(Q55)=2,LEN(R55)=2,LEN(S55)=2,LEN(T55)=2,LEN(U55)=2,LEN(V55)=2,LEN(W55)=2,LEN(X55)=2,LEN(Y55)=2,LEN(Z55)=2,LEN(AK55)=2,LEN(AL55)=2,LEN(AM55)=2),"X",""),"")</f>
        <v/>
      </c>
      <c r="CS55" s="5" t="str">
        <f t="shared" si="201"/>
        <v/>
      </c>
      <c r="CT55" s="15" t="str">
        <f>IF(LEFT(F55,4)="Acro",IF(AND(N55&lt;&gt;"",M55=RIGHT(N55,2)),"X","OK"),"")</f>
        <v/>
      </c>
      <c r="CU55" s="12" t="str">
        <f t="array" ref="CU55">IFERROR(IF(AND(LEFT($F55,4)="Acro",INDEX(Requ_App,MATCH(BI55,Requ_Code,0))="No"),"X",""),"")</f>
        <v/>
      </c>
      <c r="CV55" s="12" t="str">
        <f t="array" ref="CV55">IFERROR(IF(AND(LEFT($F55,4)="Acro",INDEX(Requ_App,MATCH(BJ55,Requ_Code,0))="No"),"X",""),"")</f>
        <v/>
      </c>
      <c r="CW55" s="12" t="str">
        <f t="array" ref="CW55">IFERROR(IF(AND(LEFT($F55,4)="Acro",INDEX(Requ_App,MATCH(BK55,Requ_Code,0))="No"),"X",""),"")</f>
        <v/>
      </c>
      <c r="CX55" s="12" t="str">
        <f t="array" ref="CX55">IFERROR(IF(AND(LEFT($F55,4)="Acro",INDEX(Requ_App,MATCH(BL55,Requ_Code,0))="No"),"X",""),"")</f>
        <v/>
      </c>
      <c r="CY55" s="12" t="str">
        <f t="array" ref="CY55">IFERROR(IF(AND(LEFT($F55,4)="Acro",INDEX(Requ_App,MATCH(BM55,Requ_Code,0))="No"),"X",""),"")</f>
        <v/>
      </c>
      <c r="CZ55" s="12" t="str">
        <f t="array" ref="CZ55">IFERROR(IF(AND(LEFT($F55,4)="Acro",INDEX(Requ_App,MATCH(BN55,Requ_Code,0))="No"),"X",""),"")</f>
        <v/>
      </c>
      <c r="DA55" s="12" t="str">
        <f t="array" ref="DA55">IFERROR(IF(AND(LEFT($F55,4)="Acro",INDEX(Requ_App,MATCH(BO55,Requ_Code,0))="No"),"X",""),"")</f>
        <v/>
      </c>
      <c r="DB55" s="12" t="str">
        <f t="array" ref="DB55">IFERROR(IF(AND(LEFT($F55,4)="Acro",INDEX(Requ_App,MATCH(BP55,Requ_Code,0))="No"),"X",""),"")</f>
        <v/>
      </c>
      <c r="DC55" s="12" t="str">
        <f t="array" ref="DC55">IFERROR(IF(AND(LEFT($F55,4)="Acro",INDEX(Requ_App,MATCH(BP55,Requ_Code,0))="No"),"X",""),"")</f>
        <v/>
      </c>
      <c r="DD55" s="15" t="str">
        <f t="shared" si="10"/>
        <v/>
      </c>
      <c r="DE55" s="15" t="str">
        <f t="shared" si="11"/>
        <v/>
      </c>
      <c r="DF55" s="15" t="str">
        <f t="shared" si="12"/>
        <v/>
      </c>
      <c r="DG55" s="15" t="str">
        <f t="shared" si="13"/>
        <v/>
      </c>
      <c r="DH55" s="15"/>
      <c r="DI55" s="15"/>
      <c r="DJ55" s="15"/>
      <c r="DK55" s="15">
        <f>IF(AND(E56="A",OR(Q55="Grip",Q55="Conn",Q55="Catch")),"A1",IF(AND(E56="A",OR(Q55="Hula",Q55="RetSq",Q55="RetPa")),"A2",IF(AND(E56="B",OR(Q55="Twirl",Q55="RotF")),"B1",IF(AND(E56="B",OR(Q55="Moon",Q55="Mov")),"B2",IF(AND(E56="B",Q55="Hold"),"B3",IF(AND(E56="P",OR(Q55="Porp",Q55="Spitch")),"P1",IF(AND(E56="P",OR(Q55="Dive",Q55="Ps1",Q55="Ps1t0.5",Q55="Ps1op",Q55="Ps1t0,5o",Q55="Ps1t1",Q55="CH+")),"P2",IF(AND(E56="P",OR(Q55="Spider",Q55="Climb")),"P3",IF(AND(E56="P",OR(Q55="Fall",Q55="FTurn")),"P4",IF(AND(E56="C",OR(Q55="Jump",Q55="Jump&gt;",Q55="On1Foot",Q55="1F&gt;1F")),"C1",IF(AND(E56="C",OR(Q55="Run",Q55="BRun")),"C2",1)))))))))))</f>
        <v>1</v>
      </c>
      <c r="DL55" s="15">
        <f>IF(AND(E56="A",OR(R55="Grip",R55="Conn",R55="Catch")),"A1",IF(AND(E56="A",OR(R55="Hula",R55="RetSq",R55="RetPa")),"A2",IF(AND(E56="B",OR(R55="Twirl",R55="RotF")),"B1",IF(AND(E56="B",OR(R55="Moon",R55="Mov")),"B3",IF(AND(E56="B",R55="Hold"),"B2",IF(AND(E56="P",OR(R55="Porp",R55="Spitch")),"P1",IF(AND(E56="P",OR(R55="Dive",R55="Ps1",R55="Ps1t0.5",R55="Ps1op",R55="Ps1t0,5o",R55="Ps1t1",R55="CH+")),"P2",IF(AND(E56="P",OR(R55="Spider",R55="Climb")),"P3",IF(AND(E56="P",OR(R55="Fall",R55="FTurn")),"P4",IF(AND(E56="C",OR(R55="Jump",R55="Jump&gt;",R55="On1Foot",R55="1F&gt;1F")),"C1",IF(AND(E56="C",OR(R55="Run",R55="BRun")),"C2",2)))))))))))</f>
        <v>2</v>
      </c>
      <c r="DM55" s="15" t="str">
        <f>IF(AND(LEFT(F55,4)="Acro",Q55&lt;&gt;"",OR(Q55=R55,DK55=DL55)),IF(R55="C-Roll","","X"),IF(OR(AND(E56="A",Q55="Catch",R55&lt;&gt;"Dbl"),AND(E56="A",R55="Catch",Q55&lt;&gt;"Dbl")),"X",""))</f>
        <v/>
      </c>
      <c r="DN55" s="15" t="str">
        <f>IF(E56="PA",J55,"")</f>
        <v/>
      </c>
      <c r="DO55" s="15">
        <v>37</v>
      </c>
      <c r="DP55" s="15"/>
      <c r="DQ55" s="15" t="str">
        <f t="shared" ref="DQ55:DR55" si="213">IF(AND($E56="A",COUNTIF($DZ$19:$EA$68,DZ55)&gt;1),DZ55,"")</f>
        <v/>
      </c>
      <c r="DR55" s="15" t="str">
        <f t="shared" si="213"/>
        <v/>
      </c>
      <c r="DS55" s="15" t="str">
        <f ca="1">IF(AND($E56="B",COUNTIF($J$19:$J$68,J55)&gt;1),J55,"")</f>
        <v/>
      </c>
      <c r="DT55" s="15" t="str">
        <f ca="1">IF(AND($E56="B",COUNTIF($K$19:$K$68,K55)&gt;1),K55,"")</f>
        <v/>
      </c>
      <c r="DU55" s="15" t="str">
        <f ca="1">IF(AND($E56="C",COUNTIF($J$19:$J$68,J55)&gt;1),J55,"")</f>
        <v/>
      </c>
      <c r="DV55" s="15" t="str">
        <f ca="1">IF(AND($E56="P",COUNTIF($J$19:$J$68,J55)&gt;1),J55,"")</f>
        <v/>
      </c>
      <c r="DW55" s="15" t="str">
        <f ca="1">IF(AND($E56="P",COUNTIF($K$19:$K$68,K55)&gt;1),K55,"")</f>
        <v/>
      </c>
      <c r="DX55" s="15" t="str">
        <f t="shared" ref="DX55:DY55" si="214">IF(AND($E56="P",COUNTIF($DZ$19:$EA$68,DZ55)&gt;1),DZ55,"")</f>
        <v/>
      </c>
      <c r="DY55" s="15" t="str">
        <f t="shared" si="214"/>
        <v/>
      </c>
      <c r="DZ55" s="15" t="str">
        <f>IFERROR(IF(OR(E56="A",E56="P"),M55,""),"")</f>
        <v/>
      </c>
      <c r="EA55" s="15" t="str">
        <f>IFERROR(IF(OR(E56="A",E56="P"),RIGHT(N55,2),""),"")</f>
        <v/>
      </c>
      <c r="EB55" s="15"/>
      <c r="EC55" s="15" t="str">
        <f>IF(AND($F$8="Open Team Acrobatic",LEFT(F55,4)="Acro"),E56,"")</f>
        <v/>
      </c>
      <c r="ED55" s="15" t="str">
        <f>IFERROR(IF(HLOOKUP(EC55,$DQ$12:$DT$13,2,FALSE)&gt;2,"X",""),"")</f>
        <v/>
      </c>
      <c r="EE55" s="15"/>
      <c r="EF55" s="15" t="str">
        <f>IF(OR(AND(F55="Hybrid - Thrust + 2 connections",EF56="T"),AND(E56="H",EF56&lt;&gt;"")),"X","")</f>
        <v/>
      </c>
      <c r="EG55" s="15"/>
      <c r="EH55" s="15">
        <f t="shared" ref="EH55:EX55" si="215">IFERROR(IF(AND($E56="H",J55&lt;&gt;""),IF(OR(LEFT(J55,1)="T",LEFT(J55,1)="S",LEFT(J55,1)="A",LEFT(J55,1)="F",LEFT(J55,1)="C"),LEFT(J55,1),"R"),EH$18),"")</f>
        <v>1</v>
      </c>
      <c r="EI55" s="15">
        <f t="shared" si="215"/>
        <v>2</v>
      </c>
      <c r="EJ55" s="15">
        <f t="shared" si="215"/>
        <v>3</v>
      </c>
      <c r="EK55" s="15">
        <f t="shared" si="215"/>
        <v>4</v>
      </c>
      <c r="EL55" s="15">
        <f t="shared" si="215"/>
        <v>5</v>
      </c>
      <c r="EM55" s="15">
        <f t="shared" si="215"/>
        <v>6</v>
      </c>
      <c r="EN55" s="15">
        <f t="shared" si="215"/>
        <v>7</v>
      </c>
      <c r="EO55" s="15">
        <f t="shared" si="215"/>
        <v>8</v>
      </c>
      <c r="EP55" s="15">
        <f t="shared" si="215"/>
        <v>9</v>
      </c>
      <c r="EQ55" s="15">
        <f t="shared" si="215"/>
        <v>10</v>
      </c>
      <c r="ER55" s="15">
        <f t="shared" si="215"/>
        <v>11</v>
      </c>
      <c r="ES55" s="15">
        <f t="shared" si="215"/>
        <v>12</v>
      </c>
      <c r="ET55" s="15">
        <f t="shared" si="215"/>
        <v>13</v>
      </c>
      <c r="EU55" s="15">
        <f t="shared" si="215"/>
        <v>14</v>
      </c>
      <c r="EV55" s="15">
        <f t="shared" si="215"/>
        <v>15</v>
      </c>
      <c r="EW55" s="15">
        <f t="shared" si="215"/>
        <v>16</v>
      </c>
      <c r="EX55" s="15">
        <f t="shared" si="215"/>
        <v>17</v>
      </c>
      <c r="EY55" s="15">
        <f t="shared" ref="EY55:FK55" si="216">IFERROR(IF(AND($E56="H",AK55&lt;&gt;""),IF(OR(LEFT(AK55,1)="T",LEFT(AK55,1)="S",LEFT(AK55,1)="A",LEFT(AK55,1)="F",LEFT(AK55,1)="C"),LEFT(AK55,1),"R"),EY$18),"")</f>
        <v>18</v>
      </c>
      <c r="EZ55" s="15">
        <f t="shared" si="216"/>
        <v>19</v>
      </c>
      <c r="FA55" s="15">
        <f t="shared" si="216"/>
        <v>20</v>
      </c>
      <c r="FB55" s="15">
        <f t="shared" si="216"/>
        <v>21</v>
      </c>
      <c r="FC55" s="15">
        <f t="shared" si="216"/>
        <v>22</v>
      </c>
      <c r="FD55" s="15">
        <f t="shared" si="216"/>
        <v>23</v>
      </c>
      <c r="FE55" s="15">
        <f t="shared" si="216"/>
        <v>24</v>
      </c>
      <c r="FF55" s="15">
        <f t="shared" si="216"/>
        <v>25</v>
      </c>
      <c r="FG55" s="15">
        <f t="shared" si="216"/>
        <v>26</v>
      </c>
      <c r="FH55" s="15">
        <f t="shared" si="216"/>
        <v>27</v>
      </c>
      <c r="FI55" s="15">
        <f t="shared" si="216"/>
        <v>28</v>
      </c>
      <c r="FJ55" s="15">
        <f t="shared" si="216"/>
        <v>29</v>
      </c>
      <c r="FK55" s="15">
        <f t="shared" si="216"/>
        <v>30</v>
      </c>
      <c r="FL55" s="15"/>
      <c r="FM55" s="15"/>
      <c r="FN55" s="15"/>
      <c r="FO55" s="244"/>
      <c r="FP55" s="245"/>
      <c r="FQ55" s="245"/>
      <c r="FR55" s="245"/>
      <c r="FS55" s="245"/>
      <c r="FT55" s="245"/>
      <c r="FU55" s="245"/>
      <c r="FV55" s="245"/>
      <c r="FW55" s="245"/>
      <c r="FX55" s="245"/>
      <c r="FY55" s="245"/>
      <c r="FZ55" s="245"/>
      <c r="GA55" s="245"/>
      <c r="GB55" s="245"/>
      <c r="GC55" s="245"/>
      <c r="GD55" s="245"/>
      <c r="GE55" s="245"/>
      <c r="GF55" s="245"/>
      <c r="GG55" s="245"/>
      <c r="GH55" s="245"/>
      <c r="GI55" s="245"/>
      <c r="GJ55" s="245"/>
      <c r="GK55" s="245"/>
      <c r="GL55" s="245"/>
      <c r="GM55" s="245"/>
      <c r="GN55" s="245"/>
      <c r="GO55" s="245"/>
      <c r="GP55" s="245"/>
      <c r="GQ55" s="245"/>
      <c r="GR55" s="246"/>
      <c r="GS55" s="15"/>
      <c r="GT55" s="15">
        <f t="shared" ref="GT55:GY55" si="217">COUNTIF($EH55:$FK55,GT$18)</f>
        <v>0</v>
      </c>
      <c r="GU55" s="15">
        <f t="shared" si="217"/>
        <v>0</v>
      </c>
      <c r="GV55" s="15">
        <f t="shared" si="217"/>
        <v>0</v>
      </c>
      <c r="GW55" s="15">
        <f t="shared" si="217"/>
        <v>0</v>
      </c>
      <c r="GX55" s="15">
        <f t="shared" si="217"/>
        <v>0</v>
      </c>
      <c r="GY55" s="15">
        <f t="shared" si="217"/>
        <v>0</v>
      </c>
      <c r="GZ55" s="15"/>
      <c r="HA55" s="15" t="str">
        <f>IF(AND($F55="Hybrid - Thrust + 2 connections",HA56=0,LEFT($J55,1)="C",LEFT($K55,1)="C",LEFT($L55,1)="C"),"X","")</f>
        <v/>
      </c>
      <c r="HB55" s="15"/>
      <c r="HC55" s="5"/>
      <c r="HD55" s="124"/>
      <c r="HE55" s="124"/>
      <c r="HF55" s="5" t="str">
        <f>IF(E56=3,_xludf.NUMBERVALUE(LEFT(J55,1)),"")</f>
        <v/>
      </c>
    </row>
    <row r="56" spans="1:214" ht="12.75" customHeight="1" x14ac:dyDescent="0.3">
      <c r="A56" s="118"/>
      <c r="B56" s="119"/>
      <c r="C56" s="119"/>
      <c r="D56" s="119"/>
      <c r="E56" s="50" t="str">
        <f>IF(F55="Acrobatic - Pair","PA",IF(F55="Acrobatic Airborn","A",IF(F55="Acrobatic Balance","B",IF(F55="Acrobatic Combined","C",IF(F55="Acrobatic Platform","P",IF(F55="Technical Required Element",3,IF(LEFT(F55,4)="Hybr","H","")))))))</f>
        <v/>
      </c>
      <c r="F56" s="50" t="str">
        <f>IF(AND(F55="Hybrid - Thrust + 2 connections",CR55="X"),"Hybrid - Thrust",IF(OR(E56="A",E56="B",E56="C",E56="P"),"Acrobatic",""))</f>
        <v/>
      </c>
      <c r="G56" s="120"/>
      <c r="H56" s="126" t="str">
        <f>IF(E56="PA",IF(OR(LEFT(J55,1)="L",LEFT(J55,1)="S"),"A-Pair-Lift",IF(OR(LEFT(J55,1)="W",LEFT(J55,1)="T"),"A-Pair-Throw",IF(LEFT(J55,1)="J","A-Pair-Jump","A-Pair"))),IF(OR(E56="A",E56="B",E56="C",E56="P"),CONCATENATE("Acro-",E56),""))</f>
        <v/>
      </c>
      <c r="I56" s="127" t="e">
        <f t="array" ref="I56">IF(OR(F55="Hybrid - min 4 swimmers (no DD)",LEFT(F55,5)="Trans"),0,INDEX($BY$3:$BY$9,MATCH(E56,$BX$3:$BX$9,0)))</f>
        <v>#N/A</v>
      </c>
      <c r="J56" s="128">
        <f t="array" aca="1" ref="J56" ca="1">IFERROR(IF($H55="No DD",IF(J55="ChoHY",1,0),IF(OR(ISBLANK(J55),J55="N/A"),0,INDEX(INDIRECT(BI56),MATCH(J55,INDIRECT(BI55),0)))),0)</f>
        <v>0</v>
      </c>
      <c r="K56" s="128">
        <f t="shared" ref="K56:AM56" ca="1" si="218">IFERROR(IF($H55="No DD",0,IF(OR(ISBLANK(K55),K55="N/A"),0,INDEX(INDIRECT(BJ56),MATCH(K55,INDIRECT(BJ55),0)))),0)</f>
        <v>0</v>
      </c>
      <c r="L56" s="128">
        <f t="shared" ca="1" si="218"/>
        <v>0</v>
      </c>
      <c r="M56" s="128">
        <f t="shared" ca="1" si="218"/>
        <v>0</v>
      </c>
      <c r="N56" s="128">
        <f t="shared" ca="1" si="218"/>
        <v>0</v>
      </c>
      <c r="O56" s="128">
        <f t="shared" ca="1" si="218"/>
        <v>0</v>
      </c>
      <c r="P56" s="128">
        <f t="shared" ca="1" si="218"/>
        <v>0</v>
      </c>
      <c r="Q56" s="128">
        <f t="shared" ca="1" si="218"/>
        <v>0</v>
      </c>
      <c r="R56" s="128">
        <f t="shared" ca="1" si="218"/>
        <v>0</v>
      </c>
      <c r="S56" s="128">
        <f t="shared" ca="1" si="218"/>
        <v>0</v>
      </c>
      <c r="T56" s="128">
        <f t="shared" ca="1" si="218"/>
        <v>0</v>
      </c>
      <c r="U56" s="128">
        <f t="shared" ca="1" si="218"/>
        <v>0</v>
      </c>
      <c r="V56" s="128">
        <f t="shared" ca="1" si="218"/>
        <v>0</v>
      </c>
      <c r="W56" s="128">
        <f t="shared" ca="1" si="218"/>
        <v>0</v>
      </c>
      <c r="X56" s="128">
        <f t="shared" ca="1" si="218"/>
        <v>0</v>
      </c>
      <c r="Y56" s="128">
        <f t="shared" ca="1" si="218"/>
        <v>0</v>
      </c>
      <c r="Z56" s="128">
        <f t="shared" ca="1" si="218"/>
        <v>0</v>
      </c>
      <c r="AA56" s="128">
        <f t="shared" ca="1" si="218"/>
        <v>0</v>
      </c>
      <c r="AB56" s="128">
        <f t="shared" ca="1" si="218"/>
        <v>0</v>
      </c>
      <c r="AC56" s="128">
        <f t="shared" ca="1" si="218"/>
        <v>0</v>
      </c>
      <c r="AD56" s="128">
        <f t="shared" ca="1" si="218"/>
        <v>0</v>
      </c>
      <c r="AE56" s="128">
        <f t="shared" ca="1" si="218"/>
        <v>0</v>
      </c>
      <c r="AF56" s="128">
        <f t="shared" ca="1" si="218"/>
        <v>0</v>
      </c>
      <c r="AG56" s="128">
        <f t="shared" ca="1" si="218"/>
        <v>0</v>
      </c>
      <c r="AH56" s="128">
        <f t="shared" ca="1" si="218"/>
        <v>0</v>
      </c>
      <c r="AI56" s="128">
        <f t="shared" ca="1" si="218"/>
        <v>0</v>
      </c>
      <c r="AJ56" s="128">
        <f t="shared" ca="1" si="218"/>
        <v>0</v>
      </c>
      <c r="AK56" s="128">
        <f t="shared" ca="1" si="218"/>
        <v>0</v>
      </c>
      <c r="AL56" s="128">
        <f t="shared" ca="1" si="218"/>
        <v>0</v>
      </c>
      <c r="AM56" s="128">
        <f t="shared" ca="1" si="218"/>
        <v>0</v>
      </c>
      <c r="AN56" s="129" t="str">
        <f t="array" ref="AN56">IFERROR(IF(E56="H",INDEX(HybridBonus_Value,MATCH(AN55,HybridBonus_Code,0)),""),"")</f>
        <v/>
      </c>
      <c r="AO56" s="130" t="str">
        <f>IFERROR(SUM(I56:AN56),"")</f>
        <v/>
      </c>
      <c r="AP56" s="132"/>
      <c r="AQ56" s="132"/>
      <c r="AR56" s="131"/>
      <c r="AS56" s="131"/>
      <c r="AT56" s="131"/>
      <c r="AU56" s="131"/>
      <c r="AV56" s="131"/>
      <c r="AW56" s="131"/>
      <c r="AX56" s="131"/>
      <c r="AY56" s="131"/>
      <c r="AZ56" s="131"/>
      <c r="BA56" s="131"/>
      <c r="BB56" s="131"/>
      <c r="BC56" s="131"/>
      <c r="BD56" s="131"/>
      <c r="BE56" s="131"/>
      <c r="BF56" s="131"/>
      <c r="BG56" s="12"/>
      <c r="BH56" s="131"/>
      <c r="BI56" s="5" t="str">
        <f t="shared" ref="BI56:BQ56" si="219">IF($E56="H",IF($F55="Hybrid - Thrust + 2 connections","Hybrid_Mix_Req_Value","HybridDD_Value"),IF($E56=3,"TreDD_Value",IF($E56="PA","AcroPair_Value",IF(LEFT($F55,4)="Acro",CONCATENATE(BI$16,$E56,"_Value"),""))))</f>
        <v/>
      </c>
      <c r="BJ56" s="5" t="str">
        <f t="shared" si="219"/>
        <v/>
      </c>
      <c r="BK56" s="5" t="str">
        <f t="shared" si="219"/>
        <v/>
      </c>
      <c r="BL56" s="5" t="str">
        <f t="shared" si="219"/>
        <v/>
      </c>
      <c r="BM56" s="5" t="str">
        <f t="shared" si="219"/>
        <v/>
      </c>
      <c r="BN56" s="5" t="str">
        <f t="shared" si="219"/>
        <v/>
      </c>
      <c r="BO56" s="5" t="str">
        <f t="shared" si="219"/>
        <v/>
      </c>
      <c r="BP56" s="5" t="str">
        <f t="shared" si="219"/>
        <v/>
      </c>
      <c r="BQ56" s="5" t="str">
        <f t="shared" si="219"/>
        <v/>
      </c>
      <c r="BR56" s="12" t="str">
        <f t="shared" ref="BR56:CL56" si="220">IF($E56="H",IF($F55="Hybrid - Thrust + 2 connections","Data!$BI$1:$BI$5","HybridDD_Value"),"Data!$BI$1:$BI$5")</f>
        <v>Data!$BI$1:$BI$5</v>
      </c>
      <c r="BS56" s="12" t="str">
        <f t="shared" si="220"/>
        <v>Data!$BI$1:$BI$5</v>
      </c>
      <c r="BT56" s="12" t="str">
        <f t="shared" si="220"/>
        <v>Data!$BI$1:$BI$5</v>
      </c>
      <c r="BU56" s="12" t="str">
        <f t="shared" si="220"/>
        <v>Data!$BI$1:$BI$5</v>
      </c>
      <c r="BV56" s="12" t="str">
        <f t="shared" si="220"/>
        <v>Data!$BI$1:$BI$5</v>
      </c>
      <c r="BW56" s="12" t="str">
        <f t="shared" si="220"/>
        <v>Data!$BI$1:$BI$5</v>
      </c>
      <c r="BX56" s="12" t="str">
        <f t="shared" si="220"/>
        <v>Data!$BI$1:$BI$5</v>
      </c>
      <c r="BY56" s="12" t="str">
        <f t="shared" si="220"/>
        <v>Data!$BI$1:$BI$5</v>
      </c>
      <c r="BZ56" s="12" t="str">
        <f t="shared" si="220"/>
        <v>Data!$BI$1:$BI$5</v>
      </c>
      <c r="CA56" s="12" t="str">
        <f t="shared" si="220"/>
        <v>Data!$BI$1:$BI$5</v>
      </c>
      <c r="CB56" s="12" t="str">
        <f t="shared" si="220"/>
        <v>Data!$BI$1:$BI$5</v>
      </c>
      <c r="CC56" s="12" t="str">
        <f t="shared" si="220"/>
        <v>Data!$BI$1:$BI$5</v>
      </c>
      <c r="CD56" s="12" t="str">
        <f t="shared" si="220"/>
        <v>Data!$BI$1:$BI$5</v>
      </c>
      <c r="CE56" s="12" t="str">
        <f t="shared" si="220"/>
        <v>Data!$BI$1:$BI$5</v>
      </c>
      <c r="CF56" s="12" t="str">
        <f t="shared" si="220"/>
        <v>Data!$BI$1:$BI$5</v>
      </c>
      <c r="CG56" s="12" t="str">
        <f t="shared" si="220"/>
        <v>Data!$BI$1:$BI$5</v>
      </c>
      <c r="CH56" s="12" t="str">
        <f t="shared" si="220"/>
        <v>Data!$BI$1:$BI$5</v>
      </c>
      <c r="CI56" s="12" t="str">
        <f t="shared" si="220"/>
        <v>Data!$BI$1:$BI$5</v>
      </c>
      <c r="CJ56" s="12" t="str">
        <f t="shared" si="220"/>
        <v>Data!$BI$1:$BI$5</v>
      </c>
      <c r="CK56" s="12" t="str">
        <f t="shared" si="220"/>
        <v>Data!$BI$1:$BI$5</v>
      </c>
      <c r="CL56" s="12" t="str">
        <f t="shared" si="220"/>
        <v>Data!$BI$1:$BI$5</v>
      </c>
      <c r="CM56" s="131"/>
      <c r="CN56" s="131"/>
      <c r="CO56" s="124" t="str">
        <f>IFERROR(IF(AND($BV$6="T",$BV$8="T",LEFT(F55,4)="Acro",AO56&gt;3),"X",IF($N$7="X",IF(AND(E56="C",AO56&gt;$CN$6),"X",IF(AND(E56="A",AO56&gt;$CN$4),"X",IF(AND(E56="B",AO56&gt;$CN$5),"X",IF(AND(E56="P",AO56&gt;$CN$7),"X","")))),"")),"")</f>
        <v/>
      </c>
      <c r="CP56" s="63"/>
      <c r="CQ56" s="5"/>
      <c r="CR56" s="15"/>
      <c r="CS56" s="5" t="str">
        <f t="shared" si="201"/>
        <v/>
      </c>
      <c r="CT56" s="5"/>
      <c r="CU56" s="5"/>
      <c r="CV56" s="5"/>
      <c r="CW56" s="5"/>
      <c r="CX56" s="5"/>
      <c r="CY56" s="5"/>
      <c r="CZ56" s="5"/>
      <c r="DA56" s="15"/>
      <c r="DB56" s="15"/>
      <c r="DC56" s="15"/>
      <c r="DD56" s="15" t="str">
        <f t="shared" si="10"/>
        <v/>
      </c>
      <c r="DE56" s="15" t="str">
        <f t="shared" si="11"/>
        <v/>
      </c>
      <c r="DF56" s="15" t="str">
        <f t="shared" si="12"/>
        <v/>
      </c>
      <c r="DG56" s="15" t="str">
        <f t="shared" si="13"/>
        <v/>
      </c>
      <c r="DH56" s="15"/>
      <c r="DI56" s="15"/>
      <c r="DJ56" s="15"/>
      <c r="DK56" s="15"/>
      <c r="DL56" s="15"/>
      <c r="DM56" s="15"/>
      <c r="DN56" s="15"/>
      <c r="DO56" s="15">
        <v>38</v>
      </c>
      <c r="DP56" s="15"/>
      <c r="DQ56" s="15"/>
      <c r="DR56" s="15"/>
      <c r="DS56" s="15"/>
      <c r="DT56" s="15"/>
      <c r="DU56" s="15"/>
      <c r="DV56" s="15"/>
      <c r="DW56" s="15"/>
      <c r="DX56" s="15"/>
      <c r="DY56" s="15"/>
      <c r="DZ56" s="15"/>
      <c r="EA56" s="15"/>
      <c r="EB56" s="15"/>
      <c r="EC56" s="15"/>
      <c r="ED56" s="15"/>
      <c r="EE56" s="15"/>
      <c r="EF56" s="15" t="str">
        <f t="array" ref="EF56">IFERROR(INDEX(EH56:FK56,MATCH(TRUE,INDEX((EH56:FK56&lt;&gt;""),),0)),"")</f>
        <v/>
      </c>
      <c r="EG56" s="15"/>
      <c r="EH56" s="15" t="str">
        <f t="shared" ref="EH56:FK56" si="221">IF(F55="Hybrid - Thrust + 2 connections",IF(COUNTIF($EH55:$FA55,EH55)&gt;1,EH55,""),IF(COUNTIF($EH55:$FA55,EH55)&gt;5,EH55,""))</f>
        <v/>
      </c>
      <c r="EI56" s="15" t="str">
        <f t="shared" si="221"/>
        <v/>
      </c>
      <c r="EJ56" s="15" t="str">
        <f t="shared" si="221"/>
        <v/>
      </c>
      <c r="EK56" s="15" t="str">
        <f t="shared" si="221"/>
        <v/>
      </c>
      <c r="EL56" s="15" t="str">
        <f t="shared" si="221"/>
        <v/>
      </c>
      <c r="EM56" s="15" t="str">
        <f t="shared" si="221"/>
        <v/>
      </c>
      <c r="EN56" s="15" t="str">
        <f t="shared" si="221"/>
        <v/>
      </c>
      <c r="EO56" s="15" t="str">
        <f t="shared" si="221"/>
        <v/>
      </c>
      <c r="EP56" s="15" t="str">
        <f t="shared" si="221"/>
        <v/>
      </c>
      <c r="EQ56" s="15" t="str">
        <f t="shared" si="221"/>
        <v/>
      </c>
      <c r="ER56" s="15" t="str">
        <f t="shared" si="221"/>
        <v/>
      </c>
      <c r="ES56" s="15" t="str">
        <f t="shared" si="221"/>
        <v/>
      </c>
      <c r="ET56" s="15" t="str">
        <f t="shared" si="221"/>
        <v/>
      </c>
      <c r="EU56" s="15" t="str">
        <f t="shared" si="221"/>
        <v/>
      </c>
      <c r="EV56" s="15" t="str">
        <f t="shared" si="221"/>
        <v/>
      </c>
      <c r="EW56" s="15" t="str">
        <f t="shared" si="221"/>
        <v/>
      </c>
      <c r="EX56" s="15" t="str">
        <f t="shared" si="221"/>
        <v/>
      </c>
      <c r="EY56" s="15" t="str">
        <f t="shared" si="221"/>
        <v/>
      </c>
      <c r="EZ56" s="15" t="str">
        <f t="shared" si="221"/>
        <v/>
      </c>
      <c r="FA56" s="15" t="str">
        <f t="shared" si="221"/>
        <v/>
      </c>
      <c r="FB56" s="15" t="str">
        <f t="shared" si="221"/>
        <v/>
      </c>
      <c r="FC56" s="15" t="str">
        <f t="shared" si="221"/>
        <v/>
      </c>
      <c r="FD56" s="15" t="str">
        <f t="shared" si="221"/>
        <v/>
      </c>
      <c r="FE56" s="15" t="str">
        <f t="shared" si="221"/>
        <v/>
      </c>
      <c r="FF56" s="15" t="str">
        <f t="shared" si="221"/>
        <v/>
      </c>
      <c r="FG56" s="15" t="str">
        <f t="shared" si="221"/>
        <v/>
      </c>
      <c r="FH56" s="15" t="str">
        <f t="shared" si="221"/>
        <v/>
      </c>
      <c r="FI56" s="15" t="str">
        <f t="shared" si="221"/>
        <v/>
      </c>
      <c r="FJ56" s="15" t="str">
        <f t="shared" si="221"/>
        <v/>
      </c>
      <c r="FK56" s="15" t="str">
        <f t="shared" si="221"/>
        <v/>
      </c>
      <c r="FL56" s="15">
        <f>FL54+5</f>
        <v>90</v>
      </c>
      <c r="FM56" s="15" t="str">
        <f ca="1">OFFSET($FM$75,FL56,0)</f>
        <v/>
      </c>
      <c r="FN56" s="15" t="str">
        <f ca="1">OFFSET($FN$75,FL56,0)</f>
        <v/>
      </c>
      <c r="FO56" s="244"/>
      <c r="FP56" s="245"/>
      <c r="FQ56" s="245"/>
      <c r="FR56" s="245"/>
      <c r="FS56" s="245"/>
      <c r="FT56" s="245"/>
      <c r="FU56" s="245"/>
      <c r="FV56" s="245"/>
      <c r="FW56" s="245"/>
      <c r="FX56" s="245"/>
      <c r="FY56" s="245"/>
      <c r="FZ56" s="245"/>
      <c r="GA56" s="245"/>
      <c r="GB56" s="245"/>
      <c r="GC56" s="245"/>
      <c r="GD56" s="245"/>
      <c r="GE56" s="245"/>
      <c r="GF56" s="245"/>
      <c r="GG56" s="245"/>
      <c r="GH56" s="245"/>
      <c r="GI56" s="245"/>
      <c r="GJ56" s="245"/>
      <c r="GK56" s="245"/>
      <c r="GL56" s="245"/>
      <c r="GM56" s="245"/>
      <c r="GN56" s="245"/>
      <c r="GO56" s="245"/>
      <c r="GP56" s="245"/>
      <c r="GQ56" s="245"/>
      <c r="GR56" s="246"/>
      <c r="GS56" s="15"/>
      <c r="GT56" s="15"/>
      <c r="GU56" s="15"/>
      <c r="GV56" s="15"/>
      <c r="GW56" s="15"/>
      <c r="GX56" s="15"/>
      <c r="GY56" s="15"/>
      <c r="GZ56" s="15"/>
      <c r="HA56" s="15" t="str">
        <f>IF($F55="Hybrid - Thrust + 2 connections",COUNTBLANK(J55:L55),"")</f>
        <v/>
      </c>
      <c r="HB56" s="15"/>
      <c r="HC56" s="5"/>
      <c r="HD56" s="5"/>
      <c r="HE56" s="5"/>
      <c r="HF56" s="5"/>
    </row>
    <row r="57" spans="1:214" ht="12.75" customHeight="1" x14ac:dyDescent="0.3">
      <c r="A57" s="118" t="str">
        <f>IF(AND(E55="",A55&lt;&gt;""),IF(CP55=$CP$18,"",IF(C55&lt;&gt;"",IF(D55=59,MINUTE(CP55)+1,MINUTE(CP55)),"")),"")</f>
        <v/>
      </c>
      <c r="B57" s="119" t="str">
        <f>IF(AND(E55="",B55&lt;&gt;""),IF(CP55=$CP$18,"",IF(C55&lt;&gt;"",IF(D55=59,0,SECOND(CP55)+1),"")),"")</f>
        <v/>
      </c>
      <c r="C57" s="119"/>
      <c r="D57" s="119"/>
      <c r="E57" s="119"/>
      <c r="F57" s="57"/>
      <c r="G57" s="120" t="str">
        <f>IF(F57&lt;&gt;"",IF(OR(F57="Transition",F57="Transition - Surface Connection"),0,MAX($G$19:G56)+1),"")</f>
        <v/>
      </c>
      <c r="H57" s="223" t="str">
        <f>IFERROR(IF(E58="3","",IF(OR(F57="Hybrid - min 4 swimmers (no DD)",LEFT(F57,5)="Trans"),"No DD",CONCATENATE("BM = ",I58))),"")</f>
        <v/>
      </c>
      <c r="I57" s="224"/>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2"/>
      <c r="AO57" s="123"/>
      <c r="AP57" s="52"/>
      <c r="AQ57" s="52"/>
      <c r="AR57" s="12"/>
      <c r="AS57" s="12"/>
      <c r="AT57" s="12"/>
      <c r="AU57" s="12"/>
      <c r="AV57" s="12"/>
      <c r="AW57" s="12"/>
      <c r="AX57" s="12"/>
      <c r="AY57" s="12"/>
      <c r="AZ57" s="12"/>
      <c r="BA57" s="12"/>
      <c r="BB57" s="12"/>
      <c r="BC57" s="12"/>
      <c r="BD57" s="12"/>
      <c r="BE57" s="12"/>
      <c r="BF57" s="12"/>
      <c r="BG57" s="12" t="str">
        <f t="array" ref="BG57">IFERROR(IF(F57&lt;&gt;"",INDEX(Parts_Active,MATCH(F57,Parts_Active,0)),""),"No")</f>
        <v/>
      </c>
      <c r="BH57" s="12"/>
      <c r="BI57" s="12" t="str">
        <f>IF($E58="H",IF($F57="Hybrid - Thrust + 2 connections","Hybrid_Mix_Req",IF($F57="Hybrid - min 4 swimmers (no DD)","Hybrid_ChoHY","HybridDD_Code")),IF($E58=3,"TreDD_Code",IF($E58="PA","AcroPair_Code",IF(LEFT($F57,4)="Acro",CONCATENATE(BI$16,$E58,"_Code"),"Data!$BI$1:$BI$5"))))</f>
        <v>Data!$BI$1:$BI$5</v>
      </c>
      <c r="BJ57" s="12" t="str">
        <f t="shared" ref="BJ57:BQ57" si="222">IF($E58="H",IF($F57="Hybrid - Thrust + 2 connections","Hybrid_Mix_Req",IF($F57="Hybrid - min 4 swimmers (no DD)","Data!$BI$1:$BI$5","HybridDD_Code")),IF($E58=3,"TreDD_Code",IF($E58="PA","AcroPair_Code",IF(LEFT($F57,4)="Acro",CONCATENATE(BJ$16,$E58,"_Code"),"Data!$BI$1:$BI$5"))))</f>
        <v>Data!$BI$1:$BI$5</v>
      </c>
      <c r="BK57" s="12" t="str">
        <f t="shared" si="222"/>
        <v>Data!$BI$1:$BI$5</v>
      </c>
      <c r="BL57" s="12" t="str">
        <f t="shared" si="222"/>
        <v>Data!$BI$1:$BI$5</v>
      </c>
      <c r="BM57" s="12" t="str">
        <f t="shared" si="222"/>
        <v>Data!$BI$1:$BI$5</v>
      </c>
      <c r="BN57" s="12" t="str">
        <f t="shared" si="222"/>
        <v>Data!$BI$1:$BI$5</v>
      </c>
      <c r="BO57" s="12" t="str">
        <f t="shared" si="222"/>
        <v>Data!$BI$1:$BI$5</v>
      </c>
      <c r="BP57" s="12" t="str">
        <f t="shared" si="222"/>
        <v>Data!$BI$1:$BI$5</v>
      </c>
      <c r="BQ57" s="12" t="str">
        <f t="shared" si="222"/>
        <v>Data!$BI$1:$BI$5</v>
      </c>
      <c r="BR57" s="12" t="str">
        <f>IF($E58="H",IF($F57="Hybrid - Thrust + 2 connections","Data!$BI$1:$BI$5","HybridDD_Code"),"Data!$BI$1:$BI$5")</f>
        <v>Data!$BI$1:$BI$5</v>
      </c>
      <c r="BS57" s="12" t="str">
        <f t="shared" ref="BS57:CL57" si="223">$BR57</f>
        <v>Data!$BI$1:$BI$5</v>
      </c>
      <c r="BT57" s="12" t="str">
        <f t="shared" si="223"/>
        <v>Data!$BI$1:$BI$5</v>
      </c>
      <c r="BU57" s="12" t="str">
        <f t="shared" si="223"/>
        <v>Data!$BI$1:$BI$5</v>
      </c>
      <c r="BV57" s="12" t="str">
        <f t="shared" si="223"/>
        <v>Data!$BI$1:$BI$5</v>
      </c>
      <c r="BW57" s="12" t="str">
        <f t="shared" si="223"/>
        <v>Data!$BI$1:$BI$5</v>
      </c>
      <c r="BX57" s="12" t="str">
        <f t="shared" si="223"/>
        <v>Data!$BI$1:$BI$5</v>
      </c>
      <c r="BY57" s="12" t="str">
        <f t="shared" si="223"/>
        <v>Data!$BI$1:$BI$5</v>
      </c>
      <c r="BZ57" s="12" t="str">
        <f t="shared" si="223"/>
        <v>Data!$BI$1:$BI$5</v>
      </c>
      <c r="CA57" s="12" t="str">
        <f t="shared" si="223"/>
        <v>Data!$BI$1:$BI$5</v>
      </c>
      <c r="CB57" s="12" t="str">
        <f t="shared" si="223"/>
        <v>Data!$BI$1:$BI$5</v>
      </c>
      <c r="CC57" s="12" t="str">
        <f t="shared" si="223"/>
        <v>Data!$BI$1:$BI$5</v>
      </c>
      <c r="CD57" s="12" t="str">
        <f t="shared" si="223"/>
        <v>Data!$BI$1:$BI$5</v>
      </c>
      <c r="CE57" s="12" t="str">
        <f t="shared" si="223"/>
        <v>Data!$BI$1:$BI$5</v>
      </c>
      <c r="CF57" s="12" t="str">
        <f t="shared" si="223"/>
        <v>Data!$BI$1:$BI$5</v>
      </c>
      <c r="CG57" s="12" t="str">
        <f t="shared" si="223"/>
        <v>Data!$BI$1:$BI$5</v>
      </c>
      <c r="CH57" s="12" t="str">
        <f t="shared" si="223"/>
        <v>Data!$BI$1:$BI$5</v>
      </c>
      <c r="CI57" s="12" t="str">
        <f t="shared" si="223"/>
        <v>Data!$BI$1:$BI$5</v>
      </c>
      <c r="CJ57" s="12" t="str">
        <f t="shared" si="223"/>
        <v>Data!$BI$1:$BI$5</v>
      </c>
      <c r="CK57" s="12" t="str">
        <f t="shared" si="223"/>
        <v>Data!$BI$1:$BI$5</v>
      </c>
      <c r="CL57" s="12" t="str">
        <f t="shared" si="223"/>
        <v>Data!$BI$1:$BI$5</v>
      </c>
      <c r="CM57" s="12"/>
      <c r="CN57" s="12"/>
      <c r="CO57" s="63" t="str">
        <f>IFERROR(TIME(0,A57,B57),"")</f>
        <v/>
      </c>
      <c r="CP57" s="63">
        <f>IFERROR(TIME(0,C57,D57),"")</f>
        <v>0</v>
      </c>
      <c r="CQ57" s="63" t="str">
        <f>IF(CP57&gt;$D$12,"X","")</f>
        <v/>
      </c>
      <c r="CR57" s="15" t="str">
        <f>IF(AND(F57="Hybrid - Thrust + 2 connections",OR(LEFT(J57,1)="T",LEFT(K57,1)="T",LEFT(L57,1)="T",LEFT(OY57,1)="T",LEFT(M57,1)="T",LEFT(N57,1)="T",LEFT(O57,1)="T",LEFT(P57,1)="T",LEFT(Q57,1)="T",LEFT(R57,1)="T",LEFT(S57,1)="T",LEFT(T57,1)="T",LEFT(U57,1)="T",LEFT(V57,1)="T",LEFT(W57,1)="T",LEFT(X57,1)="T",LEFT(AK57,1)="T",LEFT(AL57,1)="T",LEFT(AM57,1)="T")),IF(OR(LEN(J57)=2,LEN(K57)=2,LEN(L57)=2,LEN(M57)=2,LEN(N57)=2,LEN(O57)=2,LEN(P57)=2,LEN(Q57)=2,LEN(R57)=2,LEN(S57)=2,LEN(T57)=2,LEN(U57)=2,LEN(V57)=2,LEN(W57)=2,LEN(X57)=2,LEN(Y57)=2,LEN(Z57)=2,LEN(AK57)=2,LEN(AL57)=2,LEN(AM57)=2),"X",""),"")</f>
        <v/>
      </c>
      <c r="CS57" s="5" t="str">
        <f t="shared" si="201"/>
        <v/>
      </c>
      <c r="CT57" s="15" t="str">
        <f>IF(LEFT(F57,4)="Acro",IF(AND(N57&lt;&gt;"",M57=RIGHT(N57,2)),"X","OK"),"")</f>
        <v/>
      </c>
      <c r="CU57" s="12" t="str">
        <f t="array" ref="CU57">IFERROR(IF(AND(LEFT($F57,4)="Acro",INDEX(Requ_App,MATCH(BI57,Requ_Code,0))="No"),"X",""),"")</f>
        <v/>
      </c>
      <c r="CV57" s="12" t="str">
        <f t="array" ref="CV57">IFERROR(IF(AND(LEFT($F57,4)="Acro",INDEX(Requ_App,MATCH(BJ57,Requ_Code,0))="No"),"X",""),"")</f>
        <v/>
      </c>
      <c r="CW57" s="12" t="str">
        <f t="array" ref="CW57">IFERROR(IF(AND(LEFT($F57,4)="Acro",INDEX(Requ_App,MATCH(BK57,Requ_Code,0))="No"),"X",""),"")</f>
        <v/>
      </c>
      <c r="CX57" s="12" t="str">
        <f t="array" ref="CX57">IFERROR(IF(AND(LEFT($F57,4)="Acro",INDEX(Requ_App,MATCH(BL57,Requ_Code,0))="No"),"X",""),"")</f>
        <v/>
      </c>
      <c r="CY57" s="12" t="str">
        <f t="array" ref="CY57">IFERROR(IF(AND(LEFT($F57,4)="Acro",INDEX(Requ_App,MATCH(BM57,Requ_Code,0))="No"),"X",""),"")</f>
        <v/>
      </c>
      <c r="CZ57" s="12" t="str">
        <f t="array" ref="CZ57">IFERROR(IF(AND(LEFT($F57,4)="Acro",INDEX(Requ_App,MATCH(BN57,Requ_Code,0))="No"),"X",""),"")</f>
        <v/>
      </c>
      <c r="DA57" s="12" t="str">
        <f t="array" ref="DA57">IFERROR(IF(AND(LEFT($F57,4)="Acro",INDEX(Requ_App,MATCH(BO57,Requ_Code,0))="No"),"X",""),"")</f>
        <v/>
      </c>
      <c r="DB57" s="12" t="str">
        <f t="array" ref="DB57">IFERROR(IF(AND(LEFT($F57,4)="Acro",INDEX(Requ_App,MATCH(BP57,Requ_Code,0))="No"),"X",""),"")</f>
        <v/>
      </c>
      <c r="DC57" s="12" t="str">
        <f t="array" ref="DC57">IFERROR(IF(AND(LEFT($F57,4)="Acro",INDEX(Requ_App,MATCH(BP57,Requ_Code,0))="No"),"X",""),"")</f>
        <v/>
      </c>
      <c r="DD57" s="15" t="str">
        <f t="shared" si="10"/>
        <v/>
      </c>
      <c r="DE57" s="15" t="str">
        <f t="shared" si="11"/>
        <v/>
      </c>
      <c r="DF57" s="15" t="str">
        <f t="shared" si="12"/>
        <v/>
      </c>
      <c r="DG57" s="15" t="str">
        <f t="shared" si="13"/>
        <v/>
      </c>
      <c r="DH57" s="15"/>
      <c r="DI57" s="15"/>
      <c r="DJ57" s="15"/>
      <c r="DK57" s="15">
        <f>IF(AND(E58="A",OR(Q57="Grip",Q57="Conn",Q57="Catch")),"A1",IF(AND(E58="A",OR(Q57="Hula",Q57="RetSq",Q57="RetPa")),"A2",IF(AND(E58="B",OR(Q57="Twirl",Q57="RotF")),"B1",IF(AND(E58="B",OR(Q57="Moon",Q57="Mov")),"B2",IF(AND(E58="B",Q57="Hold"),"B3",IF(AND(E58="P",OR(Q57="Porp",Q57="Spitch")),"P1",IF(AND(E58="P",OR(Q57="Dive",Q57="Ps1",Q57="Ps1t0.5",Q57="Ps1op",Q57="Ps1t0,5o",Q57="Ps1t1",Q57="CH+")),"P2",IF(AND(E58="P",OR(Q57="Spider",Q57="Climb")),"P3",IF(AND(E58="P",OR(Q57="Fall",Q57="FTurn")),"P4",IF(AND(E58="C",OR(Q57="Jump",Q57="Jump&gt;",Q57="On1Foot",Q57="1F&gt;1F")),"C1",IF(AND(E58="C",OR(Q57="Run",Q57="BRun")),"C2",1)))))))))))</f>
        <v>1</v>
      </c>
      <c r="DL57" s="15">
        <f>IF(AND(E58="A",OR(R57="Grip",R57="Conn",R57="Catch")),"A1",IF(AND(E58="A",OR(R57="Hula",R57="RetSq",R57="RetPa")),"A2",IF(AND(E58="B",OR(R57="Twirl",R57="RotF")),"B1",IF(AND(E58="B",OR(R57="Moon",R57="Mov")),"B3",IF(AND(E58="B",R57="Hold"),"B2",IF(AND(E58="P",OR(R57="Porp",R57="Spitch")),"P1",IF(AND(E58="P",OR(R57="Dive",R57="Ps1",R57="Ps1t0.5",R57="Ps1op",R57="Ps1t0,5o",R57="Ps1t1",R57="CH+")),"P2",IF(AND(E58="P",OR(R57="Spider",R57="Climb")),"P3",IF(AND(E58="P",OR(R57="Fall",R57="FTurn")),"P4",IF(AND(E58="C",OR(R57="Jump",R57="Jump&gt;",R57="On1Foot",R57="1F&gt;1F")),"C1",IF(AND(E58="C",OR(R57="Run",R57="BRun")),"C2",2)))))))))))</f>
        <v>2</v>
      </c>
      <c r="DM57" s="15" t="str">
        <f>IF(AND(LEFT(F57,4)="Acro",Q57&lt;&gt;"",OR(Q57=R57,DK57=DL57)),IF(R57="C-Roll","","X"),IF(OR(AND(E58="A",Q57="Catch",R57&lt;&gt;"Dbl"),AND(E58="A",R57="Catch",Q57&lt;&gt;"Dbl")),"X",""))</f>
        <v/>
      </c>
      <c r="DN57" s="15" t="str">
        <f>IF(E58="PA",J57,"")</f>
        <v/>
      </c>
      <c r="DO57" s="15">
        <v>39</v>
      </c>
      <c r="DP57" s="15"/>
      <c r="DQ57" s="15" t="str">
        <f t="shared" ref="DQ57:DR57" si="224">IF(AND($E58="A",COUNTIF($DZ$19:$EA$68,DZ57)&gt;1),DZ57,"")</f>
        <v/>
      </c>
      <c r="DR57" s="15" t="str">
        <f t="shared" si="224"/>
        <v/>
      </c>
      <c r="DS57" s="15" t="str">
        <f ca="1">IF(AND($E58="B",COUNTIF($J$19:$J$68,J57)&gt;1),J57,"")</f>
        <v/>
      </c>
      <c r="DT57" s="15" t="str">
        <f ca="1">IF(AND($E58="B",COUNTIF($K$19:$K$68,K57)&gt;1),K57,"")</f>
        <v/>
      </c>
      <c r="DU57" s="15" t="str">
        <f ca="1">IF(AND($E58="C",COUNTIF($J$19:$J$68,J57)&gt;1),J57,"")</f>
        <v/>
      </c>
      <c r="DV57" s="15" t="str">
        <f ca="1">IF(AND($E58="P",COUNTIF($J$19:$J$68,J57)&gt;1),J57,"")</f>
        <v/>
      </c>
      <c r="DW57" s="15" t="str">
        <f ca="1">IF(AND($E58="P",COUNTIF($K$19:$K$68,K57)&gt;1),K57,"")</f>
        <v/>
      </c>
      <c r="DX57" s="15" t="str">
        <f t="shared" ref="DX57:DY57" si="225">IF(AND($E58="P",COUNTIF($DZ$19:$EA$68,DZ57)&gt;1),DZ57,"")</f>
        <v/>
      </c>
      <c r="DY57" s="15" t="str">
        <f t="shared" si="225"/>
        <v/>
      </c>
      <c r="DZ57" s="15" t="str">
        <f>IFERROR(IF(OR(E58="A",E58="P"),M57,""),"")</f>
        <v/>
      </c>
      <c r="EA57" s="15" t="str">
        <f>IFERROR(IF(OR(E58="A",E58="P"),RIGHT(N57,2),""),"")</f>
        <v/>
      </c>
      <c r="EB57" s="15"/>
      <c r="EC57" s="15" t="str">
        <f>IF(AND($F$8="Open Team Acrobatic",LEFT(F57,4)="Acro"),E58,"")</f>
        <v/>
      </c>
      <c r="ED57" s="15" t="str">
        <f>IFERROR(IF(HLOOKUP(EC57,$DQ$12:$DT$13,2,FALSE)&gt;2,"X",""),"")</f>
        <v/>
      </c>
      <c r="EE57" s="15"/>
      <c r="EF57" s="15" t="str">
        <f>IF(OR(AND(F57="Hybrid - Thrust + 2 connections",EF58="T"),AND(E58="H",EF58&lt;&gt;"")),"X","")</f>
        <v/>
      </c>
      <c r="EG57" s="15"/>
      <c r="EH57" s="15">
        <f t="shared" ref="EH57:EX57" si="226">IFERROR(IF(AND($E58="H",J57&lt;&gt;""),IF(OR(LEFT(J57,1)="T",LEFT(J57,1)="S",LEFT(J57,1)="A",LEFT(J57,1)="F",LEFT(J57,1)="C"),LEFT(J57,1),"R"),EH$18),"")</f>
        <v>1</v>
      </c>
      <c r="EI57" s="15">
        <f t="shared" si="226"/>
        <v>2</v>
      </c>
      <c r="EJ57" s="15">
        <f t="shared" si="226"/>
        <v>3</v>
      </c>
      <c r="EK57" s="15">
        <f t="shared" si="226"/>
        <v>4</v>
      </c>
      <c r="EL57" s="15">
        <f t="shared" si="226"/>
        <v>5</v>
      </c>
      <c r="EM57" s="15">
        <f t="shared" si="226"/>
        <v>6</v>
      </c>
      <c r="EN57" s="15">
        <f t="shared" si="226"/>
        <v>7</v>
      </c>
      <c r="EO57" s="15">
        <f t="shared" si="226"/>
        <v>8</v>
      </c>
      <c r="EP57" s="15">
        <f t="shared" si="226"/>
        <v>9</v>
      </c>
      <c r="EQ57" s="15">
        <f t="shared" si="226"/>
        <v>10</v>
      </c>
      <c r="ER57" s="15">
        <f t="shared" si="226"/>
        <v>11</v>
      </c>
      <c r="ES57" s="15">
        <f t="shared" si="226"/>
        <v>12</v>
      </c>
      <c r="ET57" s="15">
        <f t="shared" si="226"/>
        <v>13</v>
      </c>
      <c r="EU57" s="15">
        <f t="shared" si="226"/>
        <v>14</v>
      </c>
      <c r="EV57" s="15">
        <f t="shared" si="226"/>
        <v>15</v>
      </c>
      <c r="EW57" s="15">
        <f t="shared" si="226"/>
        <v>16</v>
      </c>
      <c r="EX57" s="15">
        <f t="shared" si="226"/>
        <v>17</v>
      </c>
      <c r="EY57" s="15">
        <f t="shared" ref="EY57:FK57" si="227">IFERROR(IF(AND($E58="H",AK57&lt;&gt;""),IF(OR(LEFT(AK57,1)="T",LEFT(AK57,1)="S",LEFT(AK57,1)="A",LEFT(AK57,1)="F",LEFT(AK57,1)="C"),LEFT(AK57,1),"R"),EY$18),"")</f>
        <v>18</v>
      </c>
      <c r="EZ57" s="15">
        <f t="shared" si="227"/>
        <v>19</v>
      </c>
      <c r="FA57" s="15">
        <f t="shared" si="227"/>
        <v>20</v>
      </c>
      <c r="FB57" s="15">
        <f t="shared" si="227"/>
        <v>21</v>
      </c>
      <c r="FC57" s="15">
        <f t="shared" si="227"/>
        <v>22</v>
      </c>
      <c r="FD57" s="15">
        <f t="shared" si="227"/>
        <v>23</v>
      </c>
      <c r="FE57" s="15">
        <f t="shared" si="227"/>
        <v>24</v>
      </c>
      <c r="FF57" s="15">
        <f t="shared" si="227"/>
        <v>25</v>
      </c>
      <c r="FG57" s="15">
        <f t="shared" si="227"/>
        <v>26</v>
      </c>
      <c r="FH57" s="15">
        <f t="shared" si="227"/>
        <v>27</v>
      </c>
      <c r="FI57" s="15">
        <f t="shared" si="227"/>
        <v>28</v>
      </c>
      <c r="FJ57" s="15">
        <f t="shared" si="227"/>
        <v>29</v>
      </c>
      <c r="FK57" s="15">
        <f t="shared" si="227"/>
        <v>30</v>
      </c>
      <c r="FL57" s="15"/>
      <c r="FM57" s="15"/>
      <c r="FN57" s="15"/>
      <c r="FO57" s="244"/>
      <c r="FP57" s="245"/>
      <c r="FQ57" s="245"/>
      <c r="FR57" s="245"/>
      <c r="FS57" s="245"/>
      <c r="FT57" s="245"/>
      <c r="FU57" s="245"/>
      <c r="FV57" s="245"/>
      <c r="FW57" s="245"/>
      <c r="FX57" s="245"/>
      <c r="FY57" s="245"/>
      <c r="FZ57" s="245"/>
      <c r="GA57" s="245"/>
      <c r="GB57" s="245"/>
      <c r="GC57" s="245"/>
      <c r="GD57" s="245"/>
      <c r="GE57" s="245"/>
      <c r="GF57" s="245"/>
      <c r="GG57" s="245"/>
      <c r="GH57" s="245"/>
      <c r="GI57" s="245"/>
      <c r="GJ57" s="245"/>
      <c r="GK57" s="245"/>
      <c r="GL57" s="245"/>
      <c r="GM57" s="245"/>
      <c r="GN57" s="245"/>
      <c r="GO57" s="245"/>
      <c r="GP57" s="245"/>
      <c r="GQ57" s="245"/>
      <c r="GR57" s="246"/>
      <c r="GS57" s="15"/>
      <c r="GT57" s="15">
        <f t="shared" ref="GT57:GY57" si="228">COUNTIF($EH57:$FK57,GT$18)</f>
        <v>0</v>
      </c>
      <c r="GU57" s="15">
        <f t="shared" si="228"/>
        <v>0</v>
      </c>
      <c r="GV57" s="15">
        <f t="shared" si="228"/>
        <v>0</v>
      </c>
      <c r="GW57" s="15">
        <f t="shared" si="228"/>
        <v>0</v>
      </c>
      <c r="GX57" s="15">
        <f t="shared" si="228"/>
        <v>0</v>
      </c>
      <c r="GY57" s="15">
        <f t="shared" si="228"/>
        <v>0</v>
      </c>
      <c r="GZ57" s="15"/>
      <c r="HA57" s="15" t="str">
        <f>IF(AND($F57="Hybrid - Thrust + 2 connections",HA58=0,LEFT($J57,1)="C",LEFT($K57,1)="C",LEFT($L57,1)="C"),"X","")</f>
        <v/>
      </c>
      <c r="HB57" s="15"/>
      <c r="HC57" s="5"/>
      <c r="HD57" s="124"/>
      <c r="HE57" s="124"/>
      <c r="HF57" s="5" t="str">
        <f>IF(E58=3,_xludf.NUMBERVALUE(LEFT(J57,1)),"")</f>
        <v/>
      </c>
    </row>
    <row r="58" spans="1:214" ht="12.75" customHeight="1" x14ac:dyDescent="0.3">
      <c r="A58" s="134"/>
      <c r="B58" s="135"/>
      <c r="C58" s="135"/>
      <c r="D58" s="135"/>
      <c r="E58" s="136" t="str">
        <f>IF(F57="Acrobatic - Pair","PA",IF(F57="Acrobatic Airborn","A",IF(F57="Acrobatic Balance","B",IF(F57="Acrobatic Combined","C",IF(F57="Acrobatic Platform","P",IF(F57="Technical Required Element",3,IF(LEFT(F57,4)="Hybr","H","")))))))</f>
        <v/>
      </c>
      <c r="F58" s="136" t="str">
        <f>IF(AND(F57="Hybrid - Thrust + 2 connections",CR57="X"),"Hybrid - Thrust",IF(OR(E58="A",E58="B",E58="C",E58="P"),"Acrobatic",""))</f>
        <v/>
      </c>
      <c r="G58" s="137"/>
      <c r="H58" s="138" t="str">
        <f>IF(E58="PA",IF(OR(LEFT(J57,1)="L",LEFT(J57,1)="S"),"A-Pair-Lift",IF(OR(LEFT(J57,1)="W",LEFT(J57,1)="T"),"A-Pair-Throw",IF(LEFT(J57,1)="J","A-Pair-Jump","A-Pair"))),IF(OR(E58="A",E58="B",E58="C",E58="P"),CONCATENATE("Acro-",E58),""))</f>
        <v/>
      </c>
      <c r="I58" s="139" t="e">
        <f t="array" ref="I58">IF(OR(F57="Hybrid - min 4 swimmers (no DD)",LEFT(F57,5)="Trans"),0,INDEX($BY$3:$BY$9,MATCH(E58,$BX$3:$BX$9,0)))</f>
        <v>#N/A</v>
      </c>
      <c r="J58" s="140">
        <f t="array" aca="1" ref="J58" ca="1">IFERROR(IF($H57="No DD",IF(J57="ChoHY",1,0),IF(OR(ISBLANK(J57),J57="N/A"),0,INDEX(INDIRECT(BI58),MATCH(J57,INDIRECT(BI57),0)))),0)</f>
        <v>0</v>
      </c>
      <c r="K58" s="141">
        <f t="shared" ref="K58:AM58" ca="1" si="229">IFERROR(IF($H57="No DD",0,IF(OR(ISBLANK(K57),K57="N/A"),0,INDEX(INDIRECT(BJ58),MATCH(K57,INDIRECT(BJ57),0)))),0)</f>
        <v>0</v>
      </c>
      <c r="L58" s="141">
        <f t="shared" ca="1" si="229"/>
        <v>0</v>
      </c>
      <c r="M58" s="141">
        <f t="shared" ca="1" si="229"/>
        <v>0</v>
      </c>
      <c r="N58" s="141">
        <f t="shared" ca="1" si="229"/>
        <v>0</v>
      </c>
      <c r="O58" s="141">
        <f t="shared" ca="1" si="229"/>
        <v>0</v>
      </c>
      <c r="P58" s="141">
        <f t="shared" ca="1" si="229"/>
        <v>0</v>
      </c>
      <c r="Q58" s="141">
        <f t="shared" ca="1" si="229"/>
        <v>0</v>
      </c>
      <c r="R58" s="141">
        <f t="shared" ca="1" si="229"/>
        <v>0</v>
      </c>
      <c r="S58" s="141">
        <f t="shared" ca="1" si="229"/>
        <v>0</v>
      </c>
      <c r="T58" s="141">
        <f t="shared" ca="1" si="229"/>
        <v>0</v>
      </c>
      <c r="U58" s="141">
        <f t="shared" ca="1" si="229"/>
        <v>0</v>
      </c>
      <c r="V58" s="141">
        <f t="shared" ca="1" si="229"/>
        <v>0</v>
      </c>
      <c r="W58" s="141">
        <f t="shared" ca="1" si="229"/>
        <v>0</v>
      </c>
      <c r="X58" s="141">
        <f t="shared" ca="1" si="229"/>
        <v>0</v>
      </c>
      <c r="Y58" s="141">
        <f t="shared" ca="1" si="229"/>
        <v>0</v>
      </c>
      <c r="Z58" s="141">
        <f t="shared" ca="1" si="229"/>
        <v>0</v>
      </c>
      <c r="AA58" s="141">
        <f t="shared" ca="1" si="229"/>
        <v>0</v>
      </c>
      <c r="AB58" s="141">
        <f t="shared" ca="1" si="229"/>
        <v>0</v>
      </c>
      <c r="AC58" s="141">
        <f t="shared" ca="1" si="229"/>
        <v>0</v>
      </c>
      <c r="AD58" s="141">
        <f t="shared" ca="1" si="229"/>
        <v>0</v>
      </c>
      <c r="AE58" s="141">
        <f t="shared" ca="1" si="229"/>
        <v>0</v>
      </c>
      <c r="AF58" s="141">
        <f t="shared" ca="1" si="229"/>
        <v>0</v>
      </c>
      <c r="AG58" s="141">
        <f t="shared" ca="1" si="229"/>
        <v>0</v>
      </c>
      <c r="AH58" s="141">
        <f t="shared" ca="1" si="229"/>
        <v>0</v>
      </c>
      <c r="AI58" s="141">
        <f t="shared" ca="1" si="229"/>
        <v>0</v>
      </c>
      <c r="AJ58" s="141">
        <f t="shared" ca="1" si="229"/>
        <v>0</v>
      </c>
      <c r="AK58" s="141">
        <f t="shared" ca="1" si="229"/>
        <v>0</v>
      </c>
      <c r="AL58" s="141">
        <f t="shared" ca="1" si="229"/>
        <v>0</v>
      </c>
      <c r="AM58" s="142">
        <f t="shared" ca="1" si="229"/>
        <v>0</v>
      </c>
      <c r="AN58" s="143" t="str">
        <f t="array" ref="AN58">IFERROR(IF(E58="H",INDEX(HybridBonus_Value,MATCH(AN57,HybridBonus_Code,0)),""),"")</f>
        <v/>
      </c>
      <c r="AO58" s="144" t="str">
        <f>IFERROR(SUM(I58:AN58),"")</f>
        <v/>
      </c>
      <c r="AP58" s="132"/>
      <c r="AQ58" s="132"/>
      <c r="AR58" s="131"/>
      <c r="AS58" s="131"/>
      <c r="AT58" s="131"/>
      <c r="AU58" s="131"/>
      <c r="AV58" s="131"/>
      <c r="AW58" s="131"/>
      <c r="AX58" s="131"/>
      <c r="AY58" s="131"/>
      <c r="AZ58" s="131"/>
      <c r="BA58" s="131"/>
      <c r="BB58" s="131"/>
      <c r="BC58" s="131"/>
      <c r="BD58" s="131"/>
      <c r="BE58" s="131"/>
      <c r="BF58" s="131"/>
      <c r="BG58" s="12"/>
      <c r="BH58" s="131"/>
      <c r="BI58" s="5" t="str">
        <f t="shared" ref="BI58:BQ58" si="230">IF($E58="H",IF($F57="Hybrid - Thrust + 2 connections","Hybrid_Mix_Req_Value","HybridDD_Value"),IF($E58=3,"TreDD_Value",IF($E58="PA","AcroPair_Value",IF(LEFT($F57,4)="Acro",CONCATENATE(BI$16,$E58,"_Value"),""))))</f>
        <v/>
      </c>
      <c r="BJ58" s="5" t="str">
        <f t="shared" si="230"/>
        <v/>
      </c>
      <c r="BK58" s="5" t="str">
        <f t="shared" si="230"/>
        <v/>
      </c>
      <c r="BL58" s="5" t="str">
        <f t="shared" si="230"/>
        <v/>
      </c>
      <c r="BM58" s="5" t="str">
        <f t="shared" si="230"/>
        <v/>
      </c>
      <c r="BN58" s="5" t="str">
        <f t="shared" si="230"/>
        <v/>
      </c>
      <c r="BO58" s="5" t="str">
        <f t="shared" si="230"/>
        <v/>
      </c>
      <c r="BP58" s="5" t="str">
        <f t="shared" si="230"/>
        <v/>
      </c>
      <c r="BQ58" s="5" t="str">
        <f t="shared" si="230"/>
        <v/>
      </c>
      <c r="BR58" s="12" t="str">
        <f t="shared" ref="BR58:CL58" si="231">IF($E58="H",IF($F57="Hybrid - Thrust + 2 connections","Data!$BI$1:$BI$5","HybridDD_Value"),"Data!$BI$1:$BI$5")</f>
        <v>Data!$BI$1:$BI$5</v>
      </c>
      <c r="BS58" s="12" t="str">
        <f t="shared" si="231"/>
        <v>Data!$BI$1:$BI$5</v>
      </c>
      <c r="BT58" s="12" t="str">
        <f t="shared" si="231"/>
        <v>Data!$BI$1:$BI$5</v>
      </c>
      <c r="BU58" s="12" t="str">
        <f t="shared" si="231"/>
        <v>Data!$BI$1:$BI$5</v>
      </c>
      <c r="BV58" s="12" t="str">
        <f t="shared" si="231"/>
        <v>Data!$BI$1:$BI$5</v>
      </c>
      <c r="BW58" s="12" t="str">
        <f t="shared" si="231"/>
        <v>Data!$BI$1:$BI$5</v>
      </c>
      <c r="BX58" s="12" t="str">
        <f t="shared" si="231"/>
        <v>Data!$BI$1:$BI$5</v>
      </c>
      <c r="BY58" s="12" t="str">
        <f t="shared" si="231"/>
        <v>Data!$BI$1:$BI$5</v>
      </c>
      <c r="BZ58" s="12" t="str">
        <f t="shared" si="231"/>
        <v>Data!$BI$1:$BI$5</v>
      </c>
      <c r="CA58" s="12" t="str">
        <f t="shared" si="231"/>
        <v>Data!$BI$1:$BI$5</v>
      </c>
      <c r="CB58" s="12" t="str">
        <f t="shared" si="231"/>
        <v>Data!$BI$1:$BI$5</v>
      </c>
      <c r="CC58" s="12" t="str">
        <f t="shared" si="231"/>
        <v>Data!$BI$1:$BI$5</v>
      </c>
      <c r="CD58" s="12" t="str">
        <f t="shared" si="231"/>
        <v>Data!$BI$1:$BI$5</v>
      </c>
      <c r="CE58" s="12" t="str">
        <f t="shared" si="231"/>
        <v>Data!$BI$1:$BI$5</v>
      </c>
      <c r="CF58" s="12" t="str">
        <f t="shared" si="231"/>
        <v>Data!$BI$1:$BI$5</v>
      </c>
      <c r="CG58" s="12" t="str">
        <f t="shared" si="231"/>
        <v>Data!$BI$1:$BI$5</v>
      </c>
      <c r="CH58" s="12" t="str">
        <f t="shared" si="231"/>
        <v>Data!$BI$1:$BI$5</v>
      </c>
      <c r="CI58" s="12" t="str">
        <f t="shared" si="231"/>
        <v>Data!$BI$1:$BI$5</v>
      </c>
      <c r="CJ58" s="12" t="str">
        <f t="shared" si="231"/>
        <v>Data!$BI$1:$BI$5</v>
      </c>
      <c r="CK58" s="12" t="str">
        <f t="shared" si="231"/>
        <v>Data!$BI$1:$BI$5</v>
      </c>
      <c r="CL58" s="12" t="str">
        <f t="shared" si="231"/>
        <v>Data!$BI$1:$BI$5</v>
      </c>
      <c r="CM58" s="131"/>
      <c r="CN58" s="131"/>
      <c r="CO58" s="124" t="str">
        <f>IFERROR(IF(AND($BV$6="T",$BV$8="T",LEFT(F57,4)="Acro",AO58&gt;3),"X",IF($N$7="X",IF(AND(E58="C",AO58&gt;$CN$6),"X",IF(AND(E58="A",AO58&gt;$CN$4),"X",IF(AND(E58="B",AO58&gt;$CN$5),"X",IF(AND(E58="P",AO58&gt;$CN$7),"X","")))),"")),"")</f>
        <v/>
      </c>
      <c r="CP58" s="63"/>
      <c r="CQ58" s="5"/>
      <c r="CR58" s="15"/>
      <c r="CS58" s="5"/>
      <c r="CT58" s="5"/>
      <c r="CU58" s="5"/>
      <c r="CV58" s="5"/>
      <c r="CW58" s="5"/>
      <c r="CX58" s="5"/>
      <c r="CY58" s="5"/>
      <c r="CZ58" s="5"/>
      <c r="DA58" s="15"/>
      <c r="DB58" s="15"/>
      <c r="DC58" s="15"/>
      <c r="DD58" s="15" t="str">
        <f t="shared" si="10"/>
        <v/>
      </c>
      <c r="DE58" s="15" t="str">
        <f t="shared" si="11"/>
        <v/>
      </c>
      <c r="DF58" s="15" t="str">
        <f t="shared" si="12"/>
        <v/>
      </c>
      <c r="DG58" s="15" t="str">
        <f t="shared" si="13"/>
        <v/>
      </c>
      <c r="DH58" s="15"/>
      <c r="DI58" s="15"/>
      <c r="DJ58" s="15"/>
      <c r="DK58" s="15"/>
      <c r="DL58" s="15"/>
      <c r="DM58" s="15"/>
      <c r="DN58" s="15"/>
      <c r="DO58" s="15">
        <v>40</v>
      </c>
      <c r="DP58" s="15"/>
      <c r="DQ58" s="15"/>
      <c r="DR58" s="15"/>
      <c r="DS58" s="15"/>
      <c r="DT58" s="15"/>
      <c r="DU58" s="15"/>
      <c r="DV58" s="15"/>
      <c r="DW58" s="15"/>
      <c r="DX58" s="15"/>
      <c r="DY58" s="15"/>
      <c r="DZ58" s="15"/>
      <c r="EA58" s="15"/>
      <c r="EB58" s="15"/>
      <c r="EC58" s="15"/>
      <c r="ED58" s="15"/>
      <c r="EE58" s="15"/>
      <c r="EF58" s="15" t="str">
        <f t="array" ref="EF58">IFERROR(INDEX(EH58:FK58,MATCH(TRUE,INDEX((EH58:FK58&lt;&gt;""),),0)),"")</f>
        <v/>
      </c>
      <c r="EG58" s="15"/>
      <c r="EH58" s="15" t="str">
        <f t="shared" ref="EH58:FK58" si="232">IF(F57="Hybrid - Thrust + 2 connections",IF(COUNTIF($EH57:$FA57,EH57)&gt;1,EH57,""),IF(COUNTIF($EH57:$FA57,EH57)&gt;5,EH57,""))</f>
        <v/>
      </c>
      <c r="EI58" s="15" t="str">
        <f t="shared" si="232"/>
        <v/>
      </c>
      <c r="EJ58" s="15" t="str">
        <f t="shared" si="232"/>
        <v/>
      </c>
      <c r="EK58" s="15" t="str">
        <f t="shared" si="232"/>
        <v/>
      </c>
      <c r="EL58" s="15" t="str">
        <f t="shared" si="232"/>
        <v/>
      </c>
      <c r="EM58" s="15" t="str">
        <f t="shared" si="232"/>
        <v/>
      </c>
      <c r="EN58" s="15" t="str">
        <f t="shared" si="232"/>
        <v/>
      </c>
      <c r="EO58" s="15" t="str">
        <f t="shared" si="232"/>
        <v/>
      </c>
      <c r="EP58" s="15" t="str">
        <f t="shared" si="232"/>
        <v/>
      </c>
      <c r="EQ58" s="15" t="str">
        <f t="shared" si="232"/>
        <v/>
      </c>
      <c r="ER58" s="15" t="str">
        <f t="shared" si="232"/>
        <v/>
      </c>
      <c r="ES58" s="15" t="str">
        <f t="shared" si="232"/>
        <v/>
      </c>
      <c r="ET58" s="15" t="str">
        <f t="shared" si="232"/>
        <v/>
      </c>
      <c r="EU58" s="15" t="str">
        <f t="shared" si="232"/>
        <v/>
      </c>
      <c r="EV58" s="15" t="str">
        <f t="shared" si="232"/>
        <v/>
      </c>
      <c r="EW58" s="15" t="str">
        <f t="shared" si="232"/>
        <v/>
      </c>
      <c r="EX58" s="15" t="str">
        <f t="shared" si="232"/>
        <v/>
      </c>
      <c r="EY58" s="15" t="str">
        <f t="shared" si="232"/>
        <v/>
      </c>
      <c r="EZ58" s="15" t="str">
        <f t="shared" si="232"/>
        <v/>
      </c>
      <c r="FA58" s="15" t="str">
        <f t="shared" si="232"/>
        <v/>
      </c>
      <c r="FB58" s="15" t="str">
        <f t="shared" si="232"/>
        <v/>
      </c>
      <c r="FC58" s="15" t="str">
        <f t="shared" si="232"/>
        <v/>
      </c>
      <c r="FD58" s="15" t="str">
        <f t="shared" si="232"/>
        <v/>
      </c>
      <c r="FE58" s="15" t="str">
        <f t="shared" si="232"/>
        <v/>
      </c>
      <c r="FF58" s="15" t="str">
        <f t="shared" si="232"/>
        <v/>
      </c>
      <c r="FG58" s="15" t="str">
        <f t="shared" si="232"/>
        <v/>
      </c>
      <c r="FH58" s="15" t="str">
        <f t="shared" si="232"/>
        <v/>
      </c>
      <c r="FI58" s="15" t="str">
        <f t="shared" si="232"/>
        <v/>
      </c>
      <c r="FJ58" s="15" t="str">
        <f t="shared" si="232"/>
        <v/>
      </c>
      <c r="FK58" s="15" t="str">
        <f t="shared" si="232"/>
        <v/>
      </c>
      <c r="FL58" s="15">
        <f>FL56+5</f>
        <v>95</v>
      </c>
      <c r="FM58" s="15" t="str">
        <f ca="1">OFFSET($FM$75,FL58,0)</f>
        <v/>
      </c>
      <c r="FN58" s="15" t="str">
        <f ca="1">OFFSET($FN$75,FL58,0)</f>
        <v/>
      </c>
      <c r="FO58" s="247"/>
      <c r="FP58" s="248"/>
      <c r="FQ58" s="248"/>
      <c r="FR58" s="248"/>
      <c r="FS58" s="248"/>
      <c r="FT58" s="248"/>
      <c r="FU58" s="248"/>
      <c r="FV58" s="248"/>
      <c r="FW58" s="248"/>
      <c r="FX58" s="248"/>
      <c r="FY58" s="248"/>
      <c r="FZ58" s="248"/>
      <c r="GA58" s="248"/>
      <c r="GB58" s="248"/>
      <c r="GC58" s="248"/>
      <c r="GD58" s="248"/>
      <c r="GE58" s="248"/>
      <c r="GF58" s="248"/>
      <c r="GG58" s="248"/>
      <c r="GH58" s="248"/>
      <c r="GI58" s="248"/>
      <c r="GJ58" s="248"/>
      <c r="GK58" s="248"/>
      <c r="GL58" s="248"/>
      <c r="GM58" s="248"/>
      <c r="GN58" s="248"/>
      <c r="GO58" s="248"/>
      <c r="GP58" s="248"/>
      <c r="GQ58" s="248"/>
      <c r="GR58" s="249"/>
      <c r="GS58" s="15"/>
      <c r="GT58" s="15"/>
      <c r="GU58" s="15"/>
      <c r="GV58" s="15"/>
      <c r="GW58" s="15"/>
      <c r="GX58" s="15"/>
      <c r="GY58" s="15"/>
      <c r="GZ58" s="15"/>
      <c r="HA58" s="15" t="str">
        <f>IF($F57="Hybrid - Thrust + 2 connections",COUNTBLANK(J57:L57),"")</f>
        <v/>
      </c>
      <c r="HB58" s="15"/>
      <c r="HC58" s="5"/>
      <c r="HD58" s="5"/>
      <c r="HE58" s="5"/>
      <c r="HF58" s="5"/>
    </row>
    <row r="59" spans="1:214" ht="12.75" hidden="1" customHeight="1" x14ac:dyDescent="0.3">
      <c r="A59" s="118" t="str">
        <f>IF(AND(E57="",A57&lt;&gt;""),IF(CP57=$CP$18,"",IF(C57&lt;&gt;"",IF(D57=59,MINUTE(CP57)+1,MINUTE(CP57)),"")),"")</f>
        <v/>
      </c>
      <c r="B59" s="119" t="str">
        <f>IF(AND(E57="",B57&lt;&gt;""),IF(CP57=$CP$18,"",IF(C57&lt;&gt;"",IF(D57=59,0,SECOND(CP57)+1),"")),"")</f>
        <v/>
      </c>
      <c r="C59" s="119"/>
      <c r="D59" s="119"/>
      <c r="E59" s="119"/>
      <c r="F59" s="57"/>
      <c r="G59" s="120" t="str">
        <f>IF(F59&lt;&gt;"",IF(OR(F59="Transition",F59="Transition - Surface Connection"),0,MAX($G$19:G58)+1),"")</f>
        <v/>
      </c>
      <c r="H59" s="223" t="str">
        <f>IFERROR(IF(E60="3","",IF(OR(F59="Hybrid - min 4 swimmers (no DD)",LEFT(F59,5)="Trans"),"No DD",CONCATENATE("BM = ",I60))),"")</f>
        <v/>
      </c>
      <c r="I59" s="224"/>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2"/>
      <c r="AO59" s="123"/>
      <c r="AP59" s="52"/>
      <c r="AQ59" s="52"/>
      <c r="AR59" s="12"/>
      <c r="AS59" s="12"/>
      <c r="AT59" s="12"/>
      <c r="AU59" s="12"/>
      <c r="AV59" s="12"/>
      <c r="AW59" s="12"/>
      <c r="AX59" s="12"/>
      <c r="AY59" s="12"/>
      <c r="AZ59" s="12"/>
      <c r="BA59" s="12"/>
      <c r="BB59" s="12"/>
      <c r="BC59" s="12"/>
      <c r="BD59" s="12"/>
      <c r="BE59" s="12"/>
      <c r="BF59" s="12"/>
      <c r="BG59" s="12" t="str">
        <f t="array" ref="BG59">IFERROR(IF(F59&lt;&gt;"",INDEX(Parts_Active,MATCH(F59,Parts_Active,0)),""),"No")</f>
        <v/>
      </c>
      <c r="BH59" s="12"/>
      <c r="BI59" s="12" t="str">
        <f t="shared" ref="BI59:BK59" si="233">IF($E60="H",IF($F59="Hybrid - Thrust + 2 connections","Hybrid_Mix_Req","HybridDD_Code"),IF($E60=3,"TreDD_Code",IF($E60="PA","AcroPair_Code",IF(LEFT($F59,4)="Acro",CONCATENATE(BI$16,$E60,"_Code"),"Data!$BI$1:$BI$5"))))</f>
        <v>Data!$BI$1:$BI$5</v>
      </c>
      <c r="BJ59" s="12" t="str">
        <f t="shared" si="233"/>
        <v>Data!$BI$1:$BI$5</v>
      </c>
      <c r="BK59" s="12" t="str">
        <f t="shared" si="233"/>
        <v>Data!$BI$1:$BI$5</v>
      </c>
      <c r="BL59" s="12" t="str">
        <f t="shared" ref="BL59:BQ59" si="234">IF($E60="H",IF($F59="Hybrid - Thrust + 2 connections","Data!$BI$1:$BI$5","HybridDD_Code"),IF($E60=3,"Data!$BI$1:$BI$5",IF(LEFT($F59,4)="Acro",CONCATENATE(BL$16,$E60,"_Code"),IF($E60="PA","","Data!$BI$1:$BI$5"))))</f>
        <v>Data!$BI$1:$BI$5</v>
      </c>
      <c r="BM59" s="12" t="str">
        <f t="shared" si="234"/>
        <v>Data!$BI$1:$BI$5</v>
      </c>
      <c r="BN59" s="12" t="str">
        <f t="shared" si="234"/>
        <v>Data!$BI$1:$BI$5</v>
      </c>
      <c r="BO59" s="12" t="str">
        <f t="shared" si="234"/>
        <v>Data!$BI$1:$BI$5</v>
      </c>
      <c r="BP59" s="12" t="str">
        <f t="shared" si="234"/>
        <v>Data!$BI$1:$BI$5</v>
      </c>
      <c r="BQ59" s="12" t="str">
        <f t="shared" si="234"/>
        <v>Data!$BI$1:$BI$5</v>
      </c>
      <c r="BR59" s="12" t="str">
        <f>IF($E60="H",IF($F59="Hybrid - Thrust + 2 connections","Data!$BI$1:$BI$5","HybridDD_Code"),"Data!$BI$1:$BI$5")</f>
        <v>Data!$BI$1:$BI$5</v>
      </c>
      <c r="BS59" s="12" t="str">
        <f t="shared" ref="BS59:CB59" si="235">$BR59</f>
        <v>Data!$BI$1:$BI$5</v>
      </c>
      <c r="BT59" s="12" t="str">
        <f t="shared" si="235"/>
        <v>Data!$BI$1:$BI$5</v>
      </c>
      <c r="BU59" s="12" t="str">
        <f t="shared" si="235"/>
        <v>Data!$BI$1:$BI$5</v>
      </c>
      <c r="BV59" s="12" t="str">
        <f t="shared" si="235"/>
        <v>Data!$BI$1:$BI$5</v>
      </c>
      <c r="BW59" s="12" t="str">
        <f t="shared" si="235"/>
        <v>Data!$BI$1:$BI$5</v>
      </c>
      <c r="BX59" s="12" t="str">
        <f t="shared" si="235"/>
        <v>Data!$BI$1:$BI$5</v>
      </c>
      <c r="BY59" s="12" t="str">
        <f t="shared" si="235"/>
        <v>Data!$BI$1:$BI$5</v>
      </c>
      <c r="BZ59" s="12" t="str">
        <f t="shared" si="235"/>
        <v>Data!$BI$1:$BI$5</v>
      </c>
      <c r="CA59" s="12" t="str">
        <f t="shared" si="235"/>
        <v>Data!$BI$1:$BI$5</v>
      </c>
      <c r="CB59" s="12" t="str">
        <f t="shared" si="235"/>
        <v>Data!$BI$1:$BI$5</v>
      </c>
      <c r="CC59" s="12"/>
      <c r="CD59" s="12"/>
      <c r="CE59" s="12"/>
      <c r="CF59" s="12"/>
      <c r="CG59" s="12"/>
      <c r="CH59" s="12"/>
      <c r="CI59" s="12"/>
      <c r="CJ59" s="12"/>
      <c r="CK59" s="12"/>
      <c r="CL59" s="12"/>
      <c r="CM59" s="12"/>
      <c r="CN59" s="12"/>
      <c r="CO59" s="63" t="str">
        <f>IFERROR(TIME(0,A59,B59),"")</f>
        <v/>
      </c>
      <c r="CP59" s="63">
        <f>IFERROR(TIME(0,C59,D59),"")</f>
        <v>0</v>
      </c>
      <c r="CQ59" s="63" t="str">
        <f>IF(CP59&gt;$D$12,"X","")</f>
        <v/>
      </c>
      <c r="CR59" s="15" t="str">
        <f>IF(AND(F59="Hybrid - Thrust + 2 connections",OR(LEFT(J59,1)="T",LEFT(K59,1)="T",LEFT(L59,1)="T",LEFT(OY59,1)="T",LEFT(M59,1)="T",LEFT(N59,1)="T",LEFT(O59,1)="T",LEFT(P59,1)="T",LEFT(Q59,1)="T",LEFT(R59,1)="T",LEFT(S59,1)="T",LEFT(T59,1)="T",LEFT(U59,1)="T",LEFT(V59,1)="T",LEFT(W59,1)="T",LEFT(X59,1)="T",LEFT(AK59,1)="T",LEFT(AL59,1)="T",LEFT(AM59,1)="T")),IF(OR(LEN(J59)=2,LEN(K59)=2,LEN(L59)=2,LEN(M59)=2,LEN(N59)=2,LEN(O59)=2,LEN(P59)=2,LEN(Q59)=2,LEN(R59)=2,LEN(S59)=2,LEN(T59)=2,LEN(U59)=2,LEN(V59)=2,LEN(W59)=2,LEN(X59)=2,LEN(Y59)=2,LEN(Z59)=2,LEN(AK59)=2,LEN(AL59)=2,LEN(AM59)=2),"X",""),"")</f>
        <v/>
      </c>
      <c r="CS59" s="5"/>
      <c r="CT59" s="15" t="str">
        <f>IF(LEFT(F59,4)="Acro",IF(AND(N59&lt;&gt;"",M59=RIGHT(N59,2)),"X","OK"),"")</f>
        <v/>
      </c>
      <c r="CU59" s="12" t="str">
        <f t="array" ref="CU59">IFERROR(IF(AND(LEFT($F59,4)="Acro",INDEX(Requ_App,MATCH(BI59,Requ_Code,0))="No"),"X",""),"")</f>
        <v/>
      </c>
      <c r="CV59" s="12" t="str">
        <f t="array" ref="CV59">IFERROR(IF(AND(LEFT($F59,4)="Acro",INDEX(Requ_App,MATCH(BJ59,Requ_Code,0))="No"),"X",""),"")</f>
        <v/>
      </c>
      <c r="CW59" s="12" t="str">
        <f t="array" ref="CW59">IFERROR(IF(AND(LEFT($F59,4)="Acro",INDEX(Requ_App,MATCH(BK59,Requ_Code,0))="No"),"X",""),"")</f>
        <v/>
      </c>
      <c r="CX59" s="12" t="str">
        <f t="array" ref="CX59">IFERROR(IF(AND(LEFT($F59,4)="Acro",INDEX(Requ_App,MATCH(BL59,Requ_Code,0))="No"),"X",""),"")</f>
        <v/>
      </c>
      <c r="CY59" s="12" t="str">
        <f t="array" ref="CY59">IFERROR(IF(AND(LEFT($F59,4)="Acro",INDEX(Requ_App,MATCH(BM59,Requ_Code,0))="No"),"X",""),"")</f>
        <v/>
      </c>
      <c r="CZ59" s="12" t="str">
        <f t="array" ref="CZ59">IFERROR(IF(AND(LEFT($F59,4)="Acro",INDEX(Requ_App,MATCH(BN59,Requ_Code,0))="No"),"X",""),"")</f>
        <v/>
      </c>
      <c r="DA59" s="12" t="str">
        <f t="array" ref="DA59">IFERROR(IF(AND(LEFT($F59,4)="Acro",INDEX(Requ_App,MATCH(BO59,Requ_Code,0))="No"),"X",""),"")</f>
        <v/>
      </c>
      <c r="DB59" s="12" t="str">
        <f t="array" ref="DB59">IFERROR(IF(AND(LEFT($F59,4)="Acro",INDEX(Requ_App,MATCH(BP59,Requ_Code,0))="No"),"X",""),"")</f>
        <v/>
      </c>
      <c r="DC59" s="12" t="str">
        <f t="array" ref="DC59">IFERROR(IF(AND(LEFT($F59,4)="Acro",INDEX(Requ_App,MATCH(BP59,Requ_Code,0))="No"),"X",""),"")</f>
        <v/>
      </c>
      <c r="DD59" s="15" t="str">
        <f t="shared" si="10"/>
        <v/>
      </c>
      <c r="DE59" s="15" t="str">
        <f t="shared" si="11"/>
        <v/>
      </c>
      <c r="DF59" s="15" t="str">
        <f t="shared" si="12"/>
        <v/>
      </c>
      <c r="DG59" s="15" t="str">
        <f t="shared" si="13"/>
        <v/>
      </c>
      <c r="DH59" s="15"/>
      <c r="DI59" s="15"/>
      <c r="DJ59" s="15"/>
      <c r="DK59" s="15">
        <f>IF(AND(E60="A",OR(Q59="Grip",Q59="Conn",Q59="Catch")),"A1",IF(AND(E60="A",OR(Q59="Hula",Q59="RetSq",Q59="RetPa")),"A2",IF(AND(E60="B",OR(Q59="Twirl",Q59="RotF")),"B1",IF(AND(E60="B",OR(Q59="Moon",Q59="Mov")),"B2",IF(AND(E60="B",Q59="Hold"),"B3",IF(AND(E60="P",OR(Q59="Porp",Q59="Spitch")),"P1",IF(AND(E60="P",OR(Q59="Dive",Q59="Ps1",Q59="Ps1t0.5",Q59="Ps1op",Q59="Ps1t0,5o",Q59="Ps1t1",Q59="CH+")),"P2",IF(AND(E60="P",OR(Q59="Spider",Q59="Climb")),"P3",IF(AND(E60="P",OR(Q59="Fall",Q59="FTurn")),"P4",IF(AND(E60="C",OR(Q59="Jump",Q59="Jump&gt;",Q59="On1Foot",Q59="1F&gt;1F")),"C1",IF(AND(E60="C",OR(Q59="Run",Q59="BRun")),"C2",1)))))))))))</f>
        <v>1</v>
      </c>
      <c r="DL59" s="15">
        <f>IF(AND(E60="A",OR(R59="Grip",R59="Conn",R59="Catch")),"A1",IF(AND(E60="A",OR(R59="Hula",R59="RetSq",R59="RetPa")),"A2",IF(AND(E60="B",OR(R59="Twirl",R59="RotF")),"B1",IF(AND(E60="B",OR(R59="Moon",R59="Mov")),"B3",IF(AND(E60="B",R59="Hold"),"B2",IF(AND(E60="P",OR(R59="Porp",R59="Spitch")),"P1",IF(AND(E60="P",OR(R59="Dive",R59="Ps1",R59="Ps1t0.5",R59="Ps1op",R59="Ps1t0,5o",R59="Ps1t1",R59="CH+")),"P2",IF(AND(E60="P",OR(R59="Spider",R59="Climb")),"P3",IF(AND(E60="P",OR(R59="Fall",R59="FTurn")),"P4",IF(AND(E60="C",OR(R59="Jump",R59="Jump&gt;",R59="On1Foot",R59="1F&gt;1F")),"C1",IF(AND(E60="C",OR(R59="Run",R59="BRun")),"C2",2)))))))))))</f>
        <v>2</v>
      </c>
      <c r="DM59" s="15" t="str">
        <f>IF(AND(LEFT(F59,4)="Acro",Q59&lt;&gt;"",OR(Q59=R59,DK59=DL59)),IF(R59="C-Roll","","X"),IF(OR(AND(E60="A",Q59="Catch",R59&lt;&gt;"Dbl"),AND(E60="A",R59="Catch",Q59&lt;&gt;"Dbl")),"X",""))</f>
        <v/>
      </c>
      <c r="DN59" s="15" t="str">
        <f>IF(E60="PA",J59,"")</f>
        <v/>
      </c>
      <c r="DO59" s="15">
        <v>41</v>
      </c>
      <c r="DP59" s="15"/>
      <c r="DQ59" s="15" t="str">
        <f t="shared" ref="DQ59:DR59" si="236">IF(AND($E60="A",COUNTIF($DZ$19:$EA$68,DZ59)&gt;1),DZ59,"")</f>
        <v/>
      </c>
      <c r="DR59" s="15" t="str">
        <f t="shared" si="236"/>
        <v/>
      </c>
      <c r="DS59" s="15" t="str">
        <f ca="1">IF(AND($E60="B",COUNTIF($J$19:$J$68,J59)&gt;1),J59,"")</f>
        <v/>
      </c>
      <c r="DT59" s="15" t="str">
        <f ca="1">IF(AND($E60="B",COUNTIF($K$19:$K$68,K59)&gt;1),K59,"")</f>
        <v/>
      </c>
      <c r="DU59" s="15" t="str">
        <f ca="1">IF(AND($E60="C",COUNTIF($J$19:$J$68,J59)&gt;1),J59,"")</f>
        <v/>
      </c>
      <c r="DV59" s="15" t="str">
        <f ca="1">IF(AND($E60="P",COUNTIF($J$19:$J$68,J59)&gt;1),J59,"")</f>
        <v/>
      </c>
      <c r="DW59" s="15" t="str">
        <f ca="1">IF(AND($E60="P",COUNTIF($K$19:$K$68,K59)&gt;1),K59,"")</f>
        <v/>
      </c>
      <c r="DX59" s="15" t="str">
        <f t="shared" ref="DX59:DY59" si="237">IF(AND($E60="P",COUNTIF($DZ$19:$EA$68,DZ59)&gt;1),DZ59,"")</f>
        <v/>
      </c>
      <c r="DY59" s="15" t="str">
        <f t="shared" si="237"/>
        <v/>
      </c>
      <c r="DZ59" s="15" t="str">
        <f>IFERROR(IF(OR(E60="A",E60="P"),M59,""),"")</f>
        <v/>
      </c>
      <c r="EA59" s="15" t="str">
        <f>IFERROR(IF(OR(E60="A",E60="P"),RIGHT(N59,2),""),"")</f>
        <v/>
      </c>
      <c r="EB59" s="15"/>
      <c r="EC59" s="15" t="str">
        <f>IF(AND($F$8="Open Team Acrobatic",LEFT(F59,4)="Acro"),E60,"")</f>
        <v/>
      </c>
      <c r="ED59" s="15" t="str">
        <f>IFERROR(IF(HLOOKUP(EC59,$DQ$12:$DT$13,2,FALSE)&gt;2,"X",""),"")</f>
        <v/>
      </c>
      <c r="EE59" s="15"/>
      <c r="EF59" s="15" t="str">
        <f>IF(OR(AND(F59="Hybrid - Thrust + 2 connections",EF60="T"),AND(F59="Hybrid - Free",EF60&lt;&gt;"")),"X","")</f>
        <v/>
      </c>
      <c r="EG59" s="15"/>
      <c r="EH59" s="15">
        <f t="shared" ref="EH59:EX59" si="238">IFERROR(IF(AND($E60="H",J59&lt;&gt;""),IF(OR(LEFT(J59,1)="T",LEFT(J59,1)="S",LEFT(J59,1)="A",LEFT(J59,1)="F",LEFT(J59,1)="C"),LEFT(J59,1),"R"),EH$18),"")</f>
        <v>1</v>
      </c>
      <c r="EI59" s="15">
        <f t="shared" si="238"/>
        <v>2</v>
      </c>
      <c r="EJ59" s="15">
        <f t="shared" si="238"/>
        <v>3</v>
      </c>
      <c r="EK59" s="15">
        <f t="shared" si="238"/>
        <v>4</v>
      </c>
      <c r="EL59" s="15">
        <f t="shared" si="238"/>
        <v>5</v>
      </c>
      <c r="EM59" s="15">
        <f t="shared" si="238"/>
        <v>6</v>
      </c>
      <c r="EN59" s="15">
        <f t="shared" si="238"/>
        <v>7</v>
      </c>
      <c r="EO59" s="15">
        <f t="shared" si="238"/>
        <v>8</v>
      </c>
      <c r="EP59" s="15">
        <f t="shared" si="238"/>
        <v>9</v>
      </c>
      <c r="EQ59" s="15">
        <f t="shared" si="238"/>
        <v>10</v>
      </c>
      <c r="ER59" s="15">
        <f t="shared" si="238"/>
        <v>11</v>
      </c>
      <c r="ES59" s="15">
        <f t="shared" si="238"/>
        <v>12</v>
      </c>
      <c r="ET59" s="15">
        <f t="shared" si="238"/>
        <v>13</v>
      </c>
      <c r="EU59" s="15">
        <f t="shared" si="238"/>
        <v>14</v>
      </c>
      <c r="EV59" s="15">
        <f t="shared" si="238"/>
        <v>15</v>
      </c>
      <c r="EW59" s="15">
        <f t="shared" si="238"/>
        <v>16</v>
      </c>
      <c r="EX59" s="15">
        <f t="shared" si="238"/>
        <v>17</v>
      </c>
      <c r="EY59" s="15">
        <f t="shared" ref="EY59:FA59" si="239">IFERROR(IF(AND($E60="H",AK59&lt;&gt;""),IF(OR(LEFT(AK59,1)="T",LEFT(AK59,1)="S",LEFT(AK59,1)="A",LEFT(AK59,1)="F",LEFT(AK59,1)="C"),LEFT(AK59,1),"R"),EY$18),"")</f>
        <v>18</v>
      </c>
      <c r="EZ59" s="15">
        <f t="shared" si="239"/>
        <v>19</v>
      </c>
      <c r="FA59" s="15">
        <f t="shared" si="239"/>
        <v>20</v>
      </c>
      <c r="FB59" s="15"/>
      <c r="FC59" s="15"/>
      <c r="FD59" s="15"/>
      <c r="FE59" s="15"/>
      <c r="FF59" s="15"/>
      <c r="FG59" s="15"/>
      <c r="FH59" s="15"/>
      <c r="FI59" s="15"/>
      <c r="FJ59" s="15"/>
      <c r="FK59" s="15"/>
      <c r="FL59" s="15"/>
      <c r="FM59" s="15"/>
      <c r="FN59" s="15"/>
      <c r="FO59" s="15">
        <f t="shared" ref="FO59:GE59" si="240">IFERROR(IF(J59&lt;&gt;"",UPPER(J59),FO$18),FO$18)</f>
        <v>1</v>
      </c>
      <c r="FP59" s="15">
        <f t="shared" si="240"/>
        <v>2</v>
      </c>
      <c r="FQ59" s="15">
        <f t="shared" si="240"/>
        <v>3</v>
      </c>
      <c r="FR59" s="15">
        <f t="shared" si="240"/>
        <v>4</v>
      </c>
      <c r="FS59" s="15">
        <f t="shared" si="240"/>
        <v>5</v>
      </c>
      <c r="FT59" s="15">
        <f t="shared" si="240"/>
        <v>6</v>
      </c>
      <c r="FU59" s="15">
        <f t="shared" si="240"/>
        <v>7</v>
      </c>
      <c r="FV59" s="15">
        <f t="shared" si="240"/>
        <v>8</v>
      </c>
      <c r="FW59" s="15">
        <f t="shared" si="240"/>
        <v>9</v>
      </c>
      <c r="FX59" s="15">
        <f t="shared" si="240"/>
        <v>10</v>
      </c>
      <c r="FY59" s="15">
        <f t="shared" si="240"/>
        <v>11</v>
      </c>
      <c r="FZ59" s="15">
        <f t="shared" si="240"/>
        <v>12</v>
      </c>
      <c r="GA59" s="15">
        <f t="shared" si="240"/>
        <v>13</v>
      </c>
      <c r="GB59" s="15">
        <f t="shared" si="240"/>
        <v>14</v>
      </c>
      <c r="GC59" s="15">
        <f t="shared" si="240"/>
        <v>15</v>
      </c>
      <c r="GD59" s="15">
        <f t="shared" si="240"/>
        <v>16</v>
      </c>
      <c r="GE59" s="15">
        <f t="shared" si="240"/>
        <v>17</v>
      </c>
      <c r="GF59" s="15">
        <f t="shared" ref="GF59:GH59" si="241">IFERROR(IF(AK59&lt;&gt;"",UPPER(AK59),GF$18),GF$18)</f>
        <v>18</v>
      </c>
      <c r="GG59" s="15">
        <f t="shared" si="241"/>
        <v>19</v>
      </c>
      <c r="GH59" s="15">
        <f t="shared" si="241"/>
        <v>20</v>
      </c>
      <c r="GI59" s="15"/>
      <c r="GJ59" s="15"/>
      <c r="GK59" s="15"/>
      <c r="GL59" s="15"/>
      <c r="GM59" s="15"/>
      <c r="GN59" s="15"/>
      <c r="GO59" s="15"/>
      <c r="GP59" s="15"/>
      <c r="GQ59" s="15"/>
      <c r="GR59" s="15"/>
      <c r="GS59" s="15"/>
      <c r="GT59" s="15">
        <f t="shared" ref="GT59:GY59" si="242">COUNTIF($EH59:$FA59,GT$18)</f>
        <v>0</v>
      </c>
      <c r="GU59" s="15">
        <f t="shared" si="242"/>
        <v>0</v>
      </c>
      <c r="GV59" s="15">
        <f t="shared" si="242"/>
        <v>0</v>
      </c>
      <c r="GW59" s="15">
        <f t="shared" si="242"/>
        <v>0</v>
      </c>
      <c r="GX59" s="15">
        <f t="shared" si="242"/>
        <v>0</v>
      </c>
      <c r="GY59" s="15">
        <f t="shared" si="242"/>
        <v>0</v>
      </c>
      <c r="GZ59" s="15"/>
      <c r="HA59" s="15" t="str">
        <f>IF(AND($F59="Hybrid - Thrust + 2 connections",HA60=0,LEFT($J59,1)="C",LEFT($K59,1)="C",LEFT($L59,1)="C"),"X","")</f>
        <v/>
      </c>
      <c r="HB59" s="15"/>
      <c r="HC59" s="5"/>
      <c r="HD59" s="124"/>
      <c r="HE59" s="124"/>
      <c r="HF59" s="5" t="str">
        <f>IF(E60=3,_xludf.NUMBERVALUE(LEFT(J59,1)),"")</f>
        <v/>
      </c>
    </row>
    <row r="60" spans="1:214" ht="12.75" hidden="1" customHeight="1" x14ac:dyDescent="0.3">
      <c r="A60" s="118"/>
      <c r="B60" s="119"/>
      <c r="C60" s="119"/>
      <c r="D60" s="119"/>
      <c r="E60" s="50" t="str">
        <f>IF(F59="Acrobatic - Pair","PA",IF(F59="Acrobatic Airborn","A",IF(F59="Acrobatic Balance","B",IF(F59="Acrobatic Combined","C",IF(F59="Acrobatic Platform","P",IF(F59="Technical Required Element",3,IF(LEFT(F59,4)="Hybr","H","")))))))</f>
        <v/>
      </c>
      <c r="F60" s="50" t="str">
        <f>IF(AND(F59="Hybrid - Thrust + 2 connections",CR59="X"),"Hybrid - Thrust",IF(OR(E60="A",E60="B",E60="C",E60="P"),"Acrobatic",""))</f>
        <v/>
      </c>
      <c r="G60" s="120"/>
      <c r="H60" s="126" t="str">
        <f>IF(E60="PA",IF(OR(LEFT(J59,1)="L",LEFT(J59,1)="S"),"A-Pair-Lift",IF(OR(LEFT(J59,1)="W",LEFT(J59,1)="T"),"A-Pair-Throw",IF(LEFT(J59,1)="J","A-Pair-Jump","A-Pair"))),IF(OR(E60="A",E60="B",E60="C",E60="P"),CONCATENATE("Acro-",E60),""))</f>
        <v/>
      </c>
      <c r="I60" s="127" t="e">
        <f t="array" ref="I60">IF(OR(F59="Hybrid - min 4 swimmers (no DD)",LEFT(F59,5)="Trans"),0,INDEX($BY$3:$BY$9,MATCH(E60,$BX$3:$BX$9,0)))</f>
        <v>#N/A</v>
      </c>
      <c r="J60" s="128">
        <f t="shared" ref="J60:Z60" ca="1" si="243">IFERROR(IF($H59="No DD",0,IF(OR(ISBLANK(J59),J59="N/A"),0,INDEX(INDIRECT(BI60),MATCH(J59,INDIRECT(BI59),0)))),0)</f>
        <v>0</v>
      </c>
      <c r="K60" s="128">
        <f t="shared" ca="1" si="243"/>
        <v>0</v>
      </c>
      <c r="L60" s="128">
        <f t="shared" ca="1" si="243"/>
        <v>0</v>
      </c>
      <c r="M60" s="128">
        <f t="shared" ca="1" si="243"/>
        <v>0</v>
      </c>
      <c r="N60" s="128">
        <f t="shared" ca="1" si="243"/>
        <v>0</v>
      </c>
      <c r="O60" s="128">
        <f t="shared" ca="1" si="243"/>
        <v>0</v>
      </c>
      <c r="P60" s="128">
        <f t="shared" ca="1" si="243"/>
        <v>0</v>
      </c>
      <c r="Q60" s="128">
        <f t="shared" ca="1" si="243"/>
        <v>0</v>
      </c>
      <c r="R60" s="128">
        <f t="shared" ca="1" si="243"/>
        <v>0</v>
      </c>
      <c r="S60" s="128">
        <f t="shared" ca="1" si="243"/>
        <v>0</v>
      </c>
      <c r="T60" s="128">
        <f t="shared" ca="1" si="243"/>
        <v>0</v>
      </c>
      <c r="U60" s="128">
        <f t="shared" ca="1" si="243"/>
        <v>0</v>
      </c>
      <c r="V60" s="128">
        <f t="shared" ca="1" si="243"/>
        <v>0</v>
      </c>
      <c r="W60" s="128">
        <f t="shared" ca="1" si="243"/>
        <v>0</v>
      </c>
      <c r="X60" s="128">
        <f t="shared" ca="1" si="243"/>
        <v>0</v>
      </c>
      <c r="Y60" s="128">
        <f t="shared" ca="1" si="243"/>
        <v>0</v>
      </c>
      <c r="Z60" s="128">
        <f t="shared" ca="1" si="243"/>
        <v>0</v>
      </c>
      <c r="AA60" s="128">
        <f t="shared" ref="AA60:AB60" ca="1" si="244">IFERROR(IF($H59="No DD",0,IF(OR(ISBLANK(AA59),AA59="N/A"),0,INDEX(INDIRECT(BX60),MATCH(AA59,INDIRECT(BX59),0)))),0)</f>
        <v>0</v>
      </c>
      <c r="AB60" s="128">
        <f t="shared" ca="1" si="244"/>
        <v>0</v>
      </c>
      <c r="AC60" s="128">
        <f t="shared" ref="AC60:AD60" ca="1" si="245">IFERROR(IF($H59="No DD",0,IF(OR(ISBLANK(AC59),AC59="N/A"),0,INDEX(INDIRECT(BX60),MATCH(AC59,INDIRECT(BX59),0)))),0)</f>
        <v>0</v>
      </c>
      <c r="AD60" s="128">
        <f t="shared" ca="1" si="245"/>
        <v>0</v>
      </c>
      <c r="AE60" s="128">
        <f t="shared" ref="AE60:AF60" ca="1" si="246">IFERROR(IF($H59="No DD",0,IF(OR(ISBLANK(AE59),AE59="N/A"),0,INDEX(INDIRECT(BX60),MATCH(AE59,INDIRECT(BX59),0)))),0)</f>
        <v>0</v>
      </c>
      <c r="AF60" s="128">
        <f t="shared" ca="1" si="246"/>
        <v>0</v>
      </c>
      <c r="AG60" s="128">
        <f t="shared" ref="AG60:AH60" ca="1" si="247">IFERROR(IF($H59="No DD",0,IF(OR(ISBLANK(AG59),AG59="N/A"),0,INDEX(INDIRECT(BX60),MATCH(AG59,INDIRECT(BX59),0)))),0)</f>
        <v>0</v>
      </c>
      <c r="AH60" s="128">
        <f t="shared" ca="1" si="247"/>
        <v>0</v>
      </c>
      <c r="AI60" s="128">
        <f t="shared" ref="AI60:AM60" ca="1" si="248">IFERROR(IF($H59="No DD",0,IF(OR(ISBLANK(AI59),AI59="N/A"),0,INDEX(INDIRECT(BX60),MATCH(AI59,INDIRECT(BX59),0)))),0)</f>
        <v>0</v>
      </c>
      <c r="AJ60" s="128">
        <f t="shared" ca="1" si="248"/>
        <v>0</v>
      </c>
      <c r="AK60" s="128">
        <f t="shared" ca="1" si="248"/>
        <v>0</v>
      </c>
      <c r="AL60" s="128">
        <f t="shared" ca="1" si="248"/>
        <v>0</v>
      </c>
      <c r="AM60" s="128">
        <f t="shared" ca="1" si="248"/>
        <v>0</v>
      </c>
      <c r="AN60" s="129" t="str">
        <f t="array" ref="AN60">IFERROR(IF(E60="H",INDEX(HybridBonus_Value,MATCH(AN59,HybridBonus_Code,0)),""),"")</f>
        <v/>
      </c>
      <c r="AO60" s="130" t="str">
        <f>IFERROR(IF(J59&lt;&gt;"",SUM(I60:AN60),""),"")</f>
        <v/>
      </c>
      <c r="AP60" s="132"/>
      <c r="AQ60" s="132"/>
      <c r="AR60" s="131"/>
      <c r="AS60" s="131"/>
      <c r="AT60" s="131"/>
      <c r="AU60" s="131"/>
      <c r="AV60" s="131"/>
      <c r="AW60" s="131"/>
      <c r="AX60" s="131"/>
      <c r="AY60" s="131"/>
      <c r="AZ60" s="131"/>
      <c r="BA60" s="131"/>
      <c r="BB60" s="131"/>
      <c r="BC60" s="131"/>
      <c r="BD60" s="131"/>
      <c r="BE60" s="131"/>
      <c r="BF60" s="131"/>
      <c r="BG60" s="12"/>
      <c r="BH60" s="131"/>
      <c r="BI60" s="5" t="str">
        <f>IF($E60="H","HybridDD_Value",IF($E60=3,"TreDD_Value",IF($E60="PA","AcroPair_Value",IF(LEFT($F59,4)="Acro",CONCATENATE(BI$16,$E60,"_Value"),""))))</f>
        <v/>
      </c>
      <c r="BJ60" s="5" t="str">
        <f t="shared" ref="BJ60:BQ60" si="249">IF($E60="H","HybridDD_Value",IF($E60=3,"",IF(LEFT($F59,4)="Acro",CONCATENATE(BJ$16,$E60,"_Value"),IF($E60="PA","",""))))</f>
        <v/>
      </c>
      <c r="BK60" s="5" t="str">
        <f t="shared" si="249"/>
        <v/>
      </c>
      <c r="BL60" s="5" t="str">
        <f t="shared" si="249"/>
        <v/>
      </c>
      <c r="BM60" s="5" t="str">
        <f t="shared" si="249"/>
        <v/>
      </c>
      <c r="BN60" s="5" t="str">
        <f t="shared" si="249"/>
        <v/>
      </c>
      <c r="BO60" s="5" t="str">
        <f t="shared" si="249"/>
        <v/>
      </c>
      <c r="BP60" s="5" t="str">
        <f t="shared" si="249"/>
        <v/>
      </c>
      <c r="BQ60" s="5" t="str">
        <f t="shared" si="249"/>
        <v/>
      </c>
      <c r="BR60" s="12" t="str">
        <f>IF($E60="H","HybridDD_Value","Data!$BI$1:$BI$5")</f>
        <v>Data!$BI$1:$BI$5</v>
      </c>
      <c r="BS60" s="12" t="str">
        <f t="shared" ref="BS60:CB60" si="250">$BR60</f>
        <v>Data!$BI$1:$BI$5</v>
      </c>
      <c r="BT60" s="12" t="str">
        <f t="shared" si="250"/>
        <v>Data!$BI$1:$BI$5</v>
      </c>
      <c r="BU60" s="12" t="str">
        <f t="shared" si="250"/>
        <v>Data!$BI$1:$BI$5</v>
      </c>
      <c r="BV60" s="12" t="str">
        <f t="shared" si="250"/>
        <v>Data!$BI$1:$BI$5</v>
      </c>
      <c r="BW60" s="12" t="str">
        <f t="shared" si="250"/>
        <v>Data!$BI$1:$BI$5</v>
      </c>
      <c r="BX60" s="12" t="str">
        <f t="shared" si="250"/>
        <v>Data!$BI$1:$BI$5</v>
      </c>
      <c r="BY60" s="12" t="str">
        <f t="shared" si="250"/>
        <v>Data!$BI$1:$BI$5</v>
      </c>
      <c r="BZ60" s="12" t="str">
        <f t="shared" si="250"/>
        <v>Data!$BI$1:$BI$5</v>
      </c>
      <c r="CA60" s="12" t="str">
        <f t="shared" si="250"/>
        <v>Data!$BI$1:$BI$5</v>
      </c>
      <c r="CB60" s="12" t="str">
        <f t="shared" si="250"/>
        <v>Data!$BI$1:$BI$5</v>
      </c>
      <c r="CC60" s="12"/>
      <c r="CD60" s="12"/>
      <c r="CE60" s="12"/>
      <c r="CF60" s="12"/>
      <c r="CG60" s="12"/>
      <c r="CH60" s="12"/>
      <c r="CI60" s="12"/>
      <c r="CJ60" s="12"/>
      <c r="CK60" s="12"/>
      <c r="CL60" s="12"/>
      <c r="CM60" s="131"/>
      <c r="CN60" s="131"/>
      <c r="CO60" s="124" t="str">
        <f>IFERROR(IF(AND($BV$6="T",$BV$8="T",LEFT(F59,4)="Acro",AO60&gt;3),"X",IF($N$7="X",IF(AND(E60="C",AO60&gt;$CN$6),"X",IF(AND(E60="A",AO60&gt;$CN$4),"X",IF(AND(E60="B",AO60&gt;$CN$5),"X",IF(AND(E60="P",AO60&gt;$CN$7),"X","")))),"")),"")</f>
        <v/>
      </c>
      <c r="CP60" s="63"/>
      <c r="CQ60" s="5"/>
      <c r="CR60" s="15"/>
      <c r="CS60" s="5"/>
      <c r="CT60" s="5"/>
      <c r="CU60" s="5"/>
      <c r="CV60" s="5"/>
      <c r="CW60" s="5"/>
      <c r="CX60" s="5"/>
      <c r="CY60" s="5"/>
      <c r="CZ60" s="5"/>
      <c r="DA60" s="15"/>
      <c r="DB60" s="15"/>
      <c r="DC60" s="15"/>
      <c r="DD60" s="15" t="str">
        <f t="shared" si="10"/>
        <v/>
      </c>
      <c r="DE60" s="15" t="str">
        <f t="shared" si="11"/>
        <v/>
      </c>
      <c r="DF60" s="15" t="str">
        <f t="shared" si="12"/>
        <v/>
      </c>
      <c r="DG60" s="15" t="str">
        <f t="shared" si="13"/>
        <v/>
      </c>
      <c r="DH60" s="15"/>
      <c r="DI60" s="15"/>
      <c r="DJ60" s="15"/>
      <c r="DK60" s="15"/>
      <c r="DL60" s="15"/>
      <c r="DM60" s="15"/>
      <c r="DN60" s="15"/>
      <c r="DO60" s="15">
        <v>42</v>
      </c>
      <c r="DP60" s="15"/>
      <c r="DQ60" s="15"/>
      <c r="DR60" s="15"/>
      <c r="DS60" s="15"/>
      <c r="DT60" s="15"/>
      <c r="DU60" s="15"/>
      <c r="DV60" s="15"/>
      <c r="DW60" s="15"/>
      <c r="DX60" s="15"/>
      <c r="DY60" s="15"/>
      <c r="DZ60" s="15"/>
      <c r="EA60" s="15"/>
      <c r="EB60" s="15"/>
      <c r="EC60" s="15"/>
      <c r="ED60" s="15"/>
      <c r="EE60" s="15"/>
      <c r="EF60" s="15" t="str">
        <f t="array" ref="EF60">IFERROR(INDEX(EH60:FA60,MATCH(TRUE,INDEX((EH60:FA60&lt;&gt;""),),0)),"")</f>
        <v/>
      </c>
      <c r="EG60" s="15"/>
      <c r="EH60" s="15" t="str">
        <f t="shared" ref="EH60:FA60" si="251">IF(F59="Hybrid - Thrust + 2 connections",IF(COUNTIF($EH59:$FA59,EH59)&gt;1,EH59,""),IF(COUNTIF($EH59:$FA59,EH59)&gt;5,EH59,""))</f>
        <v/>
      </c>
      <c r="EI60" s="15" t="str">
        <f t="shared" si="251"/>
        <v/>
      </c>
      <c r="EJ60" s="15" t="str">
        <f t="shared" si="251"/>
        <v/>
      </c>
      <c r="EK60" s="15" t="str">
        <f t="shared" si="251"/>
        <v/>
      </c>
      <c r="EL60" s="15" t="str">
        <f t="shared" si="251"/>
        <v/>
      </c>
      <c r="EM60" s="15" t="str">
        <f t="shared" si="251"/>
        <v/>
      </c>
      <c r="EN60" s="15" t="str">
        <f t="shared" si="251"/>
        <v/>
      </c>
      <c r="EO60" s="15" t="str">
        <f t="shared" si="251"/>
        <v/>
      </c>
      <c r="EP60" s="15" t="str">
        <f t="shared" si="251"/>
        <v/>
      </c>
      <c r="EQ60" s="15" t="str">
        <f t="shared" si="251"/>
        <v/>
      </c>
      <c r="ER60" s="15" t="str">
        <f t="shared" si="251"/>
        <v/>
      </c>
      <c r="ES60" s="15" t="str">
        <f t="shared" si="251"/>
        <v/>
      </c>
      <c r="ET60" s="15" t="str">
        <f t="shared" si="251"/>
        <v/>
      </c>
      <c r="EU60" s="15" t="str">
        <f t="shared" si="251"/>
        <v/>
      </c>
      <c r="EV60" s="15" t="str">
        <f t="shared" si="251"/>
        <v/>
      </c>
      <c r="EW60" s="15" t="str">
        <f t="shared" si="251"/>
        <v/>
      </c>
      <c r="EX60" s="15" t="str">
        <f t="shared" si="251"/>
        <v/>
      </c>
      <c r="EY60" s="15" t="str">
        <f t="shared" si="251"/>
        <v/>
      </c>
      <c r="EZ60" s="15" t="str">
        <f t="shared" si="251"/>
        <v/>
      </c>
      <c r="FA60" s="15" t="str">
        <f t="shared" si="251"/>
        <v/>
      </c>
      <c r="FB60" s="15"/>
      <c r="FC60" s="15"/>
      <c r="FD60" s="15"/>
      <c r="FE60" s="15"/>
      <c r="FF60" s="15"/>
      <c r="FG60" s="15"/>
      <c r="FH60" s="15"/>
      <c r="FI60" s="15"/>
      <c r="FJ60" s="15"/>
      <c r="FK60" s="15"/>
      <c r="FL60" s="15"/>
      <c r="FM60" s="15"/>
      <c r="FN60" s="15" t="str">
        <f t="array" ref="FN60">IFERROR(INDEX(FO60:GH60,MATCH(TRUE,INDEX((FO60:GH60&lt;&gt;""),),0)),"")</f>
        <v/>
      </c>
      <c r="FO60" s="15" t="str">
        <f t="shared" ref="FO60:GH60" si="252">IF(COUNTIF($FO59:$GH59,FO59)&gt;3,FO59,"")</f>
        <v/>
      </c>
      <c r="FP60" s="15" t="str">
        <f t="shared" si="252"/>
        <v/>
      </c>
      <c r="FQ60" s="15" t="str">
        <f t="shared" si="252"/>
        <v/>
      </c>
      <c r="FR60" s="15" t="str">
        <f t="shared" si="252"/>
        <v/>
      </c>
      <c r="FS60" s="15" t="str">
        <f t="shared" si="252"/>
        <v/>
      </c>
      <c r="FT60" s="15" t="str">
        <f t="shared" si="252"/>
        <v/>
      </c>
      <c r="FU60" s="15" t="str">
        <f t="shared" si="252"/>
        <v/>
      </c>
      <c r="FV60" s="15" t="str">
        <f t="shared" si="252"/>
        <v/>
      </c>
      <c r="FW60" s="15" t="str">
        <f t="shared" si="252"/>
        <v/>
      </c>
      <c r="FX60" s="15" t="str">
        <f t="shared" si="252"/>
        <v/>
      </c>
      <c r="FY60" s="15" t="str">
        <f t="shared" si="252"/>
        <v/>
      </c>
      <c r="FZ60" s="15" t="str">
        <f t="shared" si="252"/>
        <v/>
      </c>
      <c r="GA60" s="15" t="str">
        <f t="shared" si="252"/>
        <v/>
      </c>
      <c r="GB60" s="15" t="str">
        <f t="shared" si="252"/>
        <v/>
      </c>
      <c r="GC60" s="15" t="str">
        <f t="shared" si="252"/>
        <v/>
      </c>
      <c r="GD60" s="15" t="str">
        <f t="shared" si="252"/>
        <v/>
      </c>
      <c r="GE60" s="15" t="str">
        <f t="shared" si="252"/>
        <v/>
      </c>
      <c r="GF60" s="15" t="str">
        <f t="shared" si="252"/>
        <v/>
      </c>
      <c r="GG60" s="15" t="str">
        <f t="shared" si="252"/>
        <v/>
      </c>
      <c r="GH60" s="15" t="str">
        <f t="shared" si="252"/>
        <v/>
      </c>
      <c r="GI60" s="15"/>
      <c r="GJ60" s="15"/>
      <c r="GK60" s="15"/>
      <c r="GL60" s="15"/>
      <c r="GM60" s="15"/>
      <c r="GN60" s="15"/>
      <c r="GO60" s="15"/>
      <c r="GP60" s="15"/>
      <c r="GQ60" s="15"/>
      <c r="GR60" s="15"/>
      <c r="GS60" s="15"/>
      <c r="GT60" s="15"/>
      <c r="GU60" s="15"/>
      <c r="GV60" s="15"/>
      <c r="GW60" s="15"/>
      <c r="GX60" s="15"/>
      <c r="GY60" s="15"/>
      <c r="GZ60" s="15"/>
      <c r="HA60" s="15" t="str">
        <f>IF($F59="Hybrid - Thrust + 2 connections",COUNTBLANK(J59:L59),"")</f>
        <v/>
      </c>
      <c r="HB60" s="15"/>
      <c r="HC60" s="5"/>
      <c r="HD60" s="5"/>
      <c r="HE60" s="5"/>
      <c r="HF60" s="5"/>
    </row>
    <row r="61" spans="1:214" ht="12.75" hidden="1" customHeight="1" x14ac:dyDescent="0.3">
      <c r="A61" s="118" t="str">
        <f>IF(AND(E59="",A59&lt;&gt;""),IF(CP59=$CP$18,"",IF(C59&lt;&gt;"",IF(D59=59,MINUTE(CP59)+1,MINUTE(CP59)),"")),"")</f>
        <v/>
      </c>
      <c r="B61" s="119" t="str">
        <f>IF(AND(E59="",B59&lt;&gt;""),IF(CP59=$CP$18,"",IF(C59&lt;&gt;"",IF(D59=59,0,SECOND(CP59)+1),"")),"")</f>
        <v/>
      </c>
      <c r="C61" s="119"/>
      <c r="D61" s="119"/>
      <c r="E61" s="119"/>
      <c r="F61" s="57"/>
      <c r="G61" s="120" t="str">
        <f>IF(F61&lt;&gt;"",IF(OR(F61="Transition",F61="Transition - Surface Connection"),0,MAX($G$19:G60)+1),"")</f>
        <v/>
      </c>
      <c r="H61" s="223" t="str">
        <f>IFERROR(IF(E62="3","",IF(OR(F61="Hybrid - min 4 swimmers (no DD)",LEFT(F61,5)="Trans"),"No DD",CONCATENATE("BM = ",I62))),"")</f>
        <v/>
      </c>
      <c r="I61" s="224"/>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2"/>
      <c r="AO61" s="123"/>
      <c r="AP61" s="52"/>
      <c r="AQ61" s="52"/>
      <c r="AR61" s="12"/>
      <c r="AS61" s="12"/>
      <c r="AT61" s="12"/>
      <c r="AU61" s="12"/>
      <c r="AV61" s="12"/>
      <c r="AW61" s="12"/>
      <c r="AX61" s="12"/>
      <c r="AY61" s="12"/>
      <c r="AZ61" s="12"/>
      <c r="BA61" s="12"/>
      <c r="BB61" s="12"/>
      <c r="BC61" s="12"/>
      <c r="BD61" s="12"/>
      <c r="BE61" s="12"/>
      <c r="BF61" s="12"/>
      <c r="BG61" s="12" t="str">
        <f t="array" ref="BG61">IFERROR(IF(F61&lt;&gt;"",INDEX(Parts_Active,MATCH(F61,Parts_Active,0)),""),"No")</f>
        <v/>
      </c>
      <c r="BH61" s="12"/>
      <c r="BI61" s="12" t="str">
        <f t="shared" ref="BI61:BK61" si="253">IF($E62="H",IF($F61="Hybrid - Thrust + 2 connections","Hybrid_Mix_Req","HybridDD_Code"),IF($E62=3,"TreDD_Code",IF($E62="PA","AcroPair_Code",IF(LEFT($F61,4)="Acro",CONCATENATE(BI$16,$E62,"_Code"),"Data!$BI$1:$BI$5"))))</f>
        <v>Data!$BI$1:$BI$5</v>
      </c>
      <c r="BJ61" s="12" t="str">
        <f t="shared" si="253"/>
        <v>Data!$BI$1:$BI$5</v>
      </c>
      <c r="BK61" s="12" t="str">
        <f t="shared" si="253"/>
        <v>Data!$BI$1:$BI$5</v>
      </c>
      <c r="BL61" s="12" t="str">
        <f t="shared" ref="BL61:BQ61" si="254">IF($E62="H",IF($F61="Hybrid - Thrust + 2 connections","Data!$BI$1:$BI$5","HybridDD_Code"),IF($E62=3,"Data!$BI$1:$BI$5",IF(LEFT($F61,4)="Acro",CONCATENATE(BL$16,$E62,"_Code"),IF($E62="PA","","Data!$BI$1:$BI$5"))))</f>
        <v>Data!$BI$1:$BI$5</v>
      </c>
      <c r="BM61" s="12" t="str">
        <f t="shared" si="254"/>
        <v>Data!$BI$1:$BI$5</v>
      </c>
      <c r="BN61" s="12" t="str">
        <f t="shared" si="254"/>
        <v>Data!$BI$1:$BI$5</v>
      </c>
      <c r="BO61" s="12" t="str">
        <f t="shared" si="254"/>
        <v>Data!$BI$1:$BI$5</v>
      </c>
      <c r="BP61" s="12" t="str">
        <f t="shared" si="254"/>
        <v>Data!$BI$1:$BI$5</v>
      </c>
      <c r="BQ61" s="12" t="str">
        <f t="shared" si="254"/>
        <v>Data!$BI$1:$BI$5</v>
      </c>
      <c r="BR61" s="12" t="str">
        <f>IF($E62="H",IF($F61="Hybrid - Thrust + 2 connections","Data!$BI$1:$BI$5","HybridDD_Code"),"Data!$BI$1:$BI$5")</f>
        <v>Data!$BI$1:$BI$5</v>
      </c>
      <c r="BS61" s="12" t="str">
        <f t="shared" ref="BS61:CB61" si="255">$BR61</f>
        <v>Data!$BI$1:$BI$5</v>
      </c>
      <c r="BT61" s="12" t="str">
        <f t="shared" si="255"/>
        <v>Data!$BI$1:$BI$5</v>
      </c>
      <c r="BU61" s="12" t="str">
        <f t="shared" si="255"/>
        <v>Data!$BI$1:$BI$5</v>
      </c>
      <c r="BV61" s="12" t="str">
        <f t="shared" si="255"/>
        <v>Data!$BI$1:$BI$5</v>
      </c>
      <c r="BW61" s="12" t="str">
        <f t="shared" si="255"/>
        <v>Data!$BI$1:$BI$5</v>
      </c>
      <c r="BX61" s="12" t="str">
        <f t="shared" si="255"/>
        <v>Data!$BI$1:$BI$5</v>
      </c>
      <c r="BY61" s="12" t="str">
        <f t="shared" si="255"/>
        <v>Data!$BI$1:$BI$5</v>
      </c>
      <c r="BZ61" s="12" t="str">
        <f t="shared" si="255"/>
        <v>Data!$BI$1:$BI$5</v>
      </c>
      <c r="CA61" s="12" t="str">
        <f t="shared" si="255"/>
        <v>Data!$BI$1:$BI$5</v>
      </c>
      <c r="CB61" s="12" t="str">
        <f t="shared" si="255"/>
        <v>Data!$BI$1:$BI$5</v>
      </c>
      <c r="CC61" s="12"/>
      <c r="CD61" s="12"/>
      <c r="CE61" s="12"/>
      <c r="CF61" s="12"/>
      <c r="CG61" s="12"/>
      <c r="CH61" s="12"/>
      <c r="CI61" s="12"/>
      <c r="CJ61" s="12"/>
      <c r="CK61" s="12"/>
      <c r="CL61" s="12"/>
      <c r="CM61" s="12"/>
      <c r="CN61" s="12"/>
      <c r="CO61" s="63" t="str">
        <f>IFERROR(TIME(0,A61,B61),"")</f>
        <v/>
      </c>
      <c r="CP61" s="63">
        <f>IFERROR(TIME(0,C61,D61),"")</f>
        <v>0</v>
      </c>
      <c r="CQ61" s="63" t="str">
        <f>IF(CP61&gt;$D$12,"X","")</f>
        <v/>
      </c>
      <c r="CR61" s="15" t="str">
        <f>IF(AND(F61="Hybrid - Thrust + 2 connections",OR(LEFT(J61,1)="T",LEFT(K61,1)="T",LEFT(L61,1)="T",LEFT(OY61,1)="T",LEFT(M61,1)="T",LEFT(N61,1)="T",LEFT(O61,1)="T",LEFT(P61,1)="T",LEFT(Q61,1)="T",LEFT(R61,1)="T",LEFT(S61,1)="T",LEFT(T61,1)="T",LEFT(U61,1)="T",LEFT(V61,1)="T",LEFT(W61,1)="T",LEFT(X61,1)="T",LEFT(AK61,1)="T",LEFT(AL61,1)="T",LEFT(AM61,1)="T")),IF(OR(LEN(J61)=2,LEN(K61)=2,LEN(L61)=2,LEN(M61)=2,LEN(N61)=2,LEN(O61)=2,LEN(P61)=2,LEN(Q61)=2,LEN(R61)=2,LEN(S61)=2,LEN(T61)=2,LEN(U61)=2,LEN(V61)=2,LEN(W61)=2,LEN(X61)=2,LEN(Y61)=2,LEN(Z61)=2,LEN(AK61)=2,LEN(AL61)=2,LEN(AM61)=2),"X",""),"")</f>
        <v/>
      </c>
      <c r="CS61" s="5"/>
      <c r="CT61" s="15" t="str">
        <f>IF(LEFT(F61,4)="Acro",IF(AND(N61&lt;&gt;"",M61=RIGHT(N61,2)),"X","OK"),"")</f>
        <v/>
      </c>
      <c r="CU61" s="12" t="str">
        <f t="array" ref="CU61">IFERROR(IF(AND(LEFT($F61,4)="Acro",INDEX(Requ_App,MATCH(BI61,Requ_Code,0))="No"),"X",""),"")</f>
        <v/>
      </c>
      <c r="CV61" s="12" t="str">
        <f t="array" ref="CV61">IFERROR(IF(AND(LEFT($F61,4)="Acro",INDEX(Requ_App,MATCH(BJ61,Requ_Code,0))="No"),"X",""),"")</f>
        <v/>
      </c>
      <c r="CW61" s="12" t="str">
        <f t="array" ref="CW61">IFERROR(IF(AND(LEFT($F61,4)="Acro",INDEX(Requ_App,MATCH(BK61,Requ_Code,0))="No"),"X",""),"")</f>
        <v/>
      </c>
      <c r="CX61" s="12" t="str">
        <f t="array" ref="CX61">IFERROR(IF(AND(LEFT($F61,4)="Acro",INDEX(Requ_App,MATCH(BL61,Requ_Code,0))="No"),"X",""),"")</f>
        <v/>
      </c>
      <c r="CY61" s="12" t="str">
        <f t="array" ref="CY61">IFERROR(IF(AND(LEFT($F61,4)="Acro",INDEX(Requ_App,MATCH(BM61,Requ_Code,0))="No"),"X",""),"")</f>
        <v/>
      </c>
      <c r="CZ61" s="12" t="str">
        <f t="array" ref="CZ61">IFERROR(IF(AND(LEFT($F61,4)="Acro",INDEX(Requ_App,MATCH(BN61,Requ_Code,0))="No"),"X",""),"")</f>
        <v/>
      </c>
      <c r="DA61" s="12" t="str">
        <f t="array" ref="DA61">IFERROR(IF(AND(LEFT($F61,4)="Acro",INDEX(Requ_App,MATCH(BO61,Requ_Code,0))="No"),"X",""),"")</f>
        <v/>
      </c>
      <c r="DB61" s="12" t="str">
        <f t="array" ref="DB61">IFERROR(IF(AND(LEFT($F61,4)="Acro",INDEX(Requ_App,MATCH(BP61,Requ_Code,0))="No"),"X",""),"")</f>
        <v/>
      </c>
      <c r="DC61" s="12" t="str">
        <f t="array" ref="DC61">IFERROR(IF(AND(LEFT($F61,4)="Acro",INDEX(Requ_App,MATCH(BP61,Requ_Code,0))="No"),"X",""),"")</f>
        <v/>
      </c>
      <c r="DD61" s="15" t="str">
        <f t="shared" si="10"/>
        <v/>
      </c>
      <c r="DE61" s="15" t="str">
        <f t="shared" si="11"/>
        <v/>
      </c>
      <c r="DF61" s="15" t="str">
        <f t="shared" si="12"/>
        <v/>
      </c>
      <c r="DG61" s="15" t="str">
        <f t="shared" si="13"/>
        <v/>
      </c>
      <c r="DH61" s="15"/>
      <c r="DI61" s="15"/>
      <c r="DJ61" s="15"/>
      <c r="DK61" s="15">
        <f>IF(AND(E62="A",OR(Q61="Grip",Q61="Conn",Q61="Catch")),"A1",IF(AND(E62="A",OR(Q61="Hula",Q61="RetSq",Q61="RetPa")),"A2",IF(AND(E62="B",OR(Q61="Twirl",Q61="RotF")),"B1",IF(AND(E62="B",OR(Q61="Moon",Q61="Mov")),"B2",IF(AND(E62="B",Q61="Hold"),"B3",IF(AND(E62="P",OR(Q61="Porp",Q61="Spitch")),"P1",IF(AND(E62="P",OR(Q61="Dive",Q61="Ps1",Q61="Ps1t0.5",Q61="Ps1op",Q61="Ps1t0,5o",Q61="Ps1t1",Q61="CH+")),"P2",IF(AND(E62="P",OR(Q61="Spider",Q61="Climb")),"P3",IF(AND(E62="P",OR(Q61="Fall",Q61="FTurn")),"P4",IF(AND(E62="C",OR(Q61="Jump",Q61="Jump&gt;",Q61="On1Foot",Q61="1F&gt;1F")),"C1",IF(AND(E62="C",OR(Q61="Run",Q61="BRun")),"C2",1)))))))))))</f>
        <v>1</v>
      </c>
      <c r="DL61" s="15">
        <f>IF(AND(E62="A",OR(R61="Grip",R61="Conn",R61="Catch")),"A1",IF(AND(E62="A",OR(R61="Hula",R61="RetSq",R61="RetPa")),"A2",IF(AND(E62="B",OR(R61="Twirl",R61="RotF")),"B1",IF(AND(E62="B",OR(R61="Moon",R61="Mov")),"B3",IF(AND(E62="B",R61="Hold"),"B2",IF(AND(E62="P",OR(R61="Porp",R61="Spitch")),"P1",IF(AND(E62="P",OR(R61="Dive",R61="Ps1",R61="Ps1t0.5",R61="Ps1op",R61="Ps1t0,5o",R61="Ps1t1",R61="CH+")),"P2",IF(AND(E62="P",OR(R61="Spider",R61="Climb")),"P3",IF(AND(E62="P",OR(R61="Fall",R61="FTurn")),"P4",IF(AND(E62="C",OR(R61="Jump",R61="Jump&gt;",R61="On1Foot",R61="1F&gt;1F")),"C1",IF(AND(E62="C",OR(R61="Run",R61="BRun")),"C2",2)))))))))))</f>
        <v>2</v>
      </c>
      <c r="DM61" s="15" t="str">
        <f>IF(AND(LEFT(F61,4)="Acro",Q61&lt;&gt;"",OR(Q61=R61,DK61=DL61)),IF(R61="C-Roll","","X"),IF(OR(AND(E62="A",Q61="Catch",R61&lt;&gt;"Dbl"),AND(E62="A",R61="Catch",Q61&lt;&gt;"Dbl")),"X",""))</f>
        <v/>
      </c>
      <c r="DN61" s="15" t="str">
        <f>IF(E62="PA",J61,"")</f>
        <v/>
      </c>
      <c r="DO61" s="15">
        <v>43</v>
      </c>
      <c r="DP61" s="15"/>
      <c r="DQ61" s="15" t="str">
        <f t="shared" ref="DQ61:DR61" si="256">IF(AND($E62="A",COUNTIF($DZ$19:$EA$68,DZ61)&gt;1),DZ61,"")</f>
        <v/>
      </c>
      <c r="DR61" s="15" t="str">
        <f t="shared" si="256"/>
        <v/>
      </c>
      <c r="DS61" s="15" t="str">
        <f ca="1">IF(AND($E62="B",COUNTIF($J$19:$J$68,J61)&gt;1),J61,"")</f>
        <v/>
      </c>
      <c r="DT61" s="15" t="str">
        <f ca="1">IF(AND($E62="B",COUNTIF($K$19:$K$68,K61)&gt;1),K61,"")</f>
        <v/>
      </c>
      <c r="DU61" s="15" t="str">
        <f ca="1">IF(AND($E62="C",COUNTIF($J$19:$J$68,J61)&gt;1),J61,"")</f>
        <v/>
      </c>
      <c r="DV61" s="15" t="str">
        <f ca="1">IF(AND($E62="P",COUNTIF($J$19:$J$68,J61)&gt;1),J61,"")</f>
        <v/>
      </c>
      <c r="DW61" s="15" t="str">
        <f ca="1">IF(AND($E62="P",COUNTIF($K$19:$K$68,K61)&gt;1),K61,"")</f>
        <v/>
      </c>
      <c r="DX61" s="15" t="str">
        <f t="shared" ref="DX61:DY61" si="257">IF(AND($E62="P",COUNTIF($DZ$19:$EA$68,DZ61)&gt;1),DZ61,"")</f>
        <v/>
      </c>
      <c r="DY61" s="15" t="str">
        <f t="shared" si="257"/>
        <v/>
      </c>
      <c r="DZ61" s="15" t="str">
        <f>IFERROR(IF(OR(E62="A",E62="P"),M61,""),"")</f>
        <v/>
      </c>
      <c r="EA61" s="15" t="str">
        <f>IFERROR(IF(OR(E62="A",E62="P"),RIGHT(N61,2),""),"")</f>
        <v/>
      </c>
      <c r="EB61" s="15"/>
      <c r="EC61" s="15" t="str">
        <f>IF(AND($F$8="Open Team Acrobatic",LEFT(F61,4)="Acro"),E62,"")</f>
        <v/>
      </c>
      <c r="ED61" s="15" t="str">
        <f>IFERROR(IF(HLOOKUP(EC61,$DQ$12:$DT$13,2,FALSE)&gt;2,"X",""),"")</f>
        <v/>
      </c>
      <c r="EE61" s="15"/>
      <c r="EF61" s="15" t="str">
        <f>IF(OR(AND(F61="Hybrid - Thrust + 2 connections",EF62="T"),AND(F61="Hybrid - Free",EF62&lt;&gt;"")),"X","")</f>
        <v/>
      </c>
      <c r="EG61" s="15"/>
      <c r="EH61" s="15">
        <f t="shared" ref="EH61:EX61" si="258">IFERROR(IF(AND($E62="H",J61&lt;&gt;""),IF(OR(LEFT(J61,1)="T",LEFT(J61,1)="S",LEFT(J61,1)="A",LEFT(J61,1)="F",LEFT(J61,1)="C"),LEFT(J61,1),"R"),EH$18),"")</f>
        <v>1</v>
      </c>
      <c r="EI61" s="15">
        <f t="shared" si="258"/>
        <v>2</v>
      </c>
      <c r="EJ61" s="15">
        <f t="shared" si="258"/>
        <v>3</v>
      </c>
      <c r="EK61" s="15">
        <f t="shared" si="258"/>
        <v>4</v>
      </c>
      <c r="EL61" s="15">
        <f t="shared" si="258"/>
        <v>5</v>
      </c>
      <c r="EM61" s="15">
        <f t="shared" si="258"/>
        <v>6</v>
      </c>
      <c r="EN61" s="15">
        <f t="shared" si="258"/>
        <v>7</v>
      </c>
      <c r="EO61" s="15">
        <f t="shared" si="258"/>
        <v>8</v>
      </c>
      <c r="EP61" s="15">
        <f t="shared" si="258"/>
        <v>9</v>
      </c>
      <c r="EQ61" s="15">
        <f t="shared" si="258"/>
        <v>10</v>
      </c>
      <c r="ER61" s="15">
        <f t="shared" si="258"/>
        <v>11</v>
      </c>
      <c r="ES61" s="15">
        <f t="shared" si="258"/>
        <v>12</v>
      </c>
      <c r="ET61" s="15">
        <f t="shared" si="258"/>
        <v>13</v>
      </c>
      <c r="EU61" s="15">
        <f t="shared" si="258"/>
        <v>14</v>
      </c>
      <c r="EV61" s="15">
        <f t="shared" si="258"/>
        <v>15</v>
      </c>
      <c r="EW61" s="15">
        <f t="shared" si="258"/>
        <v>16</v>
      </c>
      <c r="EX61" s="15">
        <f t="shared" si="258"/>
        <v>17</v>
      </c>
      <c r="EY61" s="15">
        <f t="shared" ref="EY61:FA61" si="259">IFERROR(IF(AND($E62="H",AK61&lt;&gt;""),IF(OR(LEFT(AK61,1)="T",LEFT(AK61,1)="S",LEFT(AK61,1)="A",LEFT(AK61,1)="F",LEFT(AK61,1)="C"),LEFT(AK61,1),"R"),EY$18),"")</f>
        <v>18</v>
      </c>
      <c r="EZ61" s="15">
        <f t="shared" si="259"/>
        <v>19</v>
      </c>
      <c r="FA61" s="15">
        <f t="shared" si="259"/>
        <v>20</v>
      </c>
      <c r="FB61" s="15"/>
      <c r="FC61" s="15"/>
      <c r="FD61" s="15"/>
      <c r="FE61" s="15"/>
      <c r="FF61" s="15"/>
      <c r="FG61" s="15"/>
      <c r="FH61" s="15"/>
      <c r="FI61" s="15"/>
      <c r="FJ61" s="15"/>
      <c r="FK61" s="15"/>
      <c r="FL61" s="15"/>
      <c r="FM61" s="15"/>
      <c r="FN61" s="15"/>
      <c r="FO61" s="15">
        <f t="shared" ref="FO61:GE61" si="260">IFERROR(IF(J61&lt;&gt;"",UPPER(J61),FO$18),FO$18)</f>
        <v>1</v>
      </c>
      <c r="FP61" s="15">
        <f t="shared" si="260"/>
        <v>2</v>
      </c>
      <c r="FQ61" s="15">
        <f t="shared" si="260"/>
        <v>3</v>
      </c>
      <c r="FR61" s="15">
        <f t="shared" si="260"/>
        <v>4</v>
      </c>
      <c r="FS61" s="15">
        <f t="shared" si="260"/>
        <v>5</v>
      </c>
      <c r="FT61" s="15">
        <f t="shared" si="260"/>
        <v>6</v>
      </c>
      <c r="FU61" s="15">
        <f t="shared" si="260"/>
        <v>7</v>
      </c>
      <c r="FV61" s="15">
        <f t="shared" si="260"/>
        <v>8</v>
      </c>
      <c r="FW61" s="15">
        <f t="shared" si="260"/>
        <v>9</v>
      </c>
      <c r="FX61" s="15">
        <f t="shared" si="260"/>
        <v>10</v>
      </c>
      <c r="FY61" s="15">
        <f t="shared" si="260"/>
        <v>11</v>
      </c>
      <c r="FZ61" s="15">
        <f t="shared" si="260"/>
        <v>12</v>
      </c>
      <c r="GA61" s="15">
        <f t="shared" si="260"/>
        <v>13</v>
      </c>
      <c r="GB61" s="15">
        <f t="shared" si="260"/>
        <v>14</v>
      </c>
      <c r="GC61" s="15">
        <f t="shared" si="260"/>
        <v>15</v>
      </c>
      <c r="GD61" s="15">
        <f t="shared" si="260"/>
        <v>16</v>
      </c>
      <c r="GE61" s="15">
        <f t="shared" si="260"/>
        <v>17</v>
      </c>
      <c r="GF61" s="15">
        <f t="shared" ref="GF61:GH61" si="261">IFERROR(IF(AK61&lt;&gt;"",UPPER(AK61),GF$18),GF$18)</f>
        <v>18</v>
      </c>
      <c r="GG61" s="15">
        <f t="shared" si="261"/>
        <v>19</v>
      </c>
      <c r="GH61" s="15">
        <f t="shared" si="261"/>
        <v>20</v>
      </c>
      <c r="GI61" s="15"/>
      <c r="GJ61" s="15"/>
      <c r="GK61" s="15"/>
      <c r="GL61" s="15"/>
      <c r="GM61" s="15"/>
      <c r="GN61" s="15"/>
      <c r="GO61" s="15"/>
      <c r="GP61" s="15"/>
      <c r="GQ61" s="15"/>
      <c r="GR61" s="15"/>
      <c r="GS61" s="15"/>
      <c r="GT61" s="15">
        <f t="shared" ref="GT61:GY61" si="262">COUNTIF($EH61:$FA61,GT$18)</f>
        <v>0</v>
      </c>
      <c r="GU61" s="15">
        <f t="shared" si="262"/>
        <v>0</v>
      </c>
      <c r="GV61" s="15">
        <f t="shared" si="262"/>
        <v>0</v>
      </c>
      <c r="GW61" s="15">
        <f t="shared" si="262"/>
        <v>0</v>
      </c>
      <c r="GX61" s="15">
        <f t="shared" si="262"/>
        <v>0</v>
      </c>
      <c r="GY61" s="15">
        <f t="shared" si="262"/>
        <v>0</v>
      </c>
      <c r="GZ61" s="15"/>
      <c r="HA61" s="15" t="str">
        <f>IF(AND($F61="Hybrid - Thrust + 2 connections",HA62=0,LEFT($J61,1)="C",LEFT($K61,1)="C",LEFT($L61,1)="C"),"X","")</f>
        <v/>
      </c>
      <c r="HB61" s="15"/>
      <c r="HC61" s="5"/>
      <c r="HD61" s="124"/>
      <c r="HE61" s="124"/>
      <c r="HF61" s="5" t="str">
        <f>IF(E62=3,_xludf.NUMBERVALUE(LEFT(J61,1)),"")</f>
        <v/>
      </c>
    </row>
    <row r="62" spans="1:214" ht="12.75" hidden="1" customHeight="1" x14ac:dyDescent="0.3">
      <c r="A62" s="118"/>
      <c r="B62" s="119"/>
      <c r="C62" s="119"/>
      <c r="D62" s="119"/>
      <c r="E62" s="50" t="str">
        <f>IF(F61="Acrobatic - Pair","PA",IF(F61="Acrobatic Airborn","A",IF(F61="Acrobatic Balance","B",IF(F61="Acrobatic Combined","C",IF(F61="Acrobatic Platform","P",IF(F61="Technical Required Element",3,IF(LEFT(F61,4)="Hybr","H","")))))))</f>
        <v/>
      </c>
      <c r="F62" s="50" t="str">
        <f>IF(AND(F61="Hybrid - Thrust + 2 connections",CR61="X"),"Hybrid - Thrust",IF(OR(E62="A",E62="B",E62="C",E62="P"),"Acrobatic",""))</f>
        <v/>
      </c>
      <c r="G62" s="120"/>
      <c r="H62" s="126" t="str">
        <f>IF(E62="PA",IF(OR(LEFT(J61,1)="L",LEFT(J61,1)="S"),"A-Pair-Lift",IF(OR(LEFT(J61,1)="W",LEFT(J61,1)="T"),"A-Pair-Throw",IF(LEFT(J61,1)="J","A-Pair-Jump","A-Pair"))),IF(OR(E62="A",E62="B",E62="C",E62="P"),CONCATENATE("Acro-",E62),""))</f>
        <v/>
      </c>
      <c r="I62" s="127" t="e">
        <f t="array" ref="I62">IF(OR(F61="Hybrid - min 4 swimmers (no DD)",LEFT(F61,5)="Trans"),0,INDEX($BY$3:$BY$9,MATCH(E62,$BX$3:$BX$9,0)))</f>
        <v>#N/A</v>
      </c>
      <c r="J62" s="128">
        <f t="shared" ref="J62:Z62" ca="1" si="263">IFERROR(IF($H61="No DD",0,IF(OR(ISBLANK(J61),J61="N/A"),0,INDEX(INDIRECT(BI62),MATCH(J61,INDIRECT(BI61),0)))),0)</f>
        <v>0</v>
      </c>
      <c r="K62" s="128">
        <f t="shared" ca="1" si="263"/>
        <v>0</v>
      </c>
      <c r="L62" s="128">
        <f t="shared" ca="1" si="263"/>
        <v>0</v>
      </c>
      <c r="M62" s="128">
        <f t="shared" ca="1" si="263"/>
        <v>0</v>
      </c>
      <c r="N62" s="128">
        <f t="shared" ca="1" si="263"/>
        <v>0</v>
      </c>
      <c r="O62" s="128">
        <f t="shared" ca="1" si="263"/>
        <v>0</v>
      </c>
      <c r="P62" s="128">
        <f t="shared" ca="1" si="263"/>
        <v>0</v>
      </c>
      <c r="Q62" s="128">
        <f t="shared" ca="1" si="263"/>
        <v>0</v>
      </c>
      <c r="R62" s="128">
        <f t="shared" ca="1" si="263"/>
        <v>0</v>
      </c>
      <c r="S62" s="128">
        <f t="shared" ca="1" si="263"/>
        <v>0</v>
      </c>
      <c r="T62" s="128">
        <f t="shared" ca="1" si="263"/>
        <v>0</v>
      </c>
      <c r="U62" s="128">
        <f t="shared" ca="1" si="263"/>
        <v>0</v>
      </c>
      <c r="V62" s="128">
        <f t="shared" ca="1" si="263"/>
        <v>0</v>
      </c>
      <c r="W62" s="128">
        <f t="shared" ca="1" si="263"/>
        <v>0</v>
      </c>
      <c r="X62" s="128">
        <f t="shared" ca="1" si="263"/>
        <v>0</v>
      </c>
      <c r="Y62" s="128">
        <f t="shared" ca="1" si="263"/>
        <v>0</v>
      </c>
      <c r="Z62" s="128">
        <f t="shared" ca="1" si="263"/>
        <v>0</v>
      </c>
      <c r="AA62" s="128">
        <f t="shared" ref="AA62:AB62" ca="1" si="264">IFERROR(IF($H61="No DD",0,IF(OR(ISBLANK(AA61),AA61="N/A"),0,INDEX(INDIRECT(BX62),MATCH(AA61,INDIRECT(BX61),0)))),0)</f>
        <v>0</v>
      </c>
      <c r="AB62" s="128">
        <f t="shared" ca="1" si="264"/>
        <v>0</v>
      </c>
      <c r="AC62" s="128">
        <f t="shared" ref="AC62:AD62" ca="1" si="265">IFERROR(IF($H61="No DD",0,IF(OR(ISBLANK(AC61),AC61="N/A"),0,INDEX(INDIRECT(BX62),MATCH(AC61,INDIRECT(BX61),0)))),0)</f>
        <v>0</v>
      </c>
      <c r="AD62" s="128">
        <f t="shared" ca="1" si="265"/>
        <v>0</v>
      </c>
      <c r="AE62" s="128">
        <f t="shared" ref="AE62:AF62" ca="1" si="266">IFERROR(IF($H61="No DD",0,IF(OR(ISBLANK(AE61),AE61="N/A"),0,INDEX(INDIRECT(BX62),MATCH(AE61,INDIRECT(BX61),0)))),0)</f>
        <v>0</v>
      </c>
      <c r="AF62" s="128">
        <f t="shared" ca="1" si="266"/>
        <v>0</v>
      </c>
      <c r="AG62" s="128">
        <f t="shared" ref="AG62:AH62" ca="1" si="267">IFERROR(IF($H61="No DD",0,IF(OR(ISBLANK(AG61),AG61="N/A"),0,INDEX(INDIRECT(BX62),MATCH(AG61,INDIRECT(BX61),0)))),0)</f>
        <v>0</v>
      </c>
      <c r="AH62" s="128">
        <f t="shared" ca="1" si="267"/>
        <v>0</v>
      </c>
      <c r="AI62" s="128">
        <f t="shared" ref="AI62:AM62" ca="1" si="268">IFERROR(IF($H61="No DD",0,IF(OR(ISBLANK(AI61),AI61="N/A"),0,INDEX(INDIRECT(BX62),MATCH(AI61,INDIRECT(BX61),0)))),0)</f>
        <v>0</v>
      </c>
      <c r="AJ62" s="128">
        <f t="shared" ca="1" si="268"/>
        <v>0</v>
      </c>
      <c r="AK62" s="128">
        <f t="shared" ca="1" si="268"/>
        <v>0</v>
      </c>
      <c r="AL62" s="128">
        <f t="shared" ca="1" si="268"/>
        <v>0</v>
      </c>
      <c r="AM62" s="128">
        <f t="shared" ca="1" si="268"/>
        <v>0</v>
      </c>
      <c r="AN62" s="129" t="str">
        <f t="array" ref="AN62">IFERROR(IF(E62="H",INDEX(HybridBonus_Value,MATCH(AN61,HybridBonus_Code,0)),""),"")</f>
        <v/>
      </c>
      <c r="AO62" s="130" t="str">
        <f>IFERROR(IF(J61&lt;&gt;"",SUM(I62:AN62),""),"")</f>
        <v/>
      </c>
      <c r="AP62" s="132"/>
      <c r="AQ62" s="132"/>
      <c r="AR62" s="131"/>
      <c r="AS62" s="131"/>
      <c r="AT62" s="131"/>
      <c r="AU62" s="131"/>
      <c r="AV62" s="131"/>
      <c r="AW62" s="131"/>
      <c r="AX62" s="131"/>
      <c r="AY62" s="131"/>
      <c r="AZ62" s="131"/>
      <c r="BA62" s="131"/>
      <c r="BB62" s="131"/>
      <c r="BC62" s="131"/>
      <c r="BD62" s="131"/>
      <c r="BE62" s="131"/>
      <c r="BF62" s="131"/>
      <c r="BG62" s="12"/>
      <c r="BH62" s="131"/>
      <c r="BI62" s="5" t="str">
        <f>IF($E62="H","HybridDD_Value",IF($E62=3,"TreDD_Value",IF($E62="PA","AcroPair_Value",IF(LEFT($F61,4)="Acro",CONCATENATE(BI$16,$E62,"_Value"),""))))</f>
        <v/>
      </c>
      <c r="BJ62" s="5" t="str">
        <f t="shared" ref="BJ62:BQ62" si="269">IF($E62="H","HybridDD_Value",IF($E62=3,"",IF(LEFT($F61,4)="Acro",CONCATENATE(BJ$16,$E62,"_Value"),IF($E62="PA","",""))))</f>
        <v/>
      </c>
      <c r="BK62" s="5" t="str">
        <f t="shared" si="269"/>
        <v/>
      </c>
      <c r="BL62" s="5" t="str">
        <f t="shared" si="269"/>
        <v/>
      </c>
      <c r="BM62" s="5" t="str">
        <f t="shared" si="269"/>
        <v/>
      </c>
      <c r="BN62" s="5" t="str">
        <f t="shared" si="269"/>
        <v/>
      </c>
      <c r="BO62" s="5" t="str">
        <f t="shared" si="269"/>
        <v/>
      </c>
      <c r="BP62" s="5" t="str">
        <f t="shared" si="269"/>
        <v/>
      </c>
      <c r="BQ62" s="5" t="str">
        <f t="shared" si="269"/>
        <v/>
      </c>
      <c r="BR62" s="12" t="str">
        <f>IF($E62="H","HybridDD_Value","Data!$BI$1:$BI$5")</f>
        <v>Data!$BI$1:$BI$5</v>
      </c>
      <c r="BS62" s="12" t="str">
        <f t="shared" ref="BS62:CB62" si="270">$BR62</f>
        <v>Data!$BI$1:$BI$5</v>
      </c>
      <c r="BT62" s="12" t="str">
        <f t="shared" si="270"/>
        <v>Data!$BI$1:$BI$5</v>
      </c>
      <c r="BU62" s="12" t="str">
        <f t="shared" si="270"/>
        <v>Data!$BI$1:$BI$5</v>
      </c>
      <c r="BV62" s="12" t="str">
        <f t="shared" si="270"/>
        <v>Data!$BI$1:$BI$5</v>
      </c>
      <c r="BW62" s="12" t="str">
        <f t="shared" si="270"/>
        <v>Data!$BI$1:$BI$5</v>
      </c>
      <c r="BX62" s="12" t="str">
        <f t="shared" si="270"/>
        <v>Data!$BI$1:$BI$5</v>
      </c>
      <c r="BY62" s="12" t="str">
        <f t="shared" si="270"/>
        <v>Data!$BI$1:$BI$5</v>
      </c>
      <c r="BZ62" s="12" t="str">
        <f t="shared" si="270"/>
        <v>Data!$BI$1:$BI$5</v>
      </c>
      <c r="CA62" s="12" t="str">
        <f t="shared" si="270"/>
        <v>Data!$BI$1:$BI$5</v>
      </c>
      <c r="CB62" s="12" t="str">
        <f t="shared" si="270"/>
        <v>Data!$BI$1:$BI$5</v>
      </c>
      <c r="CC62" s="12"/>
      <c r="CD62" s="12"/>
      <c r="CE62" s="12"/>
      <c r="CF62" s="12"/>
      <c r="CG62" s="12"/>
      <c r="CH62" s="12"/>
      <c r="CI62" s="12"/>
      <c r="CJ62" s="12"/>
      <c r="CK62" s="12"/>
      <c r="CL62" s="12"/>
      <c r="CM62" s="131"/>
      <c r="CN62" s="131"/>
      <c r="CO62" s="124" t="str">
        <f>IFERROR(IF(AND($BV$6="T",$BV$8="T",LEFT(F61,4)="Acro",AO62&gt;3),"X",IF($N$7="X",IF(AND(E62="C",AO62&gt;$CN$6),"X",IF(AND(E62="A",AO62&gt;$CN$4),"X",IF(AND(E62="B",AO62&gt;$CN$5),"X",IF(AND(E62="P",AO62&gt;$CN$7),"X","")))),"")),"")</f>
        <v/>
      </c>
      <c r="CP62" s="63"/>
      <c r="CQ62" s="5"/>
      <c r="CR62" s="15"/>
      <c r="CS62" s="5"/>
      <c r="CT62" s="5"/>
      <c r="CU62" s="5"/>
      <c r="CV62" s="5"/>
      <c r="CW62" s="5"/>
      <c r="CX62" s="5"/>
      <c r="CY62" s="5"/>
      <c r="CZ62" s="5"/>
      <c r="DA62" s="15"/>
      <c r="DB62" s="15"/>
      <c r="DC62" s="15"/>
      <c r="DD62" s="15" t="str">
        <f t="shared" si="10"/>
        <v/>
      </c>
      <c r="DE62" s="15" t="str">
        <f t="shared" si="11"/>
        <v/>
      </c>
      <c r="DF62" s="15" t="str">
        <f t="shared" si="12"/>
        <v/>
      </c>
      <c r="DG62" s="15" t="str">
        <f t="shared" si="13"/>
        <v/>
      </c>
      <c r="DH62" s="15"/>
      <c r="DI62" s="15"/>
      <c r="DJ62" s="15"/>
      <c r="DK62" s="15"/>
      <c r="DL62" s="15"/>
      <c r="DM62" s="15"/>
      <c r="DN62" s="15"/>
      <c r="DO62" s="15">
        <v>44</v>
      </c>
      <c r="DP62" s="15"/>
      <c r="DQ62" s="15"/>
      <c r="DR62" s="15"/>
      <c r="DS62" s="15"/>
      <c r="DT62" s="15"/>
      <c r="DU62" s="15"/>
      <c r="DV62" s="15"/>
      <c r="DW62" s="15"/>
      <c r="DX62" s="15"/>
      <c r="DY62" s="15"/>
      <c r="DZ62" s="15"/>
      <c r="EA62" s="15"/>
      <c r="EB62" s="15"/>
      <c r="EC62" s="15"/>
      <c r="ED62" s="15"/>
      <c r="EE62" s="15"/>
      <c r="EF62" s="15" t="str">
        <f t="array" ref="EF62">IFERROR(INDEX(EH62:FA62,MATCH(TRUE,INDEX((EH62:FA62&lt;&gt;""),),0)),"")</f>
        <v/>
      </c>
      <c r="EG62" s="15"/>
      <c r="EH62" s="15" t="str">
        <f t="shared" ref="EH62:FA62" si="271">IF(F61="Hybrid - Thrust + 2 connections",IF(COUNTIF($EH61:$FA61,EH61)&gt;1,EH61,""),IF(COUNTIF($EH61:$FA61,EH61)&gt;5,EH61,""))</f>
        <v/>
      </c>
      <c r="EI62" s="15" t="str">
        <f t="shared" si="271"/>
        <v/>
      </c>
      <c r="EJ62" s="15" t="str">
        <f t="shared" si="271"/>
        <v/>
      </c>
      <c r="EK62" s="15" t="str">
        <f t="shared" si="271"/>
        <v/>
      </c>
      <c r="EL62" s="15" t="str">
        <f t="shared" si="271"/>
        <v/>
      </c>
      <c r="EM62" s="15" t="str">
        <f t="shared" si="271"/>
        <v/>
      </c>
      <c r="EN62" s="15" t="str">
        <f t="shared" si="271"/>
        <v/>
      </c>
      <c r="EO62" s="15" t="str">
        <f t="shared" si="271"/>
        <v/>
      </c>
      <c r="EP62" s="15" t="str">
        <f t="shared" si="271"/>
        <v/>
      </c>
      <c r="EQ62" s="15" t="str">
        <f t="shared" si="271"/>
        <v/>
      </c>
      <c r="ER62" s="15" t="str">
        <f t="shared" si="271"/>
        <v/>
      </c>
      <c r="ES62" s="15" t="str">
        <f t="shared" si="271"/>
        <v/>
      </c>
      <c r="ET62" s="15" t="str">
        <f t="shared" si="271"/>
        <v/>
      </c>
      <c r="EU62" s="15" t="str">
        <f t="shared" si="271"/>
        <v/>
      </c>
      <c r="EV62" s="15" t="str">
        <f t="shared" si="271"/>
        <v/>
      </c>
      <c r="EW62" s="15" t="str">
        <f t="shared" si="271"/>
        <v/>
      </c>
      <c r="EX62" s="15" t="str">
        <f t="shared" si="271"/>
        <v/>
      </c>
      <c r="EY62" s="15" t="str">
        <f t="shared" si="271"/>
        <v/>
      </c>
      <c r="EZ62" s="15" t="str">
        <f t="shared" si="271"/>
        <v/>
      </c>
      <c r="FA62" s="15" t="str">
        <f t="shared" si="271"/>
        <v/>
      </c>
      <c r="FB62" s="15"/>
      <c r="FC62" s="15"/>
      <c r="FD62" s="15"/>
      <c r="FE62" s="15"/>
      <c r="FF62" s="15"/>
      <c r="FG62" s="15"/>
      <c r="FH62" s="15"/>
      <c r="FI62" s="15"/>
      <c r="FJ62" s="15"/>
      <c r="FK62" s="15"/>
      <c r="FL62" s="15"/>
      <c r="FM62" s="15"/>
      <c r="FN62" s="15" t="str">
        <f t="array" ref="FN62">IFERROR(INDEX(FO62:GH62,MATCH(TRUE,INDEX((FO62:GH62&lt;&gt;""),),0)),"")</f>
        <v/>
      </c>
      <c r="FO62" s="15" t="str">
        <f t="shared" ref="FO62:GH62" si="272">IF(COUNTIF($FO61:$GH61,FO61)&gt;3,FO61,"")</f>
        <v/>
      </c>
      <c r="FP62" s="15" t="str">
        <f t="shared" si="272"/>
        <v/>
      </c>
      <c r="FQ62" s="15" t="str">
        <f t="shared" si="272"/>
        <v/>
      </c>
      <c r="FR62" s="15" t="str">
        <f t="shared" si="272"/>
        <v/>
      </c>
      <c r="FS62" s="15" t="str">
        <f t="shared" si="272"/>
        <v/>
      </c>
      <c r="FT62" s="15" t="str">
        <f t="shared" si="272"/>
        <v/>
      </c>
      <c r="FU62" s="15" t="str">
        <f t="shared" si="272"/>
        <v/>
      </c>
      <c r="FV62" s="15" t="str">
        <f t="shared" si="272"/>
        <v/>
      </c>
      <c r="FW62" s="15" t="str">
        <f t="shared" si="272"/>
        <v/>
      </c>
      <c r="FX62" s="15" t="str">
        <f t="shared" si="272"/>
        <v/>
      </c>
      <c r="FY62" s="15" t="str">
        <f t="shared" si="272"/>
        <v/>
      </c>
      <c r="FZ62" s="15" t="str">
        <f t="shared" si="272"/>
        <v/>
      </c>
      <c r="GA62" s="15" t="str">
        <f t="shared" si="272"/>
        <v/>
      </c>
      <c r="GB62" s="15" t="str">
        <f t="shared" si="272"/>
        <v/>
      </c>
      <c r="GC62" s="15" t="str">
        <f t="shared" si="272"/>
        <v/>
      </c>
      <c r="GD62" s="15" t="str">
        <f t="shared" si="272"/>
        <v/>
      </c>
      <c r="GE62" s="15" t="str">
        <f t="shared" si="272"/>
        <v/>
      </c>
      <c r="GF62" s="15" t="str">
        <f t="shared" si="272"/>
        <v/>
      </c>
      <c r="GG62" s="15" t="str">
        <f t="shared" si="272"/>
        <v/>
      </c>
      <c r="GH62" s="15" t="str">
        <f t="shared" si="272"/>
        <v/>
      </c>
      <c r="GI62" s="15"/>
      <c r="GJ62" s="15"/>
      <c r="GK62" s="15"/>
      <c r="GL62" s="15"/>
      <c r="GM62" s="15"/>
      <c r="GN62" s="15"/>
      <c r="GO62" s="15"/>
      <c r="GP62" s="15"/>
      <c r="GQ62" s="15"/>
      <c r="GR62" s="15"/>
      <c r="GS62" s="15"/>
      <c r="GT62" s="15"/>
      <c r="GU62" s="15"/>
      <c r="GV62" s="15"/>
      <c r="GW62" s="15"/>
      <c r="GX62" s="15"/>
      <c r="GY62" s="15"/>
      <c r="GZ62" s="15"/>
      <c r="HA62" s="15" t="str">
        <f>IF($F61="Hybrid - Thrust + 2 connections",COUNTBLANK(J61:L61),"")</f>
        <v/>
      </c>
      <c r="HB62" s="15"/>
      <c r="HC62" s="5"/>
      <c r="HD62" s="5"/>
      <c r="HE62" s="5"/>
      <c r="HF62" s="5"/>
    </row>
    <row r="63" spans="1:214" ht="12.75" hidden="1" customHeight="1" x14ac:dyDescent="0.3">
      <c r="A63" s="118" t="str">
        <f>IF(AND(E61="",A61&lt;&gt;""),IF(CP61=$CP$18,"",IF(C61&lt;&gt;"",IF(D61=59,MINUTE(CP61)+1,MINUTE(CP61)),"")),"")</f>
        <v/>
      </c>
      <c r="B63" s="119" t="str">
        <f>IF(AND(E61="",B61&lt;&gt;""),IF(CP61=$CP$18,"",IF(C61&lt;&gt;"",IF(D61=59,0,SECOND(CP61)+1),"")),"")</f>
        <v/>
      </c>
      <c r="C63" s="119"/>
      <c r="D63" s="119"/>
      <c r="E63" s="119"/>
      <c r="F63" s="57"/>
      <c r="G63" s="120" t="str">
        <f>IF(F63&lt;&gt;"",IF(OR(F63="Transition",F63="Transition - Surface Connection"),0,MAX($G$19:G62)+1),"")</f>
        <v/>
      </c>
      <c r="H63" s="223" t="str">
        <f>IFERROR(IF(E64="3","",IF(OR(F63="Hybrid - min 4 swimmers (no DD)",LEFT(F63,5)="Trans"),"No DD",CONCATENATE("BM = ",I64))),"")</f>
        <v/>
      </c>
      <c r="I63" s="224"/>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2"/>
      <c r="AO63" s="123"/>
      <c r="AP63" s="52"/>
      <c r="AQ63" s="52"/>
      <c r="AR63" s="12"/>
      <c r="AS63" s="12"/>
      <c r="AT63" s="12"/>
      <c r="AU63" s="12"/>
      <c r="AV63" s="12"/>
      <c r="AW63" s="12"/>
      <c r="AX63" s="12"/>
      <c r="AY63" s="12"/>
      <c r="AZ63" s="12"/>
      <c r="BA63" s="12"/>
      <c r="BB63" s="12"/>
      <c r="BC63" s="12"/>
      <c r="BD63" s="12"/>
      <c r="BE63" s="12"/>
      <c r="BF63" s="12"/>
      <c r="BG63" s="12" t="str">
        <f t="array" ref="BG63">IFERROR(IF(F63&lt;&gt;"",INDEX(Parts_Active,MATCH(F63,Parts_Active,0)),""),"No")</f>
        <v/>
      </c>
      <c r="BH63" s="12"/>
      <c r="BI63" s="12" t="str">
        <f t="shared" ref="BI63:BK63" si="273">IF($E64="H",IF($F63="Hybrid - Thrust + 2 connections","Hybrid_Mix_Req","HybridDD_Code"),IF($E64=3,"TreDD_Code",IF($E64="PA","AcroPair_Code",IF(LEFT($F63,4)="Acro",CONCATENATE(BI$16,$E64,"_Code"),"Data!$BI$1:$BI$5"))))</f>
        <v>Data!$BI$1:$BI$5</v>
      </c>
      <c r="BJ63" s="12" t="str">
        <f t="shared" si="273"/>
        <v>Data!$BI$1:$BI$5</v>
      </c>
      <c r="BK63" s="12" t="str">
        <f t="shared" si="273"/>
        <v>Data!$BI$1:$BI$5</v>
      </c>
      <c r="BL63" s="12" t="str">
        <f t="shared" ref="BL63:BQ63" si="274">IF($E64="H",IF($F63="Hybrid - Thrust + 2 connections","Data!$BI$1:$BI$5","HybridDD_Code"),IF($E64=3,"Data!$BI$1:$BI$5",IF(LEFT($F63,4)="Acro",CONCATENATE(BL$16,$E64,"_Code"),IF($E64="PA","","Data!$BI$1:$BI$5"))))</f>
        <v>Data!$BI$1:$BI$5</v>
      </c>
      <c r="BM63" s="12" t="str">
        <f t="shared" si="274"/>
        <v>Data!$BI$1:$BI$5</v>
      </c>
      <c r="BN63" s="12" t="str">
        <f t="shared" si="274"/>
        <v>Data!$BI$1:$BI$5</v>
      </c>
      <c r="BO63" s="12" t="str">
        <f t="shared" si="274"/>
        <v>Data!$BI$1:$BI$5</v>
      </c>
      <c r="BP63" s="12" t="str">
        <f t="shared" si="274"/>
        <v>Data!$BI$1:$BI$5</v>
      </c>
      <c r="BQ63" s="12" t="str">
        <f t="shared" si="274"/>
        <v>Data!$BI$1:$BI$5</v>
      </c>
      <c r="BR63" s="12" t="str">
        <f>IF($E64="H",IF($F63="Hybrid - Thrust + 2 connections","Data!$BI$1:$BI$5","HybridDD_Code"),"Data!$BI$1:$BI$5")</f>
        <v>Data!$BI$1:$BI$5</v>
      </c>
      <c r="BS63" s="12" t="str">
        <f t="shared" ref="BS63:CB63" si="275">$BR63</f>
        <v>Data!$BI$1:$BI$5</v>
      </c>
      <c r="BT63" s="12" t="str">
        <f t="shared" si="275"/>
        <v>Data!$BI$1:$BI$5</v>
      </c>
      <c r="BU63" s="12" t="str">
        <f t="shared" si="275"/>
        <v>Data!$BI$1:$BI$5</v>
      </c>
      <c r="BV63" s="12" t="str">
        <f t="shared" si="275"/>
        <v>Data!$BI$1:$BI$5</v>
      </c>
      <c r="BW63" s="12" t="str">
        <f t="shared" si="275"/>
        <v>Data!$BI$1:$BI$5</v>
      </c>
      <c r="BX63" s="12" t="str">
        <f t="shared" si="275"/>
        <v>Data!$BI$1:$BI$5</v>
      </c>
      <c r="BY63" s="12" t="str">
        <f t="shared" si="275"/>
        <v>Data!$BI$1:$BI$5</v>
      </c>
      <c r="BZ63" s="12" t="str">
        <f t="shared" si="275"/>
        <v>Data!$BI$1:$BI$5</v>
      </c>
      <c r="CA63" s="12" t="str">
        <f t="shared" si="275"/>
        <v>Data!$BI$1:$BI$5</v>
      </c>
      <c r="CB63" s="12" t="str">
        <f t="shared" si="275"/>
        <v>Data!$BI$1:$BI$5</v>
      </c>
      <c r="CC63" s="12"/>
      <c r="CD63" s="12"/>
      <c r="CE63" s="12"/>
      <c r="CF63" s="12"/>
      <c r="CG63" s="12"/>
      <c r="CH63" s="12"/>
      <c r="CI63" s="12"/>
      <c r="CJ63" s="12"/>
      <c r="CK63" s="12"/>
      <c r="CL63" s="12"/>
      <c r="CM63" s="12"/>
      <c r="CN63" s="12"/>
      <c r="CO63" s="63" t="str">
        <f>IFERROR(TIME(0,A63,B63),"")</f>
        <v/>
      </c>
      <c r="CP63" s="63">
        <f>IFERROR(TIME(0,C63,D63),"")</f>
        <v>0</v>
      </c>
      <c r="CQ63" s="63" t="str">
        <f>IF(CP63&gt;$D$12,"X","")</f>
        <v/>
      </c>
      <c r="CR63" s="15" t="str">
        <f>IF(AND(F63="Hybrid - Thrust + 2 connections",OR(LEFT(J63,1)="T",LEFT(K63,1)="T",LEFT(L63,1)="T",LEFT(OY63,1)="T",LEFT(M63,1)="T",LEFT(N63,1)="T",LEFT(O63,1)="T",LEFT(P63,1)="T",LEFT(Q63,1)="T",LEFT(R63,1)="T",LEFT(S63,1)="T",LEFT(T63,1)="T",LEFT(U63,1)="T",LEFT(V63,1)="T",LEFT(W63,1)="T",LEFT(X63,1)="T",LEFT(AK63,1)="T",LEFT(AL63,1)="T",LEFT(AM63,1)="T")),IF(OR(LEN(J63)=2,LEN(K63)=2,LEN(L63)=2,LEN(M63)=2,LEN(N63)=2,LEN(O63)=2,LEN(P63)=2,LEN(Q63)=2,LEN(R63)=2,LEN(S63)=2,LEN(T63)=2,LEN(U63)=2,LEN(V63)=2,LEN(W63)=2,LEN(X63)=2,LEN(Y63)=2,LEN(Z63)=2,LEN(AK63)=2,LEN(AL63)=2,LEN(AM63)=2),"X",""),"")</f>
        <v/>
      </c>
      <c r="CS63" s="5"/>
      <c r="CT63" s="15" t="str">
        <f>IF(LEFT(F63,4)="Acro",IF(AND(N63&lt;&gt;"",M63=RIGHT(N63,2)),"X","OK"),"")</f>
        <v/>
      </c>
      <c r="CU63" s="12" t="str">
        <f t="array" ref="CU63">IFERROR(IF(AND(LEFT($F63,4)="Acro",INDEX(Requ_App,MATCH(BI63,Requ_Code,0))="No"),"X",""),"")</f>
        <v/>
      </c>
      <c r="CV63" s="12" t="str">
        <f t="array" ref="CV63">IFERROR(IF(AND(LEFT($F63,4)="Acro",INDEX(Requ_App,MATCH(BJ63,Requ_Code,0))="No"),"X",""),"")</f>
        <v/>
      </c>
      <c r="CW63" s="12" t="str">
        <f t="array" ref="CW63">IFERROR(IF(AND(LEFT($F63,4)="Acro",INDEX(Requ_App,MATCH(BK63,Requ_Code,0))="No"),"X",""),"")</f>
        <v/>
      </c>
      <c r="CX63" s="12" t="str">
        <f t="array" ref="CX63">IFERROR(IF(AND(LEFT($F63,4)="Acro",INDEX(Requ_App,MATCH(BL63,Requ_Code,0))="No"),"X",""),"")</f>
        <v/>
      </c>
      <c r="CY63" s="12" t="str">
        <f t="array" ref="CY63">IFERROR(IF(AND(LEFT($F63,4)="Acro",INDEX(Requ_App,MATCH(BM63,Requ_Code,0))="No"),"X",""),"")</f>
        <v/>
      </c>
      <c r="CZ63" s="12" t="str">
        <f t="array" ref="CZ63">IFERROR(IF(AND(LEFT($F63,4)="Acro",INDEX(Requ_App,MATCH(BN63,Requ_Code,0))="No"),"X",""),"")</f>
        <v/>
      </c>
      <c r="DA63" s="12" t="str">
        <f t="array" ref="DA63">IFERROR(IF(AND(LEFT($F63,4)="Acro",INDEX(Requ_App,MATCH(BO63,Requ_Code,0))="No"),"X",""),"")</f>
        <v/>
      </c>
      <c r="DB63" s="12" t="str">
        <f t="array" ref="DB63">IFERROR(IF(AND(LEFT($F63,4)="Acro",INDEX(Requ_App,MATCH(BP63,Requ_Code,0))="No"),"X",""),"")</f>
        <v/>
      </c>
      <c r="DC63" s="12" t="str">
        <f t="array" ref="DC63">IFERROR(IF(AND(LEFT($F63,4)="Acro",INDEX(Requ_App,MATCH(BP63,Requ_Code,0))="No"),"X",""),"")</f>
        <v/>
      </c>
      <c r="DD63" s="15" t="str">
        <f t="shared" si="10"/>
        <v/>
      </c>
      <c r="DE63" s="15" t="str">
        <f t="shared" si="11"/>
        <v/>
      </c>
      <c r="DF63" s="15" t="str">
        <f t="shared" si="12"/>
        <v/>
      </c>
      <c r="DG63" s="15" t="str">
        <f t="shared" si="13"/>
        <v/>
      </c>
      <c r="DH63" s="15"/>
      <c r="DI63" s="15"/>
      <c r="DJ63" s="15"/>
      <c r="DK63" s="15">
        <f>IF(AND(E64="A",OR(Q63="Grip",Q63="Conn",Q63="Catch")),"A1",IF(AND(E64="A",OR(Q63="Hula",Q63="RetSq",Q63="RetPa")),"A2",IF(AND(E64="B",OR(Q63="Twirl",Q63="RotF")),"B1",IF(AND(E64="B",OR(Q63="Moon",Q63="Mov")),"B2",IF(AND(E64="B",Q63="Hold"),"B3",IF(AND(E64="P",OR(Q63="Porp",Q63="Spitch")),"P1",IF(AND(E64="P",OR(Q63="Dive",Q63="Ps1",Q63="Ps1t0.5",Q63="Ps1op",Q63="Ps1t0,5o",Q63="Ps1t1",Q63="CH+")),"P2",IF(AND(E64="P",OR(Q63="Spider",Q63="Climb")),"P3",IF(AND(E64="P",OR(Q63="Fall",Q63="FTurn")),"P4",IF(AND(E64="C",OR(Q63="Jump",Q63="Jump&gt;",Q63="On1Foot",Q63="1F&gt;1F")),"C1",IF(AND(E64="C",OR(Q63="Run",Q63="BRun")),"C2",1)))))))))))</f>
        <v>1</v>
      </c>
      <c r="DL63" s="15">
        <f>IF(AND(E64="A",OR(R63="Grip",R63="Conn",R63="Catch")),"A1",IF(AND(E64="A",OR(R63="Hula",R63="RetSq",R63="RetPa")),"A2",IF(AND(E64="B",OR(R63="Twirl",R63="RotF")),"B1",IF(AND(E64="B",OR(R63="Moon",R63="Mov")),"B3",IF(AND(E64="B",R63="Hold"),"B2",IF(AND(E64="P",OR(R63="Porp",R63="Spitch")),"P1",IF(AND(E64="P",OR(R63="Dive",R63="Ps1",R63="Ps1t0.5",R63="Ps1op",R63="Ps1t0,5o",R63="Ps1t1",R63="CH+")),"P2",IF(AND(E64="P",OR(R63="Spider",R63="Climb")),"P3",IF(AND(E64="P",OR(R63="Fall",R63="FTurn")),"P4",IF(AND(E64="C",OR(R63="Jump",R63="Jump&gt;",R63="On1Foot",R63="1F&gt;1F")),"C1",IF(AND(E64="C",OR(R63="Run",R63="BRun")),"C2",2)))))))))))</f>
        <v>2</v>
      </c>
      <c r="DM63" s="15" t="str">
        <f>IF(AND(LEFT(F63,4)="Acro",Q63&lt;&gt;"",OR(Q63=R63,DK63=DL63)),IF(R63="C-Roll","","X"),IF(OR(AND(E64="A",Q63="Catch",R63&lt;&gt;"Dbl"),AND(E64="A",R63="Catch",Q63&lt;&gt;"Dbl")),"X",""))</f>
        <v/>
      </c>
      <c r="DN63" s="15" t="str">
        <f>IF(E64="PA",J63,"")</f>
        <v/>
      </c>
      <c r="DO63" s="15">
        <v>45</v>
      </c>
      <c r="DP63" s="15"/>
      <c r="DQ63" s="15" t="str">
        <f t="shared" ref="DQ63:DR63" si="276">IF(AND($E64="A",COUNTIF($DZ$19:$EA$68,DZ63)&gt;1),DZ63,"")</f>
        <v/>
      </c>
      <c r="DR63" s="15" t="str">
        <f t="shared" si="276"/>
        <v/>
      </c>
      <c r="DS63" s="15" t="str">
        <f ca="1">IF(AND($E64="B",COUNTIF($J$19:$J$68,J63)&gt;1),J63,"")</f>
        <v/>
      </c>
      <c r="DT63" s="15" t="str">
        <f ca="1">IF(AND($E64="B",COUNTIF($K$19:$K$68,K63)&gt;1),K63,"")</f>
        <v/>
      </c>
      <c r="DU63" s="15" t="str">
        <f ca="1">IF(AND($E64="C",COUNTIF($J$19:$J$68,J63)&gt;1),J63,"")</f>
        <v/>
      </c>
      <c r="DV63" s="15" t="str">
        <f ca="1">IF(AND($E64="P",COUNTIF($J$19:$J$68,J63)&gt;1),J63,"")</f>
        <v/>
      </c>
      <c r="DW63" s="15" t="str">
        <f ca="1">IF(AND($E64="P",COUNTIF($K$19:$K$68,K63)&gt;1),K63,"")</f>
        <v/>
      </c>
      <c r="DX63" s="15" t="str">
        <f t="shared" ref="DX63:DY63" si="277">IF(AND($E64="P",COUNTIF($DZ$19:$EA$68,DZ63)&gt;1),DZ63,"")</f>
        <v/>
      </c>
      <c r="DY63" s="15" t="str">
        <f t="shared" si="277"/>
        <v/>
      </c>
      <c r="DZ63" s="15" t="str">
        <f>IFERROR(IF(OR(E64="A",E64="P"),M63,""),"")</f>
        <v/>
      </c>
      <c r="EA63" s="15" t="str">
        <f>IFERROR(IF(OR(E64="A",E64="P"),RIGHT(N63,2),""),"")</f>
        <v/>
      </c>
      <c r="EB63" s="15"/>
      <c r="EC63" s="15" t="str">
        <f>IF(AND($F$8="Open Team Acrobatic",LEFT(F63,4)="Acro"),E64,"")</f>
        <v/>
      </c>
      <c r="ED63" s="15" t="str">
        <f>IFERROR(IF(HLOOKUP(EC63,$DQ$12:$DT$13,2,FALSE)&gt;2,"X",""),"")</f>
        <v/>
      </c>
      <c r="EE63" s="15"/>
      <c r="EF63" s="15" t="str">
        <f>IF(OR(AND(F63="Hybrid - Thrust + 2 connections",EF64="T"),AND(F63="Hybrid - Free",EF64&lt;&gt;"")),"X","")</f>
        <v/>
      </c>
      <c r="EG63" s="15"/>
      <c r="EH63" s="15">
        <f t="shared" ref="EH63:EX63" si="278">IFERROR(IF(AND($E64="H",J63&lt;&gt;""),IF(OR(LEFT(J63,1)="T",LEFT(J63,1)="S",LEFT(J63,1)="A",LEFT(J63,1)="F",LEFT(J63,1)="C"),LEFT(J63,1),"R"),EH$18),"")</f>
        <v>1</v>
      </c>
      <c r="EI63" s="15">
        <f t="shared" si="278"/>
        <v>2</v>
      </c>
      <c r="EJ63" s="15">
        <f t="shared" si="278"/>
        <v>3</v>
      </c>
      <c r="EK63" s="15">
        <f t="shared" si="278"/>
        <v>4</v>
      </c>
      <c r="EL63" s="15">
        <f t="shared" si="278"/>
        <v>5</v>
      </c>
      <c r="EM63" s="15">
        <f t="shared" si="278"/>
        <v>6</v>
      </c>
      <c r="EN63" s="15">
        <f t="shared" si="278"/>
        <v>7</v>
      </c>
      <c r="EO63" s="15">
        <f t="shared" si="278"/>
        <v>8</v>
      </c>
      <c r="EP63" s="15">
        <f t="shared" si="278"/>
        <v>9</v>
      </c>
      <c r="EQ63" s="15">
        <f t="shared" si="278"/>
        <v>10</v>
      </c>
      <c r="ER63" s="15">
        <f t="shared" si="278"/>
        <v>11</v>
      </c>
      <c r="ES63" s="15">
        <f t="shared" si="278"/>
        <v>12</v>
      </c>
      <c r="ET63" s="15">
        <f t="shared" si="278"/>
        <v>13</v>
      </c>
      <c r="EU63" s="15">
        <f t="shared" si="278"/>
        <v>14</v>
      </c>
      <c r="EV63" s="15">
        <f t="shared" si="278"/>
        <v>15</v>
      </c>
      <c r="EW63" s="15">
        <f t="shared" si="278"/>
        <v>16</v>
      </c>
      <c r="EX63" s="15">
        <f t="shared" si="278"/>
        <v>17</v>
      </c>
      <c r="EY63" s="15">
        <f t="shared" ref="EY63:FA63" si="279">IFERROR(IF(AND($E64="H",AK63&lt;&gt;""),IF(OR(LEFT(AK63,1)="T",LEFT(AK63,1)="S",LEFT(AK63,1)="A",LEFT(AK63,1)="F",LEFT(AK63,1)="C"),LEFT(AK63,1),"R"),EY$18),"")</f>
        <v>18</v>
      </c>
      <c r="EZ63" s="15">
        <f t="shared" si="279"/>
        <v>19</v>
      </c>
      <c r="FA63" s="15">
        <f t="shared" si="279"/>
        <v>20</v>
      </c>
      <c r="FB63" s="15"/>
      <c r="FC63" s="15"/>
      <c r="FD63" s="15"/>
      <c r="FE63" s="15"/>
      <c r="FF63" s="15"/>
      <c r="FG63" s="15"/>
      <c r="FH63" s="15"/>
      <c r="FI63" s="15"/>
      <c r="FJ63" s="15"/>
      <c r="FK63" s="15"/>
      <c r="FL63" s="15"/>
      <c r="FM63" s="15"/>
      <c r="FN63" s="15"/>
      <c r="FO63" s="15">
        <f t="shared" ref="FO63:GE63" si="280">IFERROR(IF(J63&lt;&gt;"",UPPER(J63),FO$18),FO$18)</f>
        <v>1</v>
      </c>
      <c r="FP63" s="15">
        <f t="shared" si="280"/>
        <v>2</v>
      </c>
      <c r="FQ63" s="15">
        <f t="shared" si="280"/>
        <v>3</v>
      </c>
      <c r="FR63" s="15">
        <f t="shared" si="280"/>
        <v>4</v>
      </c>
      <c r="FS63" s="15">
        <f t="shared" si="280"/>
        <v>5</v>
      </c>
      <c r="FT63" s="15">
        <f t="shared" si="280"/>
        <v>6</v>
      </c>
      <c r="FU63" s="15">
        <f t="shared" si="280"/>
        <v>7</v>
      </c>
      <c r="FV63" s="15">
        <f t="shared" si="280"/>
        <v>8</v>
      </c>
      <c r="FW63" s="15">
        <f t="shared" si="280"/>
        <v>9</v>
      </c>
      <c r="FX63" s="15">
        <f t="shared" si="280"/>
        <v>10</v>
      </c>
      <c r="FY63" s="15">
        <f t="shared" si="280"/>
        <v>11</v>
      </c>
      <c r="FZ63" s="15">
        <f t="shared" si="280"/>
        <v>12</v>
      </c>
      <c r="GA63" s="15">
        <f t="shared" si="280"/>
        <v>13</v>
      </c>
      <c r="GB63" s="15">
        <f t="shared" si="280"/>
        <v>14</v>
      </c>
      <c r="GC63" s="15">
        <f t="shared" si="280"/>
        <v>15</v>
      </c>
      <c r="GD63" s="15">
        <f t="shared" si="280"/>
        <v>16</v>
      </c>
      <c r="GE63" s="15">
        <f t="shared" si="280"/>
        <v>17</v>
      </c>
      <c r="GF63" s="15">
        <f t="shared" ref="GF63:GH63" si="281">IFERROR(IF(AK63&lt;&gt;"",UPPER(AK63),GF$18),GF$18)</f>
        <v>18</v>
      </c>
      <c r="GG63" s="15">
        <f t="shared" si="281"/>
        <v>19</v>
      </c>
      <c r="GH63" s="15">
        <f t="shared" si="281"/>
        <v>20</v>
      </c>
      <c r="GI63" s="15"/>
      <c r="GJ63" s="15"/>
      <c r="GK63" s="15"/>
      <c r="GL63" s="15"/>
      <c r="GM63" s="15"/>
      <c r="GN63" s="15"/>
      <c r="GO63" s="15"/>
      <c r="GP63" s="15"/>
      <c r="GQ63" s="15"/>
      <c r="GR63" s="15"/>
      <c r="GS63" s="15"/>
      <c r="GT63" s="15">
        <f t="shared" ref="GT63:GY63" si="282">COUNTIF($EH63:$FA63,GT$18)</f>
        <v>0</v>
      </c>
      <c r="GU63" s="15">
        <f t="shared" si="282"/>
        <v>0</v>
      </c>
      <c r="GV63" s="15">
        <f t="shared" si="282"/>
        <v>0</v>
      </c>
      <c r="GW63" s="15">
        <f t="shared" si="282"/>
        <v>0</v>
      </c>
      <c r="GX63" s="15">
        <f t="shared" si="282"/>
        <v>0</v>
      </c>
      <c r="GY63" s="15">
        <f t="shared" si="282"/>
        <v>0</v>
      </c>
      <c r="GZ63" s="15"/>
      <c r="HA63" s="15" t="str">
        <f>IF(AND($F63="Hybrid - Thrust + 2 connections",HA64=0,LEFT($J63,1)="C",LEFT($K63,1)="C",LEFT($L63,1)="C"),"X","")</f>
        <v/>
      </c>
      <c r="HB63" s="15"/>
      <c r="HC63" s="5"/>
      <c r="HD63" s="124"/>
      <c r="HE63" s="124"/>
      <c r="HF63" s="5" t="str">
        <f>IF(E64=3,_xludf.NUMBERVALUE(LEFT(J63,1)),"")</f>
        <v/>
      </c>
    </row>
    <row r="64" spans="1:214" ht="12.75" hidden="1" customHeight="1" x14ac:dyDescent="0.3">
      <c r="A64" s="118"/>
      <c r="B64" s="119"/>
      <c r="C64" s="119"/>
      <c r="D64" s="119"/>
      <c r="E64" s="50" t="str">
        <f>IF(F63="Acrobatic - Pair","PA",IF(F63="Acrobatic Airborn","A",IF(F63="Acrobatic Balance","B",IF(F63="Acrobatic Combined","C",IF(F63="Acrobatic Platform","P",IF(F63="Technical Required Element",3,IF(LEFT(F63,4)="Hybr","H","")))))))</f>
        <v/>
      </c>
      <c r="F64" s="50" t="str">
        <f>IF(AND(F63="Hybrid - Thrust + 2 connections",CR63="X"),"Hybrid - Thrust",IF(OR(E64="A",E64="B",E64="C",E64="P"),"Acrobatic",""))</f>
        <v/>
      </c>
      <c r="G64" s="120"/>
      <c r="H64" s="126" t="str">
        <f>IF(E64="PA",IF(OR(LEFT(J63,1)="L",LEFT(J63,1)="S"),"A-Pair-Lift",IF(OR(LEFT(J63,1)="W",LEFT(J63,1)="T"),"A-Pair-Throw",IF(LEFT(J63,1)="J","A-Pair-Jump","A-Pair"))),IF(OR(E64="A",E64="B",E64="C",E64="P"),CONCATENATE("Acro-",E64),""))</f>
        <v/>
      </c>
      <c r="I64" s="127" t="e">
        <f t="array" ref="I64">IF(OR(F63="Hybrid - min 4 swimmers (no DD)",LEFT(F63,5)="Trans"),0,INDEX($BY$3:$BY$9,MATCH(E64,$BX$3:$BX$9,0)))</f>
        <v>#N/A</v>
      </c>
      <c r="J64" s="128">
        <f t="shared" ref="J64:Z64" ca="1" si="283">IFERROR(IF($H63="No DD",0,IF(OR(ISBLANK(J63),J63="N/A"),0,INDEX(INDIRECT(BI64),MATCH(J63,INDIRECT(BI63),0)))),0)</f>
        <v>0</v>
      </c>
      <c r="K64" s="128">
        <f t="shared" ca="1" si="283"/>
        <v>0</v>
      </c>
      <c r="L64" s="128">
        <f t="shared" ca="1" si="283"/>
        <v>0</v>
      </c>
      <c r="M64" s="128">
        <f t="shared" ca="1" si="283"/>
        <v>0</v>
      </c>
      <c r="N64" s="128">
        <f t="shared" ca="1" si="283"/>
        <v>0</v>
      </c>
      <c r="O64" s="128">
        <f t="shared" ca="1" si="283"/>
        <v>0</v>
      </c>
      <c r="P64" s="128">
        <f t="shared" ca="1" si="283"/>
        <v>0</v>
      </c>
      <c r="Q64" s="128">
        <f t="shared" ca="1" si="283"/>
        <v>0</v>
      </c>
      <c r="R64" s="128">
        <f t="shared" ca="1" si="283"/>
        <v>0</v>
      </c>
      <c r="S64" s="128">
        <f t="shared" ca="1" si="283"/>
        <v>0</v>
      </c>
      <c r="T64" s="128">
        <f t="shared" ca="1" si="283"/>
        <v>0</v>
      </c>
      <c r="U64" s="128">
        <f t="shared" ca="1" si="283"/>
        <v>0</v>
      </c>
      <c r="V64" s="128">
        <f t="shared" ca="1" si="283"/>
        <v>0</v>
      </c>
      <c r="W64" s="128">
        <f t="shared" ca="1" si="283"/>
        <v>0</v>
      </c>
      <c r="X64" s="128">
        <f t="shared" ca="1" si="283"/>
        <v>0</v>
      </c>
      <c r="Y64" s="128">
        <f t="shared" ca="1" si="283"/>
        <v>0</v>
      </c>
      <c r="Z64" s="128">
        <f t="shared" ca="1" si="283"/>
        <v>0</v>
      </c>
      <c r="AA64" s="128">
        <f t="shared" ref="AA64:AB64" ca="1" si="284">IFERROR(IF($H63="No DD",0,IF(OR(ISBLANK(AA63),AA63="N/A"),0,INDEX(INDIRECT(BX64),MATCH(AA63,INDIRECT(BX63),0)))),0)</f>
        <v>0</v>
      </c>
      <c r="AB64" s="128">
        <f t="shared" ca="1" si="284"/>
        <v>0</v>
      </c>
      <c r="AC64" s="128">
        <f t="shared" ref="AC64:AD64" ca="1" si="285">IFERROR(IF($H63="No DD",0,IF(OR(ISBLANK(AC63),AC63="N/A"),0,INDEX(INDIRECT(BX64),MATCH(AC63,INDIRECT(BX63),0)))),0)</f>
        <v>0</v>
      </c>
      <c r="AD64" s="128">
        <f t="shared" ca="1" si="285"/>
        <v>0</v>
      </c>
      <c r="AE64" s="128">
        <f t="shared" ref="AE64:AF64" ca="1" si="286">IFERROR(IF($H63="No DD",0,IF(OR(ISBLANK(AE63),AE63="N/A"),0,INDEX(INDIRECT(BX64),MATCH(AE63,INDIRECT(BX63),0)))),0)</f>
        <v>0</v>
      </c>
      <c r="AF64" s="128">
        <f t="shared" ca="1" si="286"/>
        <v>0</v>
      </c>
      <c r="AG64" s="128">
        <f t="shared" ref="AG64:AH64" ca="1" si="287">IFERROR(IF($H63="No DD",0,IF(OR(ISBLANK(AG63),AG63="N/A"),0,INDEX(INDIRECT(BX64),MATCH(AG63,INDIRECT(BX63),0)))),0)</f>
        <v>0</v>
      </c>
      <c r="AH64" s="128">
        <f t="shared" ca="1" si="287"/>
        <v>0</v>
      </c>
      <c r="AI64" s="128">
        <f t="shared" ref="AI64:AM64" ca="1" si="288">IFERROR(IF($H63="No DD",0,IF(OR(ISBLANK(AI63),AI63="N/A"),0,INDEX(INDIRECT(BX64),MATCH(AI63,INDIRECT(BX63),0)))),0)</f>
        <v>0</v>
      </c>
      <c r="AJ64" s="128">
        <f t="shared" ca="1" si="288"/>
        <v>0</v>
      </c>
      <c r="AK64" s="128">
        <f t="shared" ca="1" si="288"/>
        <v>0</v>
      </c>
      <c r="AL64" s="128">
        <f t="shared" ca="1" si="288"/>
        <v>0</v>
      </c>
      <c r="AM64" s="128">
        <f t="shared" ca="1" si="288"/>
        <v>0</v>
      </c>
      <c r="AN64" s="129" t="str">
        <f t="array" ref="AN64">IFERROR(IF(E64="H",INDEX(HybridBonus_Value,MATCH(AN63,HybridBonus_Code,0)),""),"")</f>
        <v/>
      </c>
      <c r="AO64" s="130" t="str">
        <f>IFERROR(IF(J63&lt;&gt;"",SUM(I64:AN64),""),"")</f>
        <v/>
      </c>
      <c r="AP64" s="132"/>
      <c r="AQ64" s="132"/>
      <c r="AR64" s="131"/>
      <c r="AS64" s="131"/>
      <c r="AT64" s="131"/>
      <c r="AU64" s="131"/>
      <c r="AV64" s="131"/>
      <c r="AW64" s="131"/>
      <c r="AX64" s="131"/>
      <c r="AY64" s="131"/>
      <c r="AZ64" s="131"/>
      <c r="BA64" s="131"/>
      <c r="BB64" s="131"/>
      <c r="BC64" s="131"/>
      <c r="BD64" s="131"/>
      <c r="BE64" s="131"/>
      <c r="BF64" s="131"/>
      <c r="BG64" s="12"/>
      <c r="BH64" s="131"/>
      <c r="BI64" s="5" t="str">
        <f>IF($E64="H","HybridDD_Value",IF($E64=3,"TreDD_Value",IF($E64="PA","AcroPair_Value",IF(LEFT($F63,4)="Acro",CONCATENATE(BI$16,$E64,"_Value"),""))))</f>
        <v/>
      </c>
      <c r="BJ64" s="5" t="str">
        <f t="shared" ref="BJ64:BQ64" si="289">IF($E64="H","HybridDD_Value",IF($E64=3,"",IF(LEFT($F63,4)="Acro",CONCATENATE(BJ$16,$E64,"_Value"),IF($E64="PA","",""))))</f>
        <v/>
      </c>
      <c r="BK64" s="5" t="str">
        <f t="shared" si="289"/>
        <v/>
      </c>
      <c r="BL64" s="5" t="str">
        <f t="shared" si="289"/>
        <v/>
      </c>
      <c r="BM64" s="5" t="str">
        <f t="shared" si="289"/>
        <v/>
      </c>
      <c r="BN64" s="5" t="str">
        <f t="shared" si="289"/>
        <v/>
      </c>
      <c r="BO64" s="5" t="str">
        <f t="shared" si="289"/>
        <v/>
      </c>
      <c r="BP64" s="5" t="str">
        <f t="shared" si="289"/>
        <v/>
      </c>
      <c r="BQ64" s="5" t="str">
        <f t="shared" si="289"/>
        <v/>
      </c>
      <c r="BR64" s="12" t="str">
        <f>IF($E64="H","HybridDD_Value","Data!$BI$1:$BI$5")</f>
        <v>Data!$BI$1:$BI$5</v>
      </c>
      <c r="BS64" s="12" t="str">
        <f t="shared" ref="BS64:CB64" si="290">$BR64</f>
        <v>Data!$BI$1:$BI$5</v>
      </c>
      <c r="BT64" s="12" t="str">
        <f t="shared" si="290"/>
        <v>Data!$BI$1:$BI$5</v>
      </c>
      <c r="BU64" s="12" t="str">
        <f t="shared" si="290"/>
        <v>Data!$BI$1:$BI$5</v>
      </c>
      <c r="BV64" s="12" t="str">
        <f t="shared" si="290"/>
        <v>Data!$BI$1:$BI$5</v>
      </c>
      <c r="BW64" s="12" t="str">
        <f t="shared" si="290"/>
        <v>Data!$BI$1:$BI$5</v>
      </c>
      <c r="BX64" s="12" t="str">
        <f t="shared" si="290"/>
        <v>Data!$BI$1:$BI$5</v>
      </c>
      <c r="BY64" s="12" t="str">
        <f t="shared" si="290"/>
        <v>Data!$BI$1:$BI$5</v>
      </c>
      <c r="BZ64" s="12" t="str">
        <f t="shared" si="290"/>
        <v>Data!$BI$1:$BI$5</v>
      </c>
      <c r="CA64" s="12" t="str">
        <f t="shared" si="290"/>
        <v>Data!$BI$1:$BI$5</v>
      </c>
      <c r="CB64" s="12" t="str">
        <f t="shared" si="290"/>
        <v>Data!$BI$1:$BI$5</v>
      </c>
      <c r="CC64" s="12"/>
      <c r="CD64" s="12"/>
      <c r="CE64" s="12"/>
      <c r="CF64" s="12"/>
      <c r="CG64" s="12"/>
      <c r="CH64" s="12"/>
      <c r="CI64" s="12"/>
      <c r="CJ64" s="12"/>
      <c r="CK64" s="12"/>
      <c r="CL64" s="12"/>
      <c r="CM64" s="131"/>
      <c r="CN64" s="131"/>
      <c r="CO64" s="124" t="str">
        <f>IFERROR(IF(AND($BV$6="T",$BV$8="T",LEFT(F63,4)="Acro",AO64&gt;3),"X",IF($N$7="X",IF(AND(E64="C",AO64&gt;$CN$6),"X",IF(AND(E64="A",AO64&gt;$CN$4),"X",IF(AND(E64="B",AO64&gt;$CN$5),"X",IF(AND(E64="P",AO64&gt;$CN$7),"X","")))),"")),"")</f>
        <v/>
      </c>
      <c r="CP64" s="63"/>
      <c r="CQ64" s="5"/>
      <c r="CR64" s="15"/>
      <c r="CS64" s="5"/>
      <c r="CT64" s="5"/>
      <c r="CU64" s="5"/>
      <c r="CV64" s="5"/>
      <c r="CW64" s="5"/>
      <c r="CX64" s="5"/>
      <c r="CY64" s="5"/>
      <c r="CZ64" s="5"/>
      <c r="DA64" s="15"/>
      <c r="DB64" s="15"/>
      <c r="DC64" s="15"/>
      <c r="DD64" s="15" t="str">
        <f t="shared" si="10"/>
        <v/>
      </c>
      <c r="DE64" s="15" t="str">
        <f t="shared" si="11"/>
        <v/>
      </c>
      <c r="DF64" s="15" t="str">
        <f t="shared" si="12"/>
        <v/>
      </c>
      <c r="DG64" s="15" t="str">
        <f t="shared" si="13"/>
        <v/>
      </c>
      <c r="DH64" s="15"/>
      <c r="DI64" s="15"/>
      <c r="DJ64" s="15"/>
      <c r="DK64" s="15"/>
      <c r="DL64" s="15"/>
      <c r="DM64" s="15"/>
      <c r="DN64" s="15"/>
      <c r="DO64" s="15">
        <v>46</v>
      </c>
      <c r="DP64" s="15"/>
      <c r="DQ64" s="15"/>
      <c r="DR64" s="15"/>
      <c r="DS64" s="15"/>
      <c r="DT64" s="15"/>
      <c r="DU64" s="15"/>
      <c r="DV64" s="15"/>
      <c r="DW64" s="15"/>
      <c r="DX64" s="15"/>
      <c r="DY64" s="15"/>
      <c r="DZ64" s="15"/>
      <c r="EA64" s="15"/>
      <c r="EB64" s="15"/>
      <c r="EC64" s="15"/>
      <c r="ED64" s="15"/>
      <c r="EE64" s="15"/>
      <c r="EF64" s="15" t="str">
        <f t="array" ref="EF64">IFERROR(INDEX(EH64:FA64,MATCH(TRUE,INDEX((EH64:FA64&lt;&gt;""),),0)),"")</f>
        <v/>
      </c>
      <c r="EG64" s="15"/>
      <c r="EH64" s="15" t="str">
        <f t="shared" ref="EH64:FA64" si="291">IF(F63="Hybrid - Thrust + 2 connections",IF(COUNTIF($EH63:$FA63,EH63)&gt;1,EH63,""),IF(COUNTIF($EH63:$FA63,EH63)&gt;5,EH63,""))</f>
        <v/>
      </c>
      <c r="EI64" s="15" t="str">
        <f t="shared" si="291"/>
        <v/>
      </c>
      <c r="EJ64" s="15" t="str">
        <f t="shared" si="291"/>
        <v/>
      </c>
      <c r="EK64" s="15" t="str">
        <f t="shared" si="291"/>
        <v/>
      </c>
      <c r="EL64" s="15" t="str">
        <f t="shared" si="291"/>
        <v/>
      </c>
      <c r="EM64" s="15" t="str">
        <f t="shared" si="291"/>
        <v/>
      </c>
      <c r="EN64" s="15" t="str">
        <f t="shared" si="291"/>
        <v/>
      </c>
      <c r="EO64" s="15" t="str">
        <f t="shared" si="291"/>
        <v/>
      </c>
      <c r="EP64" s="15" t="str">
        <f t="shared" si="291"/>
        <v/>
      </c>
      <c r="EQ64" s="15" t="str">
        <f t="shared" si="291"/>
        <v/>
      </c>
      <c r="ER64" s="15" t="str">
        <f t="shared" si="291"/>
        <v/>
      </c>
      <c r="ES64" s="15" t="str">
        <f t="shared" si="291"/>
        <v/>
      </c>
      <c r="ET64" s="15" t="str">
        <f t="shared" si="291"/>
        <v/>
      </c>
      <c r="EU64" s="15" t="str">
        <f t="shared" si="291"/>
        <v/>
      </c>
      <c r="EV64" s="15" t="str">
        <f t="shared" si="291"/>
        <v/>
      </c>
      <c r="EW64" s="15" t="str">
        <f t="shared" si="291"/>
        <v/>
      </c>
      <c r="EX64" s="15" t="str">
        <f t="shared" si="291"/>
        <v/>
      </c>
      <c r="EY64" s="15" t="str">
        <f t="shared" si="291"/>
        <v/>
      </c>
      <c r="EZ64" s="15" t="str">
        <f t="shared" si="291"/>
        <v/>
      </c>
      <c r="FA64" s="15" t="str">
        <f t="shared" si="291"/>
        <v/>
      </c>
      <c r="FB64" s="15"/>
      <c r="FC64" s="15"/>
      <c r="FD64" s="15"/>
      <c r="FE64" s="15"/>
      <c r="FF64" s="15"/>
      <c r="FG64" s="15"/>
      <c r="FH64" s="15"/>
      <c r="FI64" s="15"/>
      <c r="FJ64" s="15"/>
      <c r="FK64" s="15"/>
      <c r="FL64" s="15"/>
      <c r="FM64" s="15"/>
      <c r="FN64" s="15" t="str">
        <f t="array" ref="FN64">IFERROR(INDEX(FO64:GH64,MATCH(TRUE,INDEX((FO64:GH64&lt;&gt;""),),0)),"")</f>
        <v/>
      </c>
      <c r="FO64" s="15" t="str">
        <f t="shared" ref="FO64:GH64" si="292">IF(COUNTIF($FO63:$GH63,FO63)&gt;3,FO63,"")</f>
        <v/>
      </c>
      <c r="FP64" s="15" t="str">
        <f t="shared" si="292"/>
        <v/>
      </c>
      <c r="FQ64" s="15" t="str">
        <f t="shared" si="292"/>
        <v/>
      </c>
      <c r="FR64" s="15" t="str">
        <f t="shared" si="292"/>
        <v/>
      </c>
      <c r="FS64" s="15" t="str">
        <f t="shared" si="292"/>
        <v/>
      </c>
      <c r="FT64" s="15" t="str">
        <f t="shared" si="292"/>
        <v/>
      </c>
      <c r="FU64" s="15" t="str">
        <f t="shared" si="292"/>
        <v/>
      </c>
      <c r="FV64" s="15" t="str">
        <f t="shared" si="292"/>
        <v/>
      </c>
      <c r="FW64" s="15" t="str">
        <f t="shared" si="292"/>
        <v/>
      </c>
      <c r="FX64" s="15" t="str">
        <f t="shared" si="292"/>
        <v/>
      </c>
      <c r="FY64" s="15" t="str">
        <f t="shared" si="292"/>
        <v/>
      </c>
      <c r="FZ64" s="15" t="str">
        <f t="shared" si="292"/>
        <v/>
      </c>
      <c r="GA64" s="15" t="str">
        <f t="shared" si="292"/>
        <v/>
      </c>
      <c r="GB64" s="15" t="str">
        <f t="shared" si="292"/>
        <v/>
      </c>
      <c r="GC64" s="15" t="str">
        <f t="shared" si="292"/>
        <v/>
      </c>
      <c r="GD64" s="15" t="str">
        <f t="shared" si="292"/>
        <v/>
      </c>
      <c r="GE64" s="15" t="str">
        <f t="shared" si="292"/>
        <v/>
      </c>
      <c r="GF64" s="15" t="str">
        <f t="shared" si="292"/>
        <v/>
      </c>
      <c r="GG64" s="15" t="str">
        <f t="shared" si="292"/>
        <v/>
      </c>
      <c r="GH64" s="15" t="str">
        <f t="shared" si="292"/>
        <v/>
      </c>
      <c r="GI64" s="15"/>
      <c r="GJ64" s="15"/>
      <c r="GK64" s="15"/>
      <c r="GL64" s="15"/>
      <c r="GM64" s="15"/>
      <c r="GN64" s="15"/>
      <c r="GO64" s="15"/>
      <c r="GP64" s="15"/>
      <c r="GQ64" s="15"/>
      <c r="GR64" s="15"/>
      <c r="GS64" s="15"/>
      <c r="GT64" s="15"/>
      <c r="GU64" s="15"/>
      <c r="GV64" s="15"/>
      <c r="GW64" s="15"/>
      <c r="GX64" s="15"/>
      <c r="GY64" s="15"/>
      <c r="GZ64" s="15"/>
      <c r="HA64" s="15" t="str">
        <f>IF($F63="Hybrid - Thrust + 2 connections",COUNTBLANK(J63:L63),"")</f>
        <v/>
      </c>
      <c r="HB64" s="15"/>
      <c r="HC64" s="5"/>
      <c r="HD64" s="5"/>
      <c r="HE64" s="5"/>
      <c r="HF64" s="5"/>
    </row>
    <row r="65" spans="1:214" ht="12.75" hidden="1" customHeight="1" x14ac:dyDescent="0.3">
      <c r="A65" s="118" t="str">
        <f>IF(AND(E63="",A63&lt;&gt;""),IF(CP63=$CP$18,"",IF(C63&lt;&gt;"",IF(D63=59,MINUTE(CP63)+1,MINUTE(CP63)),"")),"")</f>
        <v/>
      </c>
      <c r="B65" s="119" t="str">
        <f>IF(AND(E63="",B63&lt;&gt;""),IF(CP63=$CP$18,"",IF(C63&lt;&gt;"",IF(D63=59,0,SECOND(CP63)+1),"")),"")</f>
        <v/>
      </c>
      <c r="C65" s="119"/>
      <c r="D65" s="119"/>
      <c r="E65" s="119"/>
      <c r="F65" s="57"/>
      <c r="G65" s="120" t="str">
        <f>IF(F65&lt;&gt;"",IF(OR(F65="Transition",F65="Transition - Surface Connection"),0,MAX($G$19:G64)+1),"")</f>
        <v/>
      </c>
      <c r="H65" s="223" t="str">
        <f>IFERROR(IF(E66="3","",IF(OR(F65="Hybrid - min 4 swimmers (no DD)",LEFT(F65,5)="Trans"),"No DD",CONCATENATE("BM = ",I66))),"")</f>
        <v/>
      </c>
      <c r="I65" s="224"/>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2"/>
      <c r="AO65" s="123"/>
      <c r="AP65" s="52"/>
      <c r="AQ65" s="52"/>
      <c r="AR65" s="12"/>
      <c r="AS65" s="12"/>
      <c r="AT65" s="12"/>
      <c r="AU65" s="12"/>
      <c r="AV65" s="12"/>
      <c r="AW65" s="12"/>
      <c r="AX65" s="12"/>
      <c r="AY65" s="12"/>
      <c r="AZ65" s="12"/>
      <c r="BA65" s="12"/>
      <c r="BB65" s="12"/>
      <c r="BC65" s="12"/>
      <c r="BD65" s="12"/>
      <c r="BE65" s="12"/>
      <c r="BF65" s="12"/>
      <c r="BG65" s="12" t="str">
        <f t="array" ref="BG65">IFERROR(IF(F65&lt;&gt;"",INDEX(Parts_Active,MATCH(F65,Parts_Active,0)),""),"No")</f>
        <v/>
      </c>
      <c r="BH65" s="12"/>
      <c r="BI65" s="12" t="str">
        <f t="shared" ref="BI65:BK65" si="293">IF($E66="H",IF($F65="Hybrid - Thrust + 2 connections","Hybrid_Mix_Req","HybridDD_Code"),IF($E66=3,"TreDD_Code",IF($E66="PA","AcroPair_Code",IF(LEFT($F65,4)="Acro",CONCATENATE(BI$16,$E66,"_Code"),"Data!$BI$1:$BI$5"))))</f>
        <v>Data!$BI$1:$BI$5</v>
      </c>
      <c r="BJ65" s="12" t="str">
        <f t="shared" si="293"/>
        <v>Data!$BI$1:$BI$5</v>
      </c>
      <c r="BK65" s="12" t="str">
        <f t="shared" si="293"/>
        <v>Data!$BI$1:$BI$5</v>
      </c>
      <c r="BL65" s="12" t="str">
        <f t="shared" ref="BL65:BQ65" si="294">IF($E66="H",IF($F65="Hybrid - Thrust + 2 connections","Data!$BI$1:$BI$5","HybridDD_Code"),IF($E66=3,"Data!$BI$1:$BI$5",IF(LEFT($F65,4)="Acro",CONCATENATE(BL$16,$E66,"_Code"),IF($E66="PA","","Data!$BI$1:$BI$5"))))</f>
        <v>Data!$BI$1:$BI$5</v>
      </c>
      <c r="BM65" s="12" t="str">
        <f t="shared" si="294"/>
        <v>Data!$BI$1:$BI$5</v>
      </c>
      <c r="BN65" s="12" t="str">
        <f t="shared" si="294"/>
        <v>Data!$BI$1:$BI$5</v>
      </c>
      <c r="BO65" s="12" t="str">
        <f t="shared" si="294"/>
        <v>Data!$BI$1:$BI$5</v>
      </c>
      <c r="BP65" s="12" t="str">
        <f t="shared" si="294"/>
        <v>Data!$BI$1:$BI$5</v>
      </c>
      <c r="BQ65" s="12" t="str">
        <f t="shared" si="294"/>
        <v>Data!$BI$1:$BI$5</v>
      </c>
      <c r="BR65" s="12" t="str">
        <f>IF($E66="H",IF($F65="Hybrid - Thrust + 2 connections","Data!$BI$1:$BI$5","HybridDD_Code"),"Data!$BI$1:$BI$5")</f>
        <v>Data!$BI$1:$BI$5</v>
      </c>
      <c r="BS65" s="12" t="str">
        <f t="shared" ref="BS65:CB65" si="295">$BR65</f>
        <v>Data!$BI$1:$BI$5</v>
      </c>
      <c r="BT65" s="12" t="str">
        <f t="shared" si="295"/>
        <v>Data!$BI$1:$BI$5</v>
      </c>
      <c r="BU65" s="12" t="str">
        <f t="shared" si="295"/>
        <v>Data!$BI$1:$BI$5</v>
      </c>
      <c r="BV65" s="12" t="str">
        <f t="shared" si="295"/>
        <v>Data!$BI$1:$BI$5</v>
      </c>
      <c r="BW65" s="12" t="str">
        <f t="shared" si="295"/>
        <v>Data!$BI$1:$BI$5</v>
      </c>
      <c r="BX65" s="12" t="str">
        <f t="shared" si="295"/>
        <v>Data!$BI$1:$BI$5</v>
      </c>
      <c r="BY65" s="12" t="str">
        <f t="shared" si="295"/>
        <v>Data!$BI$1:$BI$5</v>
      </c>
      <c r="BZ65" s="12" t="str">
        <f t="shared" si="295"/>
        <v>Data!$BI$1:$BI$5</v>
      </c>
      <c r="CA65" s="12" t="str">
        <f t="shared" si="295"/>
        <v>Data!$BI$1:$BI$5</v>
      </c>
      <c r="CB65" s="12" t="str">
        <f t="shared" si="295"/>
        <v>Data!$BI$1:$BI$5</v>
      </c>
      <c r="CC65" s="12"/>
      <c r="CD65" s="12"/>
      <c r="CE65" s="12"/>
      <c r="CF65" s="12"/>
      <c r="CG65" s="12"/>
      <c r="CH65" s="12"/>
      <c r="CI65" s="12"/>
      <c r="CJ65" s="12"/>
      <c r="CK65" s="12"/>
      <c r="CL65" s="12"/>
      <c r="CM65" s="12"/>
      <c r="CN65" s="12"/>
      <c r="CO65" s="63" t="str">
        <f>IFERROR(TIME(0,A65,B65),"")</f>
        <v/>
      </c>
      <c r="CP65" s="63">
        <f>IFERROR(TIME(0,C65,D65),"")</f>
        <v>0</v>
      </c>
      <c r="CQ65" s="63" t="str">
        <f>IF(CP65&gt;$D$12,"X","")</f>
        <v/>
      </c>
      <c r="CR65" s="15" t="str">
        <f>IF(AND(F65="Hybrid - Thrust + 2 connections",OR(LEFT(J65,1)="T",LEFT(K65,1)="T",LEFT(L65,1)="T",LEFT(OY65,1)="T",LEFT(M65,1)="T",LEFT(N65,1)="T",LEFT(O65,1)="T",LEFT(P65,1)="T",LEFT(Q65,1)="T",LEFT(R65,1)="T",LEFT(S65,1)="T",LEFT(T65,1)="T",LEFT(U65,1)="T",LEFT(V65,1)="T",LEFT(W65,1)="T",LEFT(X65,1)="T",LEFT(AK65,1)="T",LEFT(AL65,1)="T",LEFT(AM65,1)="T")),IF(OR(LEN(J65)=2,LEN(K65)=2,LEN(L65)=2,LEN(M65)=2,LEN(N65)=2,LEN(O65)=2,LEN(P65)=2,LEN(Q65)=2,LEN(R65)=2,LEN(S65)=2,LEN(T65)=2,LEN(U65)=2,LEN(V65)=2,LEN(W65)=2,LEN(X65)=2,LEN(Y65)=2,LEN(Z65)=2,LEN(AK65)=2,LEN(AL65)=2,LEN(AM65)=2),"X",""),"")</f>
        <v/>
      </c>
      <c r="CS65" s="5"/>
      <c r="CT65" s="15" t="str">
        <f>IF(LEFT(F65,4)="Acro",IF(AND(N65&lt;&gt;"",M65=RIGHT(N65,2)),"X","OK"),"")</f>
        <v/>
      </c>
      <c r="CU65" s="12" t="str">
        <f t="array" ref="CU65">IFERROR(IF(AND(LEFT($F65,4)="Acro",INDEX(Requ_App,MATCH(BI65,Requ_Code,0))="No"),"X",""),"")</f>
        <v/>
      </c>
      <c r="CV65" s="12" t="str">
        <f t="array" ref="CV65">IFERROR(IF(AND(LEFT($F65,4)="Acro",INDEX(Requ_App,MATCH(BJ65,Requ_Code,0))="No"),"X",""),"")</f>
        <v/>
      </c>
      <c r="CW65" s="12" t="str">
        <f t="array" ref="CW65">IFERROR(IF(AND(LEFT($F65,4)="Acro",INDEX(Requ_App,MATCH(BK65,Requ_Code,0))="No"),"X",""),"")</f>
        <v/>
      </c>
      <c r="CX65" s="12" t="str">
        <f t="array" ref="CX65">IFERROR(IF(AND(LEFT($F65,4)="Acro",INDEX(Requ_App,MATCH(BL65,Requ_Code,0))="No"),"X",""),"")</f>
        <v/>
      </c>
      <c r="CY65" s="12" t="str">
        <f t="array" ref="CY65">IFERROR(IF(AND(LEFT($F65,4)="Acro",INDEX(Requ_App,MATCH(BM65,Requ_Code,0))="No"),"X",""),"")</f>
        <v/>
      </c>
      <c r="CZ65" s="12" t="str">
        <f t="array" ref="CZ65">IFERROR(IF(AND(LEFT($F65,4)="Acro",INDEX(Requ_App,MATCH(BN65,Requ_Code,0))="No"),"X",""),"")</f>
        <v/>
      </c>
      <c r="DA65" s="12" t="str">
        <f t="array" ref="DA65">IFERROR(IF(AND(LEFT($F65,4)="Acro",INDEX(Requ_App,MATCH(BO65,Requ_Code,0))="No"),"X",""),"")</f>
        <v/>
      </c>
      <c r="DB65" s="12" t="str">
        <f t="array" ref="DB65">IFERROR(IF(AND(LEFT($F65,4)="Acro",INDEX(Requ_App,MATCH(BP65,Requ_Code,0))="No"),"X",""),"")</f>
        <v/>
      </c>
      <c r="DC65" s="12" t="str">
        <f t="array" ref="DC65">IFERROR(IF(AND(LEFT($F65,4)="Acro",INDEX(Requ_App,MATCH(BP65,Requ_Code,0))="No"),"X",""),"")</f>
        <v/>
      </c>
      <c r="DD65" s="15" t="str">
        <f t="shared" si="10"/>
        <v/>
      </c>
      <c r="DE65" s="15" t="str">
        <f t="shared" si="11"/>
        <v/>
      </c>
      <c r="DF65" s="15" t="str">
        <f t="shared" si="12"/>
        <v/>
      </c>
      <c r="DG65" s="15" t="str">
        <f t="shared" si="13"/>
        <v/>
      </c>
      <c r="DH65" s="15"/>
      <c r="DI65" s="15"/>
      <c r="DJ65" s="15"/>
      <c r="DK65" s="15">
        <f>IF(AND(E66="A",OR(Q65="Grip",Q65="Conn",Q65="Catch")),"A1",IF(AND(E66="A",OR(Q65="Hula",Q65="RetSq",Q65="RetPa")),"A2",IF(AND(E66="B",OR(Q65="Twirl",Q65="RotF")),"B1",IF(AND(E66="B",OR(Q65="Moon",Q65="Mov")),"B2",IF(AND(E66="B",Q65="Hold"),"B3",IF(AND(E66="P",OR(Q65="Porp",Q65="Spitch")),"P1",IF(AND(E66="P",OR(Q65="Dive",Q65="Ps1",Q65="Ps1t0.5",Q65="Ps1op",Q65="Ps1t0,5o",Q65="Ps1t1",Q65="CH+")),"P2",IF(AND(E66="P",OR(Q65="Spider",Q65="Climb")),"P3",IF(AND(E66="P",OR(Q65="Fall",Q65="FTurn")),"P4",IF(AND(E66="C",OR(Q65="Jump",Q65="Jump&gt;",Q65="On1Foot",Q65="1F&gt;1F")),"C1",IF(AND(E66="C",OR(Q65="Run",Q65="BRun")),"C2",1)))))))))))</f>
        <v>1</v>
      </c>
      <c r="DL65" s="15">
        <f>IF(AND(E66="A",OR(R65="Grip",R65="Conn",R65="Catch")),"A1",IF(AND(E66="A",OR(R65="Hula",R65="RetSq",R65="RetPa")),"A2",IF(AND(E66="B",OR(R65="Twirl",R65="RotF")),"B1",IF(AND(E66="B",OR(R65="Moon",R65="Mov")),"B3",IF(AND(E66="B",R65="Hold"),"B2",IF(AND(E66="P",OR(R65="Porp",R65="Spitch")),"P1",IF(AND(E66="P",OR(R65="Dive",R65="Ps1",R65="Ps1t0.5",R65="Ps1op",R65="Ps1t0,5o",R65="Ps1t1",R65="CH+")),"P2",IF(AND(E66="P",OR(R65="Spider",R65="Climb")),"P3",IF(AND(E66="P",OR(R65="Fall",R65="FTurn")),"P4",IF(AND(E66="C",OR(R65="Jump",R65="Jump&gt;",R65="On1Foot",R65="1F&gt;1F")),"C1",IF(AND(E66="C",OR(R65="Run",R65="BRun")),"C2",2)))))))))))</f>
        <v>2</v>
      </c>
      <c r="DM65" s="15" t="str">
        <f>IF(AND(LEFT(F65,4)="Acro",Q65&lt;&gt;"",OR(Q65=R65,DK65=DL65)),IF(R65="C-Roll","","X"),IF(OR(AND(E66="A",Q65="Catch",R65&lt;&gt;"Dbl"),AND(E66="A",R65="Catch",Q65&lt;&gt;"Dbl")),"X",""))</f>
        <v/>
      </c>
      <c r="DN65" s="15" t="str">
        <f>IF(E66="PA",J65,"")</f>
        <v/>
      </c>
      <c r="DO65" s="15">
        <v>47</v>
      </c>
      <c r="DP65" s="15"/>
      <c r="DQ65" s="15" t="str">
        <f t="shared" ref="DQ65:DR65" si="296">IF(AND($E66="A",COUNTIF($DZ$19:$EA$68,DZ65)&gt;1),DZ65,"")</f>
        <v/>
      </c>
      <c r="DR65" s="15" t="str">
        <f t="shared" si="296"/>
        <v/>
      </c>
      <c r="DS65" s="15" t="str">
        <f ca="1">IF(AND($E66="B",COUNTIF($J$19:$J$68,J65)&gt;1),J65,"")</f>
        <v/>
      </c>
      <c r="DT65" s="15" t="str">
        <f ca="1">IF(AND($E66="B",COUNTIF($K$19:$K$68,K65)&gt;1),K65,"")</f>
        <v/>
      </c>
      <c r="DU65" s="15" t="str">
        <f ca="1">IF(AND($E66="C",COUNTIF($J$19:$J$68,J65)&gt;1),J65,"")</f>
        <v/>
      </c>
      <c r="DV65" s="15" t="str">
        <f ca="1">IF(AND($E66="P",COUNTIF($J$19:$J$68,J65)&gt;1),J65,"")</f>
        <v/>
      </c>
      <c r="DW65" s="15" t="str">
        <f ca="1">IF(AND($E66="P",COUNTIF($K$19:$K$68,K65)&gt;1),K65,"")</f>
        <v/>
      </c>
      <c r="DX65" s="15" t="str">
        <f t="shared" ref="DX65:DY65" si="297">IF(AND($E66="P",COUNTIF($DZ$19:$EA$68,DZ65)&gt;1),DZ65,"")</f>
        <v/>
      </c>
      <c r="DY65" s="15" t="str">
        <f t="shared" si="297"/>
        <v/>
      </c>
      <c r="DZ65" s="15" t="str">
        <f>IFERROR(IF(OR(E66="A",E66="P"),M65,""),"")</f>
        <v/>
      </c>
      <c r="EA65" s="15" t="str">
        <f>IFERROR(IF(OR(E66="A",E66="P"),RIGHT(N65,2),""),"")</f>
        <v/>
      </c>
      <c r="EB65" s="15"/>
      <c r="EC65" s="15" t="str">
        <f>IF(AND($F$8="Open Team Acrobatic",LEFT(F65,4)="Acro"),E66,"")</f>
        <v/>
      </c>
      <c r="ED65" s="15" t="str">
        <f>IFERROR(IF(HLOOKUP(EC65,$DQ$12:$DT$13,2,FALSE)&gt;2,"X",""),"")</f>
        <v/>
      </c>
      <c r="EE65" s="15"/>
      <c r="EF65" s="15" t="str">
        <f>IF(OR(AND(F65="Hybrid - Thrust + 2 connections",EF66="T"),AND(F65="Hybrid - Free",EF66&lt;&gt;"")),"X","")</f>
        <v/>
      </c>
      <c r="EG65" s="15"/>
      <c r="EH65" s="15">
        <f t="shared" ref="EH65:EX65" si="298">IFERROR(IF(AND($E66="H",J65&lt;&gt;""),IF(OR(LEFT(J65,1)="T",LEFT(J65,1)="S",LEFT(J65,1)="A",LEFT(J65,1)="F",LEFT(J65,1)="C"),LEFT(J65,1),"R"),EH$18),"")</f>
        <v>1</v>
      </c>
      <c r="EI65" s="15">
        <f t="shared" si="298"/>
        <v>2</v>
      </c>
      <c r="EJ65" s="15">
        <f t="shared" si="298"/>
        <v>3</v>
      </c>
      <c r="EK65" s="15">
        <f t="shared" si="298"/>
        <v>4</v>
      </c>
      <c r="EL65" s="15">
        <f t="shared" si="298"/>
        <v>5</v>
      </c>
      <c r="EM65" s="15">
        <f t="shared" si="298"/>
        <v>6</v>
      </c>
      <c r="EN65" s="15">
        <f t="shared" si="298"/>
        <v>7</v>
      </c>
      <c r="EO65" s="15">
        <f t="shared" si="298"/>
        <v>8</v>
      </c>
      <c r="EP65" s="15">
        <f t="shared" si="298"/>
        <v>9</v>
      </c>
      <c r="EQ65" s="15">
        <f t="shared" si="298"/>
        <v>10</v>
      </c>
      <c r="ER65" s="15">
        <f t="shared" si="298"/>
        <v>11</v>
      </c>
      <c r="ES65" s="15">
        <f t="shared" si="298"/>
        <v>12</v>
      </c>
      <c r="ET65" s="15">
        <f t="shared" si="298"/>
        <v>13</v>
      </c>
      <c r="EU65" s="15">
        <f t="shared" si="298"/>
        <v>14</v>
      </c>
      <c r="EV65" s="15">
        <f t="shared" si="298"/>
        <v>15</v>
      </c>
      <c r="EW65" s="15">
        <f t="shared" si="298"/>
        <v>16</v>
      </c>
      <c r="EX65" s="15">
        <f t="shared" si="298"/>
        <v>17</v>
      </c>
      <c r="EY65" s="15">
        <f t="shared" ref="EY65:FA65" si="299">IFERROR(IF(AND($E66="H",AK65&lt;&gt;""),IF(OR(LEFT(AK65,1)="T",LEFT(AK65,1)="S",LEFT(AK65,1)="A",LEFT(AK65,1)="F",LEFT(AK65,1)="C"),LEFT(AK65,1),"R"),EY$18),"")</f>
        <v>18</v>
      </c>
      <c r="EZ65" s="15">
        <f t="shared" si="299"/>
        <v>19</v>
      </c>
      <c r="FA65" s="15">
        <f t="shared" si="299"/>
        <v>20</v>
      </c>
      <c r="FB65" s="15"/>
      <c r="FC65" s="15"/>
      <c r="FD65" s="15"/>
      <c r="FE65" s="15"/>
      <c r="FF65" s="15"/>
      <c r="FG65" s="15"/>
      <c r="FH65" s="15"/>
      <c r="FI65" s="15"/>
      <c r="FJ65" s="15"/>
      <c r="FK65" s="15"/>
      <c r="FL65" s="15"/>
      <c r="FM65" s="15"/>
      <c r="FN65" s="15"/>
      <c r="FO65" s="15">
        <f t="shared" ref="FO65:GE65" si="300">IFERROR(IF(J65&lt;&gt;"",UPPER(J65),FO$18),FO$18)</f>
        <v>1</v>
      </c>
      <c r="FP65" s="15">
        <f t="shared" si="300"/>
        <v>2</v>
      </c>
      <c r="FQ65" s="15">
        <f t="shared" si="300"/>
        <v>3</v>
      </c>
      <c r="FR65" s="15">
        <f t="shared" si="300"/>
        <v>4</v>
      </c>
      <c r="FS65" s="15">
        <f t="shared" si="300"/>
        <v>5</v>
      </c>
      <c r="FT65" s="15">
        <f t="shared" si="300"/>
        <v>6</v>
      </c>
      <c r="FU65" s="15">
        <f t="shared" si="300"/>
        <v>7</v>
      </c>
      <c r="FV65" s="15">
        <f t="shared" si="300"/>
        <v>8</v>
      </c>
      <c r="FW65" s="15">
        <f t="shared" si="300"/>
        <v>9</v>
      </c>
      <c r="FX65" s="15">
        <f t="shared" si="300"/>
        <v>10</v>
      </c>
      <c r="FY65" s="15">
        <f t="shared" si="300"/>
        <v>11</v>
      </c>
      <c r="FZ65" s="15">
        <f t="shared" si="300"/>
        <v>12</v>
      </c>
      <c r="GA65" s="15">
        <f t="shared" si="300"/>
        <v>13</v>
      </c>
      <c r="GB65" s="15">
        <f t="shared" si="300"/>
        <v>14</v>
      </c>
      <c r="GC65" s="15">
        <f t="shared" si="300"/>
        <v>15</v>
      </c>
      <c r="GD65" s="15">
        <f t="shared" si="300"/>
        <v>16</v>
      </c>
      <c r="GE65" s="15">
        <f t="shared" si="300"/>
        <v>17</v>
      </c>
      <c r="GF65" s="15">
        <f t="shared" ref="GF65:GH65" si="301">IFERROR(IF(AK65&lt;&gt;"",UPPER(AK65),GF$18),GF$18)</f>
        <v>18</v>
      </c>
      <c r="GG65" s="15">
        <f t="shared" si="301"/>
        <v>19</v>
      </c>
      <c r="GH65" s="15">
        <f t="shared" si="301"/>
        <v>20</v>
      </c>
      <c r="GI65" s="15"/>
      <c r="GJ65" s="15"/>
      <c r="GK65" s="15"/>
      <c r="GL65" s="15"/>
      <c r="GM65" s="15"/>
      <c r="GN65" s="15"/>
      <c r="GO65" s="15"/>
      <c r="GP65" s="15"/>
      <c r="GQ65" s="15"/>
      <c r="GR65" s="15"/>
      <c r="GS65" s="15"/>
      <c r="GT65" s="15">
        <f t="shared" ref="GT65:GY65" si="302">COUNTIF($EH65:$FA65,GT$18)</f>
        <v>0</v>
      </c>
      <c r="GU65" s="15">
        <f t="shared" si="302"/>
        <v>0</v>
      </c>
      <c r="GV65" s="15">
        <f t="shared" si="302"/>
        <v>0</v>
      </c>
      <c r="GW65" s="15">
        <f t="shared" si="302"/>
        <v>0</v>
      </c>
      <c r="GX65" s="15">
        <f t="shared" si="302"/>
        <v>0</v>
      </c>
      <c r="GY65" s="15">
        <f t="shared" si="302"/>
        <v>0</v>
      </c>
      <c r="GZ65" s="15"/>
      <c r="HA65" s="15" t="str">
        <f>IF(AND($F65="Hybrid - Thrust + 2 connections",HA66=0,LEFT($J65,1)="C",LEFT($K65,1)="C",LEFT($L65,1)="C"),"X","")</f>
        <v/>
      </c>
      <c r="HB65" s="15"/>
      <c r="HC65" s="5"/>
      <c r="HD65" s="124"/>
      <c r="HE65" s="124"/>
      <c r="HF65" s="5" t="str">
        <f>IF(E66=3,_xludf.NUMBERVALUE(LEFT(J65,1)),"")</f>
        <v/>
      </c>
    </row>
    <row r="66" spans="1:214" ht="12.75" hidden="1" customHeight="1" x14ac:dyDescent="0.3">
      <c r="A66" s="118"/>
      <c r="B66" s="119"/>
      <c r="C66" s="119"/>
      <c r="D66" s="119"/>
      <c r="E66" s="50" t="str">
        <f>IF(F65="Acrobatic - Pair","PA",IF(F65="Acrobatic Airborn","A",IF(F65="Acrobatic Balance","B",IF(F65="Acrobatic Combined","C",IF(F65="Acrobatic Platform","P",IF(F65="Technical Required Element",3,IF(LEFT(F65,4)="Hybr","H","")))))))</f>
        <v/>
      </c>
      <c r="F66" s="50" t="str">
        <f>IF(AND(F65="Hybrid - Thrust + 2 connections",CR65="X"),"Hybrid - Thrust",IF(OR(E66="A",E66="B",E66="C",E66="P"),"Acrobatic",""))</f>
        <v/>
      </c>
      <c r="G66" s="120"/>
      <c r="H66" s="126" t="str">
        <f>IF(E66="PA",IF(OR(LEFT(J65,1)="L",LEFT(J65,1)="S"),"A-Pair-Lift",IF(OR(LEFT(J65,1)="W",LEFT(J65,1)="T"),"A-Pair-Throw",IF(LEFT(J65,1)="J","A-Pair-Jump","A-Pair"))),IF(OR(E66="A",E66="B",E66="C",E66="P"),CONCATENATE("Acro-",E66),""))</f>
        <v/>
      </c>
      <c r="I66" s="127" t="e">
        <f t="array" ref="I66">IF(OR(F65="Hybrid - min 4 swimmers (no DD)",LEFT(F65,5)="Trans"),0,INDEX($BY$3:$BY$9,MATCH(E66,$BX$3:$BX$9,0)))</f>
        <v>#N/A</v>
      </c>
      <c r="J66" s="128">
        <f t="shared" ref="J66:Z66" ca="1" si="303">IFERROR(IF($H65="No DD",0,IF(OR(ISBLANK(J65),J65="N/A"),0,INDEX(INDIRECT(BI66),MATCH(J65,INDIRECT(BI65),0)))),0)</f>
        <v>0</v>
      </c>
      <c r="K66" s="128">
        <f t="shared" ca="1" si="303"/>
        <v>0</v>
      </c>
      <c r="L66" s="128">
        <f t="shared" ca="1" si="303"/>
        <v>0</v>
      </c>
      <c r="M66" s="128">
        <f t="shared" ca="1" si="303"/>
        <v>0</v>
      </c>
      <c r="N66" s="128">
        <f t="shared" ca="1" si="303"/>
        <v>0</v>
      </c>
      <c r="O66" s="128">
        <f t="shared" ca="1" si="303"/>
        <v>0</v>
      </c>
      <c r="P66" s="128">
        <f t="shared" ca="1" si="303"/>
        <v>0</v>
      </c>
      <c r="Q66" s="128">
        <f t="shared" ca="1" si="303"/>
        <v>0</v>
      </c>
      <c r="R66" s="128">
        <f t="shared" ca="1" si="303"/>
        <v>0</v>
      </c>
      <c r="S66" s="128">
        <f t="shared" ca="1" si="303"/>
        <v>0</v>
      </c>
      <c r="T66" s="128">
        <f t="shared" ca="1" si="303"/>
        <v>0</v>
      </c>
      <c r="U66" s="128">
        <f t="shared" ca="1" si="303"/>
        <v>0</v>
      </c>
      <c r="V66" s="128">
        <f t="shared" ca="1" si="303"/>
        <v>0</v>
      </c>
      <c r="W66" s="128">
        <f t="shared" ca="1" si="303"/>
        <v>0</v>
      </c>
      <c r="X66" s="128">
        <f t="shared" ca="1" si="303"/>
        <v>0</v>
      </c>
      <c r="Y66" s="128">
        <f t="shared" ca="1" si="303"/>
        <v>0</v>
      </c>
      <c r="Z66" s="128">
        <f t="shared" ca="1" si="303"/>
        <v>0</v>
      </c>
      <c r="AA66" s="128">
        <f t="shared" ref="AA66:AB66" ca="1" si="304">IFERROR(IF($H65="No DD",0,IF(OR(ISBLANK(AA65),AA65="N/A"),0,INDEX(INDIRECT(BX66),MATCH(AA65,INDIRECT(BX65),0)))),0)</f>
        <v>0</v>
      </c>
      <c r="AB66" s="128">
        <f t="shared" ca="1" si="304"/>
        <v>0</v>
      </c>
      <c r="AC66" s="128">
        <f t="shared" ref="AC66:AD66" ca="1" si="305">IFERROR(IF($H65="No DD",0,IF(OR(ISBLANK(AC65),AC65="N/A"),0,INDEX(INDIRECT(BX66),MATCH(AC65,INDIRECT(BX65),0)))),0)</f>
        <v>0</v>
      </c>
      <c r="AD66" s="128">
        <f t="shared" ca="1" si="305"/>
        <v>0</v>
      </c>
      <c r="AE66" s="128">
        <f t="shared" ref="AE66:AF66" ca="1" si="306">IFERROR(IF($H65="No DD",0,IF(OR(ISBLANK(AE65),AE65="N/A"),0,INDEX(INDIRECT(BX66),MATCH(AE65,INDIRECT(BX65),0)))),0)</f>
        <v>0</v>
      </c>
      <c r="AF66" s="128">
        <f t="shared" ca="1" si="306"/>
        <v>0</v>
      </c>
      <c r="AG66" s="128">
        <f t="shared" ref="AG66:AH66" ca="1" si="307">IFERROR(IF($H65="No DD",0,IF(OR(ISBLANK(AG65),AG65="N/A"),0,INDEX(INDIRECT(BX66),MATCH(AG65,INDIRECT(BX65),0)))),0)</f>
        <v>0</v>
      </c>
      <c r="AH66" s="128">
        <f t="shared" ca="1" si="307"/>
        <v>0</v>
      </c>
      <c r="AI66" s="128">
        <f t="shared" ref="AI66:AM66" ca="1" si="308">IFERROR(IF($H65="No DD",0,IF(OR(ISBLANK(AI65),AI65="N/A"),0,INDEX(INDIRECT(BX66),MATCH(AI65,INDIRECT(BX65),0)))),0)</f>
        <v>0</v>
      </c>
      <c r="AJ66" s="128">
        <f t="shared" ca="1" si="308"/>
        <v>0</v>
      </c>
      <c r="AK66" s="128">
        <f t="shared" ca="1" si="308"/>
        <v>0</v>
      </c>
      <c r="AL66" s="128">
        <f t="shared" ca="1" si="308"/>
        <v>0</v>
      </c>
      <c r="AM66" s="128">
        <f t="shared" ca="1" si="308"/>
        <v>0</v>
      </c>
      <c r="AN66" s="129" t="str">
        <f t="array" ref="AN66">IFERROR(IF(E66="H",INDEX(HybridBonus_Value,MATCH(AN65,HybridBonus_Code,0)),""),"")</f>
        <v/>
      </c>
      <c r="AO66" s="130" t="str">
        <f>IFERROR(IF(J65&lt;&gt;"",SUM(I66:AN66),""),"")</f>
        <v/>
      </c>
      <c r="AP66" s="132"/>
      <c r="AQ66" s="132"/>
      <c r="AR66" s="131"/>
      <c r="AS66" s="131"/>
      <c r="AT66" s="131"/>
      <c r="AU66" s="131"/>
      <c r="AV66" s="131"/>
      <c r="AW66" s="131"/>
      <c r="AX66" s="131"/>
      <c r="AY66" s="131"/>
      <c r="AZ66" s="131"/>
      <c r="BA66" s="131"/>
      <c r="BB66" s="131"/>
      <c r="BC66" s="131"/>
      <c r="BD66" s="131"/>
      <c r="BE66" s="131"/>
      <c r="BF66" s="131"/>
      <c r="BG66" s="12"/>
      <c r="BH66" s="131"/>
      <c r="BI66" s="5" t="str">
        <f>IF($E66="H","HybridDD_Value",IF($E66=3,"TreDD_Value",IF($E66="PA","AcroPair_Value",IF(LEFT($F65,4)="Acro",CONCATENATE(BI$16,$E66,"_Value"),""))))</f>
        <v/>
      </c>
      <c r="BJ66" s="5" t="str">
        <f t="shared" ref="BJ66:BQ66" si="309">IF($E66="H","HybridDD_Value",IF($E66=3,"",IF(LEFT($F65,4)="Acro",CONCATENATE(BJ$16,$E66,"_Value"),IF($E66="PA","",""))))</f>
        <v/>
      </c>
      <c r="BK66" s="5" t="str">
        <f t="shared" si="309"/>
        <v/>
      </c>
      <c r="BL66" s="5" t="str">
        <f t="shared" si="309"/>
        <v/>
      </c>
      <c r="BM66" s="5" t="str">
        <f t="shared" si="309"/>
        <v/>
      </c>
      <c r="BN66" s="5" t="str">
        <f t="shared" si="309"/>
        <v/>
      </c>
      <c r="BO66" s="5" t="str">
        <f t="shared" si="309"/>
        <v/>
      </c>
      <c r="BP66" s="5" t="str">
        <f t="shared" si="309"/>
        <v/>
      </c>
      <c r="BQ66" s="5" t="str">
        <f t="shared" si="309"/>
        <v/>
      </c>
      <c r="BR66" s="12" t="str">
        <f>IF($E66="H","HybridDD_Value","Data!$BI$1:$BI$5")</f>
        <v>Data!$BI$1:$BI$5</v>
      </c>
      <c r="BS66" s="12" t="str">
        <f t="shared" ref="BS66:CB66" si="310">$BR66</f>
        <v>Data!$BI$1:$BI$5</v>
      </c>
      <c r="BT66" s="12" t="str">
        <f t="shared" si="310"/>
        <v>Data!$BI$1:$BI$5</v>
      </c>
      <c r="BU66" s="12" t="str">
        <f t="shared" si="310"/>
        <v>Data!$BI$1:$BI$5</v>
      </c>
      <c r="BV66" s="12" t="str">
        <f t="shared" si="310"/>
        <v>Data!$BI$1:$BI$5</v>
      </c>
      <c r="BW66" s="12" t="str">
        <f t="shared" si="310"/>
        <v>Data!$BI$1:$BI$5</v>
      </c>
      <c r="BX66" s="12" t="str">
        <f t="shared" si="310"/>
        <v>Data!$BI$1:$BI$5</v>
      </c>
      <c r="BY66" s="12" t="str">
        <f t="shared" si="310"/>
        <v>Data!$BI$1:$BI$5</v>
      </c>
      <c r="BZ66" s="12" t="str">
        <f t="shared" si="310"/>
        <v>Data!$BI$1:$BI$5</v>
      </c>
      <c r="CA66" s="12" t="str">
        <f t="shared" si="310"/>
        <v>Data!$BI$1:$BI$5</v>
      </c>
      <c r="CB66" s="12" t="str">
        <f t="shared" si="310"/>
        <v>Data!$BI$1:$BI$5</v>
      </c>
      <c r="CC66" s="12"/>
      <c r="CD66" s="12"/>
      <c r="CE66" s="12"/>
      <c r="CF66" s="12"/>
      <c r="CG66" s="12"/>
      <c r="CH66" s="12"/>
      <c r="CI66" s="12"/>
      <c r="CJ66" s="12"/>
      <c r="CK66" s="12"/>
      <c r="CL66" s="12"/>
      <c r="CM66" s="131"/>
      <c r="CN66" s="131"/>
      <c r="CO66" s="124" t="str">
        <f>IFERROR(IF(AND($BV$6="T",$BV$8="T",LEFT(F65,4)="Acro",AO66&gt;3),"X",IF($N$7="X",IF(AND(E66="C",AO66&gt;$CN$6),"X",IF(AND(E66="A",AO66&gt;$CN$4),"X",IF(AND(E66="B",AO66&gt;$CN$5),"X",IF(AND(E66="P",AO66&gt;$CN$7),"X","")))),"")),"")</f>
        <v/>
      </c>
      <c r="CP66" s="63"/>
      <c r="CQ66" s="5"/>
      <c r="CR66" s="15"/>
      <c r="CS66" s="5"/>
      <c r="CT66" s="5"/>
      <c r="CU66" s="5"/>
      <c r="CV66" s="5"/>
      <c r="CW66" s="5"/>
      <c r="CX66" s="5"/>
      <c r="CY66" s="5"/>
      <c r="CZ66" s="5"/>
      <c r="DA66" s="15"/>
      <c r="DB66" s="15"/>
      <c r="DC66" s="15"/>
      <c r="DD66" s="15" t="str">
        <f t="shared" si="10"/>
        <v/>
      </c>
      <c r="DE66" s="15" t="str">
        <f t="shared" si="11"/>
        <v/>
      </c>
      <c r="DF66" s="15" t="str">
        <f t="shared" si="12"/>
        <v/>
      </c>
      <c r="DG66" s="15" t="str">
        <f t="shared" si="13"/>
        <v/>
      </c>
      <c r="DH66" s="15"/>
      <c r="DI66" s="15"/>
      <c r="DJ66" s="15"/>
      <c r="DK66" s="15"/>
      <c r="DL66" s="15"/>
      <c r="DM66" s="15"/>
      <c r="DN66" s="15"/>
      <c r="DO66" s="15">
        <v>48</v>
      </c>
      <c r="DP66" s="15"/>
      <c r="DQ66" s="15"/>
      <c r="DR66" s="15"/>
      <c r="DS66" s="15"/>
      <c r="DT66" s="15"/>
      <c r="DU66" s="15"/>
      <c r="DV66" s="15"/>
      <c r="DW66" s="15"/>
      <c r="DX66" s="15"/>
      <c r="DY66" s="15"/>
      <c r="DZ66" s="15"/>
      <c r="EA66" s="15"/>
      <c r="EB66" s="15"/>
      <c r="EC66" s="15"/>
      <c r="ED66" s="15"/>
      <c r="EE66" s="15"/>
      <c r="EF66" s="15" t="str">
        <f t="array" ref="EF66">IFERROR(INDEX(EH66:FA66,MATCH(TRUE,INDEX((EH66:FA66&lt;&gt;""),),0)),"")</f>
        <v/>
      </c>
      <c r="EG66" s="15"/>
      <c r="EH66" s="15" t="str">
        <f t="shared" ref="EH66:FA66" si="311">IF(F65="Hybrid - Thrust + 2 connections",IF(COUNTIF($EH65:$FA65,EH65)&gt;1,EH65,""),IF(COUNTIF($EH65:$FA65,EH65)&gt;5,EH65,""))</f>
        <v/>
      </c>
      <c r="EI66" s="15" t="str">
        <f t="shared" si="311"/>
        <v/>
      </c>
      <c r="EJ66" s="15" t="str">
        <f t="shared" si="311"/>
        <v/>
      </c>
      <c r="EK66" s="15" t="str">
        <f t="shared" si="311"/>
        <v/>
      </c>
      <c r="EL66" s="15" t="str">
        <f t="shared" si="311"/>
        <v/>
      </c>
      <c r="EM66" s="15" t="str">
        <f t="shared" si="311"/>
        <v/>
      </c>
      <c r="EN66" s="15" t="str">
        <f t="shared" si="311"/>
        <v/>
      </c>
      <c r="EO66" s="15" t="str">
        <f t="shared" si="311"/>
        <v/>
      </c>
      <c r="EP66" s="15" t="str">
        <f t="shared" si="311"/>
        <v/>
      </c>
      <c r="EQ66" s="15" t="str">
        <f t="shared" si="311"/>
        <v/>
      </c>
      <c r="ER66" s="15" t="str">
        <f t="shared" si="311"/>
        <v/>
      </c>
      <c r="ES66" s="15" t="str">
        <f t="shared" si="311"/>
        <v/>
      </c>
      <c r="ET66" s="15" t="str">
        <f t="shared" si="311"/>
        <v/>
      </c>
      <c r="EU66" s="15" t="str">
        <f t="shared" si="311"/>
        <v/>
      </c>
      <c r="EV66" s="15" t="str">
        <f t="shared" si="311"/>
        <v/>
      </c>
      <c r="EW66" s="15" t="str">
        <f t="shared" si="311"/>
        <v/>
      </c>
      <c r="EX66" s="15" t="str">
        <f t="shared" si="311"/>
        <v/>
      </c>
      <c r="EY66" s="15" t="str">
        <f t="shared" si="311"/>
        <v/>
      </c>
      <c r="EZ66" s="15" t="str">
        <f t="shared" si="311"/>
        <v/>
      </c>
      <c r="FA66" s="15" t="str">
        <f t="shared" si="311"/>
        <v/>
      </c>
      <c r="FB66" s="15"/>
      <c r="FC66" s="15"/>
      <c r="FD66" s="15"/>
      <c r="FE66" s="15"/>
      <c r="FF66" s="15"/>
      <c r="FG66" s="15"/>
      <c r="FH66" s="15"/>
      <c r="FI66" s="15"/>
      <c r="FJ66" s="15"/>
      <c r="FK66" s="15"/>
      <c r="FL66" s="15"/>
      <c r="FM66" s="15"/>
      <c r="FN66" s="15" t="str">
        <f t="array" ref="FN66">IFERROR(INDEX(FO66:GH66,MATCH(TRUE,INDEX((FO66:GH66&lt;&gt;""),),0)),"")</f>
        <v/>
      </c>
      <c r="FO66" s="15" t="str">
        <f t="shared" ref="FO66:GH66" si="312">IF(COUNTIF($FO65:$GH65,FO65)&gt;3,FO65,"")</f>
        <v/>
      </c>
      <c r="FP66" s="15" t="str">
        <f t="shared" si="312"/>
        <v/>
      </c>
      <c r="FQ66" s="15" t="str">
        <f t="shared" si="312"/>
        <v/>
      </c>
      <c r="FR66" s="15" t="str">
        <f t="shared" si="312"/>
        <v/>
      </c>
      <c r="FS66" s="15" t="str">
        <f t="shared" si="312"/>
        <v/>
      </c>
      <c r="FT66" s="15" t="str">
        <f t="shared" si="312"/>
        <v/>
      </c>
      <c r="FU66" s="15" t="str">
        <f t="shared" si="312"/>
        <v/>
      </c>
      <c r="FV66" s="15" t="str">
        <f t="shared" si="312"/>
        <v/>
      </c>
      <c r="FW66" s="15" t="str">
        <f t="shared" si="312"/>
        <v/>
      </c>
      <c r="FX66" s="15" t="str">
        <f t="shared" si="312"/>
        <v/>
      </c>
      <c r="FY66" s="15" t="str">
        <f t="shared" si="312"/>
        <v/>
      </c>
      <c r="FZ66" s="15" t="str">
        <f t="shared" si="312"/>
        <v/>
      </c>
      <c r="GA66" s="15" t="str">
        <f t="shared" si="312"/>
        <v/>
      </c>
      <c r="GB66" s="15" t="str">
        <f t="shared" si="312"/>
        <v/>
      </c>
      <c r="GC66" s="15" t="str">
        <f t="shared" si="312"/>
        <v/>
      </c>
      <c r="GD66" s="15" t="str">
        <f t="shared" si="312"/>
        <v/>
      </c>
      <c r="GE66" s="15" t="str">
        <f t="shared" si="312"/>
        <v/>
      </c>
      <c r="GF66" s="15" t="str">
        <f t="shared" si="312"/>
        <v/>
      </c>
      <c r="GG66" s="15" t="str">
        <f t="shared" si="312"/>
        <v/>
      </c>
      <c r="GH66" s="15" t="str">
        <f t="shared" si="312"/>
        <v/>
      </c>
      <c r="GI66" s="15"/>
      <c r="GJ66" s="15"/>
      <c r="GK66" s="15"/>
      <c r="GL66" s="15"/>
      <c r="GM66" s="15"/>
      <c r="GN66" s="15"/>
      <c r="GO66" s="15"/>
      <c r="GP66" s="15"/>
      <c r="GQ66" s="15"/>
      <c r="GR66" s="15"/>
      <c r="GS66" s="15"/>
      <c r="GT66" s="15"/>
      <c r="GU66" s="15"/>
      <c r="GV66" s="15"/>
      <c r="GW66" s="15"/>
      <c r="GX66" s="15"/>
      <c r="GY66" s="15"/>
      <c r="GZ66" s="15"/>
      <c r="HA66" s="15" t="str">
        <f>IF($F65="Hybrid - Thrust + 2 connections",COUNTBLANK(J65:L65),"")</f>
        <v/>
      </c>
      <c r="HB66" s="15"/>
      <c r="HC66" s="5"/>
      <c r="HD66" s="5"/>
      <c r="HE66" s="5"/>
      <c r="HF66" s="5"/>
    </row>
    <row r="67" spans="1:214" ht="12.75" hidden="1" customHeight="1" x14ac:dyDescent="0.3">
      <c r="A67" s="118" t="str">
        <f>IF(AND(E65="",A65&lt;&gt;""),IF(CP65=$CP$18,"",IF(C65&lt;&gt;"",IF(D65=59,MINUTE(CP65)+1,MINUTE(CP65)),"")),"")</f>
        <v/>
      </c>
      <c r="B67" s="119" t="str">
        <f>IF(AND(E65="",B65&lt;&gt;""),IF(CP65=$CP$18,"",IF(C65&lt;&gt;"",IF(D65=59,0,SECOND(CP65)+1),"")),"")</f>
        <v/>
      </c>
      <c r="C67" s="119"/>
      <c r="D67" s="119"/>
      <c r="E67" s="119"/>
      <c r="F67" s="57"/>
      <c r="G67" s="120" t="str">
        <f>IF(F67&lt;&gt;"",IF(OR(F67="Transition",F67="Transition - Surface Connection"),0,MAX($G$19:G66)+1),"")</f>
        <v/>
      </c>
      <c r="H67" s="223" t="str">
        <f>IFERROR(IF(E68="3","",IF(OR(F67="Hybrid - min 4 swimmers (no DD)",LEFT(F67,5)="Trans"),"No DD",CONCATENATE("BM = ",I68))),"")</f>
        <v/>
      </c>
      <c r="I67" s="224"/>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2"/>
      <c r="AO67" s="123"/>
      <c r="AP67" s="52"/>
      <c r="AQ67" s="52"/>
      <c r="AR67" s="12"/>
      <c r="AS67" s="12"/>
      <c r="AT67" s="12"/>
      <c r="AU67" s="12"/>
      <c r="AV67" s="12"/>
      <c r="AW67" s="12"/>
      <c r="AX67" s="12"/>
      <c r="AY67" s="12"/>
      <c r="AZ67" s="12"/>
      <c r="BA67" s="12"/>
      <c r="BB67" s="12"/>
      <c r="BC67" s="12"/>
      <c r="BD67" s="12"/>
      <c r="BE67" s="12"/>
      <c r="BF67" s="12"/>
      <c r="BG67" s="12" t="str">
        <f t="array" ref="BG67">IFERROR(IF(F67&lt;&gt;"",INDEX(Parts_Active,MATCH(F67,Parts_Active,0)),""),"No")</f>
        <v/>
      </c>
      <c r="BH67" s="12"/>
      <c r="BI67" s="12" t="str">
        <f t="shared" ref="BI67:BK67" si="313">IF($E68="H",IF($F67="Hybrid - Thrust + 2 connections","Hybrid_Mix_Req","HybridDD_Code"),IF($E68=3,"TreDD_Code",IF($E68="PA","AcroPair_Code",IF(LEFT($F67,4)="Acro",CONCATENATE(BI$16,$E68,"_Code"),"Data!$BI$1:$BI$5"))))</f>
        <v>Data!$BI$1:$BI$5</v>
      </c>
      <c r="BJ67" s="12" t="str">
        <f t="shared" si="313"/>
        <v>Data!$BI$1:$BI$5</v>
      </c>
      <c r="BK67" s="12" t="str">
        <f t="shared" si="313"/>
        <v>Data!$BI$1:$BI$5</v>
      </c>
      <c r="BL67" s="12" t="str">
        <f t="shared" ref="BL67:BQ67" si="314">IF($E68="H",IF($F67="Hybrid - Thrust + 2 connections","Data!$BI$1:$BI$5","HybridDD_Code"),IF($E68=3,"Data!$BI$1:$BI$5",IF(LEFT($F67,4)="Acro",CONCATENATE(BL$16,$E68,"_Code"),IF($E68="PA","","Data!$BI$1:$BI$5"))))</f>
        <v>Data!$BI$1:$BI$5</v>
      </c>
      <c r="BM67" s="12" t="str">
        <f t="shared" si="314"/>
        <v>Data!$BI$1:$BI$5</v>
      </c>
      <c r="BN67" s="12" t="str">
        <f t="shared" si="314"/>
        <v>Data!$BI$1:$BI$5</v>
      </c>
      <c r="BO67" s="12" t="str">
        <f t="shared" si="314"/>
        <v>Data!$BI$1:$BI$5</v>
      </c>
      <c r="BP67" s="12" t="str">
        <f t="shared" si="314"/>
        <v>Data!$BI$1:$BI$5</v>
      </c>
      <c r="BQ67" s="12" t="str">
        <f t="shared" si="314"/>
        <v>Data!$BI$1:$BI$5</v>
      </c>
      <c r="BR67" s="12" t="str">
        <f>IF($E68="H",IF($F67="Hybrid - Thrust + 2 connections","Data!$BI$1:$BI$5","HybridDD_Code"),"Data!$BI$1:$BI$5")</f>
        <v>Data!$BI$1:$BI$5</v>
      </c>
      <c r="BS67" s="12" t="str">
        <f t="shared" ref="BS67:CB67" si="315">$BR67</f>
        <v>Data!$BI$1:$BI$5</v>
      </c>
      <c r="BT67" s="12" t="str">
        <f t="shared" si="315"/>
        <v>Data!$BI$1:$BI$5</v>
      </c>
      <c r="BU67" s="12" t="str">
        <f t="shared" si="315"/>
        <v>Data!$BI$1:$BI$5</v>
      </c>
      <c r="BV67" s="12" t="str">
        <f t="shared" si="315"/>
        <v>Data!$BI$1:$BI$5</v>
      </c>
      <c r="BW67" s="12" t="str">
        <f t="shared" si="315"/>
        <v>Data!$BI$1:$BI$5</v>
      </c>
      <c r="BX67" s="12" t="str">
        <f t="shared" si="315"/>
        <v>Data!$BI$1:$BI$5</v>
      </c>
      <c r="BY67" s="12" t="str">
        <f t="shared" si="315"/>
        <v>Data!$BI$1:$BI$5</v>
      </c>
      <c r="BZ67" s="12" t="str">
        <f t="shared" si="315"/>
        <v>Data!$BI$1:$BI$5</v>
      </c>
      <c r="CA67" s="12" t="str">
        <f t="shared" si="315"/>
        <v>Data!$BI$1:$BI$5</v>
      </c>
      <c r="CB67" s="12" t="str">
        <f t="shared" si="315"/>
        <v>Data!$BI$1:$BI$5</v>
      </c>
      <c r="CC67" s="12"/>
      <c r="CD67" s="12"/>
      <c r="CE67" s="12"/>
      <c r="CF67" s="12"/>
      <c r="CG67" s="12"/>
      <c r="CH67" s="12"/>
      <c r="CI67" s="12"/>
      <c r="CJ67" s="12"/>
      <c r="CK67" s="12"/>
      <c r="CL67" s="12"/>
      <c r="CM67" s="12"/>
      <c r="CN67" s="12"/>
      <c r="CO67" s="63" t="str">
        <f>IFERROR(TIME(0,A67,B67),"")</f>
        <v/>
      </c>
      <c r="CP67" s="63">
        <f>IFERROR(TIME(0,C67,D67),"")</f>
        <v>0</v>
      </c>
      <c r="CQ67" s="63" t="str">
        <f>IF(CP67&gt;$D$12,"X","")</f>
        <v/>
      </c>
      <c r="CR67" s="15" t="str">
        <f>IF(AND(F67="Hybrid - Thrust + 2 connections",OR(LEFT(J67,1)="T",LEFT(K67,1)="T",LEFT(L67,1)="T",LEFT(OY67,1)="T",LEFT(M67,1)="T",LEFT(N67,1)="T",LEFT(O67,1)="T",LEFT(P67,1)="T",LEFT(Q67,1)="T",LEFT(R67,1)="T",LEFT(S67,1)="T",LEFT(T67,1)="T",LEFT(U67,1)="T",LEFT(V67,1)="T",LEFT(W67,1)="T",LEFT(X67,1)="T",LEFT(AK67,1)="T",LEFT(AL67,1)="T",LEFT(AM67,1)="T")),IF(OR(LEN(J67)=2,LEN(K67)=2,LEN(L67)=2,LEN(M67)=2,LEN(N67)=2,LEN(O67)=2,LEN(P67)=2,LEN(Q67)=2,LEN(R67)=2,LEN(S67)=2,LEN(T67)=2,LEN(U67)=2,LEN(V67)=2,LEN(W67)=2,LEN(X67)=2,LEN(Y67)=2,LEN(Z67)=2,LEN(AK67)=2,LEN(AL67)=2,LEN(AM67)=2),"X",""),"")</f>
        <v/>
      </c>
      <c r="CS67" s="5"/>
      <c r="CT67" s="15" t="str">
        <f>IF(LEFT(F67,4)="Acro",IF(AND(N67&lt;&gt;"",M67=RIGHT(N67,2)),"X","OK"),"")</f>
        <v/>
      </c>
      <c r="CU67" s="12" t="str">
        <f t="array" ref="CU67">IFERROR(IF(AND(LEFT($F67,4)="Acro",INDEX(Requ_App,MATCH(BI67,Requ_Code,0))="No"),"X",""),"")</f>
        <v/>
      </c>
      <c r="CV67" s="12" t="str">
        <f t="array" ref="CV67">IFERROR(IF(AND(LEFT($F67,4)="Acro",INDEX(Requ_App,MATCH(BJ67,Requ_Code,0))="No"),"X",""),"")</f>
        <v/>
      </c>
      <c r="CW67" s="12" t="str">
        <f t="array" ref="CW67">IFERROR(IF(AND(LEFT($F67,4)="Acro",INDEX(Requ_App,MATCH(BK67,Requ_Code,0))="No"),"X",""),"")</f>
        <v/>
      </c>
      <c r="CX67" s="12" t="str">
        <f t="array" ref="CX67">IFERROR(IF(AND(LEFT($F67,4)="Acro",INDEX(Requ_App,MATCH(BL67,Requ_Code,0))="No"),"X",""),"")</f>
        <v/>
      </c>
      <c r="CY67" s="12" t="str">
        <f t="array" ref="CY67">IFERROR(IF(AND(LEFT($F67,4)="Acro",INDEX(Requ_App,MATCH(BM67,Requ_Code,0))="No"),"X",""),"")</f>
        <v/>
      </c>
      <c r="CZ67" s="12" t="str">
        <f t="array" ref="CZ67">IFERROR(IF(AND(LEFT($F67,4)="Acro",INDEX(Requ_App,MATCH(BN67,Requ_Code,0))="No"),"X",""),"")</f>
        <v/>
      </c>
      <c r="DA67" s="12" t="str">
        <f t="array" ref="DA67">IFERROR(IF(AND(LEFT($F67,4)="Acro",INDEX(Requ_App,MATCH(BO67,Requ_Code,0))="No"),"X",""),"")</f>
        <v/>
      </c>
      <c r="DB67" s="12" t="str">
        <f t="array" ref="DB67">IFERROR(IF(AND(LEFT($F67,4)="Acro",INDEX(Requ_App,MATCH(BP67,Requ_Code,0))="No"),"X",""),"")</f>
        <v/>
      </c>
      <c r="DC67" s="12" t="str">
        <f t="array" ref="DC67">IFERROR(IF(AND(LEFT($F67,4)="Acro",INDEX(Requ_App,MATCH(BP67,Requ_Code,0))="No"),"X",""),"")</f>
        <v/>
      </c>
      <c r="DD67" s="15" t="str">
        <f t="shared" si="10"/>
        <v/>
      </c>
      <c r="DE67" s="15" t="str">
        <f t="shared" si="11"/>
        <v/>
      </c>
      <c r="DF67" s="15" t="str">
        <f t="shared" si="12"/>
        <v/>
      </c>
      <c r="DG67" s="15" t="str">
        <f t="shared" si="13"/>
        <v/>
      </c>
      <c r="DH67" s="15"/>
      <c r="DI67" s="15"/>
      <c r="DJ67" s="15"/>
      <c r="DK67" s="15">
        <f>IF(AND(E68="A",OR(Q67="Grip",Q67="Conn",Q67="Catch")),"A1",IF(AND(E68="A",OR(Q67="Hula",Q67="RetSq",Q67="RetPa")),"A2",IF(AND(E68="B",OR(Q67="Twirl",Q67="RotF")),"B1",IF(AND(E68="B",OR(Q67="Moon",Q67="Mov")),"B2",IF(AND(E68="B",Q67="Hold"),"B3",IF(AND(E68="P",OR(Q67="Porp",Q67="Spitch")),"P1",IF(AND(E68="P",OR(Q67="Dive",Q67="Ps1",Q67="Ps1t0.5",Q67="Ps1op",Q67="Ps1t0,5o",Q67="Ps1t1",Q67="CH+")),"P2",IF(AND(E68="P",OR(Q67="Spider",Q67="Climb")),"P3",IF(AND(E68="P",OR(Q67="Fall",Q67="FTurn")),"P4",IF(AND(E68="C",OR(Q67="Jump",Q67="Jump&gt;",Q67="On1Foot",Q67="1F&gt;1F")),"C1",IF(AND(E68="C",OR(Q67="Run",Q67="BRun")),"C2",1)))))))))))</f>
        <v>1</v>
      </c>
      <c r="DL67" s="15">
        <f>IF(AND(E68="A",OR(R67="Grip",R67="Conn",R67="Catch")),"A1",IF(AND(E68="A",OR(R67="Hula",R67="RetSq",R67="RetPa")),"A2",IF(AND(E68="B",OR(R67="Twirl",R67="RotF")),"B1",IF(AND(E68="B",OR(R67="Moon",R67="Mov")),"B3",IF(AND(E68="B",R67="Hold"),"B2",IF(AND(E68="P",OR(R67="Porp",R67="Spitch")),"P1",IF(AND(E68="P",OR(R67="Dive",R67="Ps1",R67="Ps1t0.5",R67="Ps1op",R67="Ps1t0,5o",R67="Ps1t1",R67="CH+")),"P2",IF(AND(E68="P",OR(R67="Spider",R67="Climb")),"P3",IF(AND(E68="P",OR(R67="Fall",R67="FTurn")),"P4",IF(AND(E68="C",OR(R67="Jump",R67="Jump&gt;",R67="On1Foot",R67="1F&gt;1F")),"C1",IF(AND(E68="C",OR(R67="Run",R67="BRun")),"C2",2)))))))))))</f>
        <v>2</v>
      </c>
      <c r="DM67" s="15" t="str">
        <f>IF(AND(LEFT(F67,4)="Acro",Q67&lt;&gt;"",OR(Q67=R67,DK67=DL67)),IF(R67="C-Roll","","X"),IF(OR(AND(E68="A",Q67="Catch",R67&lt;&gt;"Dbl"),AND(E68="A",R67="Catch",Q67&lt;&gt;"Dbl")),"X",""))</f>
        <v/>
      </c>
      <c r="DN67" s="15" t="str">
        <f>IF(E68="PA",J67,"")</f>
        <v/>
      </c>
      <c r="DO67" s="15">
        <v>49</v>
      </c>
      <c r="DP67" s="15"/>
      <c r="DQ67" s="15" t="str">
        <f t="shared" ref="DQ67:DR67" si="316">IF(AND($E68="A",COUNTIF($DZ$19:$EA$68,DZ67)&gt;1),DZ67,"")</f>
        <v/>
      </c>
      <c r="DR67" s="15" t="str">
        <f t="shared" si="316"/>
        <v/>
      </c>
      <c r="DS67" s="15" t="str">
        <f ca="1">IF(AND($E68="B",COUNTIF($J$19:$J$68,J67)&gt;1),J67,"")</f>
        <v/>
      </c>
      <c r="DT67" s="15" t="str">
        <f ca="1">IF(AND($E68="B",COUNTIF($K$19:$K$68,K67)&gt;1),K67,"")</f>
        <v/>
      </c>
      <c r="DU67" s="15" t="str">
        <f ca="1">IF(AND($E68="C",COUNTIF($J$19:$J$68,J67)&gt;1),J67,"")</f>
        <v/>
      </c>
      <c r="DV67" s="15" t="str">
        <f ca="1">IF(AND($E68="P",COUNTIF($J$19:$J$68,J67)&gt;1),J67,"")</f>
        <v/>
      </c>
      <c r="DW67" s="15" t="str">
        <f ca="1">IF(AND($E68="P",COUNTIF($K$19:$K$68,K67)&gt;1),K67,"")</f>
        <v/>
      </c>
      <c r="DX67" s="15" t="str">
        <f t="shared" ref="DX67:DY67" si="317">IF(AND($E68="P",COUNTIF($DZ$19:$EA$68,DZ67)&gt;1),DZ67,"")</f>
        <v/>
      </c>
      <c r="DY67" s="15" t="str">
        <f t="shared" si="317"/>
        <v/>
      </c>
      <c r="DZ67" s="15" t="str">
        <f>IFERROR(IF(OR(E68="A",E68="P"),M67,""),"")</f>
        <v/>
      </c>
      <c r="EA67" s="15" t="str">
        <f>IFERROR(IF(OR(E68="A",E68="P"),RIGHT(N67,2),""),"")</f>
        <v/>
      </c>
      <c r="EB67" s="15"/>
      <c r="EC67" s="15" t="str">
        <f>IF(AND($F$8="Open Team Acrobatic",LEFT(F67,4)="Acro"),E68,"")</f>
        <v/>
      </c>
      <c r="ED67" s="15" t="str">
        <f>IFERROR(IF(HLOOKUP(EC67,$DQ$12:$DT$13,2,FALSE)&gt;2,"X",""),"")</f>
        <v/>
      </c>
      <c r="EE67" s="15"/>
      <c r="EF67" s="15" t="str">
        <f>IF(OR(AND(F67="Hybrid - Thrust + 2 connections",EF68="T"),AND(F67="Hybrid - Free",EF68&lt;&gt;"")),"X","")</f>
        <v/>
      </c>
      <c r="EG67" s="15"/>
      <c r="EH67" s="15">
        <f t="shared" ref="EH67:EX67" si="318">IFERROR(IF(AND($E68="H",J67&lt;&gt;""),IF(OR(LEFT(J67,1)="T",LEFT(J67,1)="S",LEFT(J67,1)="A",LEFT(J67,1)="F",LEFT(J67,1)="C"),LEFT(J67,1),"R"),EH$18),"")</f>
        <v>1</v>
      </c>
      <c r="EI67" s="15">
        <f t="shared" si="318"/>
        <v>2</v>
      </c>
      <c r="EJ67" s="15">
        <f t="shared" si="318"/>
        <v>3</v>
      </c>
      <c r="EK67" s="15">
        <f t="shared" si="318"/>
        <v>4</v>
      </c>
      <c r="EL67" s="15">
        <f t="shared" si="318"/>
        <v>5</v>
      </c>
      <c r="EM67" s="15">
        <f t="shared" si="318"/>
        <v>6</v>
      </c>
      <c r="EN67" s="15">
        <f t="shared" si="318"/>
        <v>7</v>
      </c>
      <c r="EO67" s="15">
        <f t="shared" si="318"/>
        <v>8</v>
      </c>
      <c r="EP67" s="15">
        <f t="shared" si="318"/>
        <v>9</v>
      </c>
      <c r="EQ67" s="15">
        <f t="shared" si="318"/>
        <v>10</v>
      </c>
      <c r="ER67" s="15">
        <f t="shared" si="318"/>
        <v>11</v>
      </c>
      <c r="ES67" s="15">
        <f t="shared" si="318"/>
        <v>12</v>
      </c>
      <c r="ET67" s="15">
        <f t="shared" si="318"/>
        <v>13</v>
      </c>
      <c r="EU67" s="15">
        <f t="shared" si="318"/>
        <v>14</v>
      </c>
      <c r="EV67" s="15">
        <f t="shared" si="318"/>
        <v>15</v>
      </c>
      <c r="EW67" s="15">
        <f t="shared" si="318"/>
        <v>16</v>
      </c>
      <c r="EX67" s="15">
        <f t="shared" si="318"/>
        <v>17</v>
      </c>
      <c r="EY67" s="15">
        <f t="shared" ref="EY67:FA67" si="319">IFERROR(IF(AND($E68="H",AK67&lt;&gt;""),IF(OR(LEFT(AK67,1)="T",LEFT(AK67,1)="S",LEFT(AK67,1)="A",LEFT(AK67,1)="F",LEFT(AK67,1)="C"),LEFT(AK67,1),"R"),EY$18),"")</f>
        <v>18</v>
      </c>
      <c r="EZ67" s="15">
        <f t="shared" si="319"/>
        <v>19</v>
      </c>
      <c r="FA67" s="15">
        <f t="shared" si="319"/>
        <v>20</v>
      </c>
      <c r="FB67" s="15"/>
      <c r="FC67" s="15"/>
      <c r="FD67" s="15"/>
      <c r="FE67" s="15"/>
      <c r="FF67" s="15"/>
      <c r="FG67" s="15"/>
      <c r="FH67" s="15"/>
      <c r="FI67" s="15"/>
      <c r="FJ67" s="15"/>
      <c r="FK67" s="15"/>
      <c r="FL67" s="15"/>
      <c r="FM67" s="15"/>
      <c r="FN67" s="15"/>
      <c r="FO67" s="15">
        <f t="shared" ref="FO67:GE67" si="320">IFERROR(IF(J67&lt;&gt;"",UPPER(J67),FO$18),FO$18)</f>
        <v>1</v>
      </c>
      <c r="FP67" s="15">
        <f t="shared" si="320"/>
        <v>2</v>
      </c>
      <c r="FQ67" s="15">
        <f t="shared" si="320"/>
        <v>3</v>
      </c>
      <c r="FR67" s="15">
        <f t="shared" si="320"/>
        <v>4</v>
      </c>
      <c r="FS67" s="15">
        <f t="shared" si="320"/>
        <v>5</v>
      </c>
      <c r="FT67" s="15">
        <f t="shared" si="320"/>
        <v>6</v>
      </c>
      <c r="FU67" s="15">
        <f t="shared" si="320"/>
        <v>7</v>
      </c>
      <c r="FV67" s="15">
        <f t="shared" si="320"/>
        <v>8</v>
      </c>
      <c r="FW67" s="15">
        <f t="shared" si="320"/>
        <v>9</v>
      </c>
      <c r="FX67" s="15">
        <f t="shared" si="320"/>
        <v>10</v>
      </c>
      <c r="FY67" s="15">
        <f t="shared" si="320"/>
        <v>11</v>
      </c>
      <c r="FZ67" s="15">
        <f t="shared" si="320"/>
        <v>12</v>
      </c>
      <c r="GA67" s="15">
        <f t="shared" si="320"/>
        <v>13</v>
      </c>
      <c r="GB67" s="15">
        <f t="shared" si="320"/>
        <v>14</v>
      </c>
      <c r="GC67" s="15">
        <f t="shared" si="320"/>
        <v>15</v>
      </c>
      <c r="GD67" s="15">
        <f t="shared" si="320"/>
        <v>16</v>
      </c>
      <c r="GE67" s="15">
        <f t="shared" si="320"/>
        <v>17</v>
      </c>
      <c r="GF67" s="15">
        <f t="shared" ref="GF67:GH67" si="321">IFERROR(IF(AK67&lt;&gt;"",UPPER(AK67),GF$18),GF$18)</f>
        <v>18</v>
      </c>
      <c r="GG67" s="15">
        <f t="shared" si="321"/>
        <v>19</v>
      </c>
      <c r="GH67" s="15">
        <f t="shared" si="321"/>
        <v>20</v>
      </c>
      <c r="GI67" s="15"/>
      <c r="GJ67" s="15"/>
      <c r="GK67" s="15"/>
      <c r="GL67" s="15"/>
      <c r="GM67" s="15"/>
      <c r="GN67" s="15"/>
      <c r="GO67" s="15"/>
      <c r="GP67" s="15"/>
      <c r="GQ67" s="15"/>
      <c r="GR67" s="15"/>
      <c r="GS67" s="15"/>
      <c r="GT67" s="15">
        <f t="shared" ref="GT67:GY67" si="322">COUNTIF($EH67:$FA67,GT$18)</f>
        <v>0</v>
      </c>
      <c r="GU67" s="15">
        <f t="shared" si="322"/>
        <v>0</v>
      </c>
      <c r="GV67" s="15">
        <f t="shared" si="322"/>
        <v>0</v>
      </c>
      <c r="GW67" s="15">
        <f t="shared" si="322"/>
        <v>0</v>
      </c>
      <c r="GX67" s="15">
        <f t="shared" si="322"/>
        <v>0</v>
      </c>
      <c r="GY67" s="15">
        <f t="shared" si="322"/>
        <v>0</v>
      </c>
      <c r="GZ67" s="15"/>
      <c r="HA67" s="15" t="str">
        <f>IF(AND($F67="Hybrid - Thrust + 2 connections",HA68=0,LEFT($J67,1)="C",LEFT($K67,1)="C",LEFT($L67,1)="C"),"X","")</f>
        <v/>
      </c>
      <c r="HB67" s="15"/>
      <c r="HC67" s="5"/>
      <c r="HD67" s="124"/>
      <c r="HE67" s="124"/>
      <c r="HF67" s="5" t="str">
        <f>IF(E68=3,_xludf.NUMBERVALUE(LEFT(J67,1)),"")</f>
        <v/>
      </c>
    </row>
    <row r="68" spans="1:214" ht="12.75" hidden="1" customHeight="1" x14ac:dyDescent="0.3">
      <c r="A68" s="134"/>
      <c r="B68" s="135"/>
      <c r="C68" s="135"/>
      <c r="D68" s="135"/>
      <c r="E68" s="136" t="str">
        <f>IF(F67="Acrobatic - Pair","PA",IF(F67="Acrobatic Airborn","A",IF(F67="Acrobatic Balance","B",IF(F67="Acrobatic Combined","C",IF(F67="Acrobatic Platform","P",IF(F67="Technical Required Element",3,IF(LEFT(F67,4)="Hybr","H","")))))))</f>
        <v/>
      </c>
      <c r="F68" s="145" t="str">
        <f>IF(AND(F67="Hybrid - Thrust + 2 connections",CR67="X"),"Hybrid - Thrust",IF(OR(E68="A",E68="B",E68="C",E68="P"),"Acrobatic",""))</f>
        <v/>
      </c>
      <c r="G68" s="137"/>
      <c r="H68" s="146" t="str">
        <f>IF(E68="PA",IF(OR(LEFT(J67,1)="L",LEFT(J67,1)="S"),"A-Pair-Lift",IF(OR(LEFT(J67,1)="W",LEFT(J67,1)="T"),"A-Pair-Throw",IF(LEFT(J67,1)="J","A-Pair-Jump","A-Pair"))),IF(OR(E68="A",E68="B",E68="C",E68="P"),CONCATENATE("Acro-",E68),""))</f>
        <v/>
      </c>
      <c r="I68" s="139" t="e">
        <f t="array" ref="I68">IF(OR(F67="Hybrid - min 4 swimmers (no DD)",LEFT(F67,5)="Trans"),0,INDEX($BY$3:$BY$9,MATCH(E68,$BX$3:$BX$9,0)))</f>
        <v>#N/A</v>
      </c>
      <c r="J68" s="140">
        <f t="shared" ref="J68:Z68" ca="1" si="323">IFERROR(IF($H67="No DD",0,IF(OR(ISBLANK(J67),J67="N/A"),0,INDEX(INDIRECT(BI68),MATCH(J67,INDIRECT(BI67),0)))),0)</f>
        <v>0</v>
      </c>
      <c r="K68" s="141">
        <f t="shared" ca="1" si="323"/>
        <v>0</v>
      </c>
      <c r="L68" s="141">
        <f t="shared" ca="1" si="323"/>
        <v>0</v>
      </c>
      <c r="M68" s="141">
        <f t="shared" ca="1" si="323"/>
        <v>0</v>
      </c>
      <c r="N68" s="141">
        <f t="shared" ca="1" si="323"/>
        <v>0</v>
      </c>
      <c r="O68" s="141">
        <f t="shared" ca="1" si="323"/>
        <v>0</v>
      </c>
      <c r="P68" s="141">
        <f t="shared" ca="1" si="323"/>
        <v>0</v>
      </c>
      <c r="Q68" s="141">
        <f t="shared" ca="1" si="323"/>
        <v>0</v>
      </c>
      <c r="R68" s="141">
        <f t="shared" ca="1" si="323"/>
        <v>0</v>
      </c>
      <c r="S68" s="141">
        <f t="shared" ca="1" si="323"/>
        <v>0</v>
      </c>
      <c r="T68" s="141">
        <f t="shared" ca="1" si="323"/>
        <v>0</v>
      </c>
      <c r="U68" s="141">
        <f t="shared" ca="1" si="323"/>
        <v>0</v>
      </c>
      <c r="V68" s="141">
        <f t="shared" ca="1" si="323"/>
        <v>0</v>
      </c>
      <c r="W68" s="141">
        <f t="shared" ca="1" si="323"/>
        <v>0</v>
      </c>
      <c r="X68" s="141">
        <f t="shared" ca="1" si="323"/>
        <v>0</v>
      </c>
      <c r="Y68" s="141">
        <f t="shared" ca="1" si="323"/>
        <v>0</v>
      </c>
      <c r="Z68" s="141">
        <f t="shared" ca="1" si="323"/>
        <v>0</v>
      </c>
      <c r="AA68" s="141">
        <f t="shared" ref="AA68:AB68" ca="1" si="324">IFERROR(IF($H67="No DD",0,IF(OR(ISBLANK(AA67),AA67="N/A"),0,INDEX(INDIRECT(BX68),MATCH(AA67,INDIRECT(BX67),0)))),0)</f>
        <v>0</v>
      </c>
      <c r="AB68" s="141">
        <f t="shared" ca="1" si="324"/>
        <v>0</v>
      </c>
      <c r="AC68" s="141">
        <f t="shared" ref="AC68:AD68" ca="1" si="325">IFERROR(IF($H67="No DD",0,IF(OR(ISBLANK(AC67),AC67="N/A"),0,INDEX(INDIRECT(BX68),MATCH(AC67,INDIRECT(BX67),0)))),0)</f>
        <v>0</v>
      </c>
      <c r="AD68" s="141">
        <f t="shared" ca="1" si="325"/>
        <v>0</v>
      </c>
      <c r="AE68" s="141">
        <f t="shared" ref="AE68:AF68" ca="1" si="326">IFERROR(IF($H67="No DD",0,IF(OR(ISBLANK(AE67),AE67="N/A"),0,INDEX(INDIRECT(BX68),MATCH(AE67,INDIRECT(BX67),0)))),0)</f>
        <v>0</v>
      </c>
      <c r="AF68" s="141">
        <f t="shared" ca="1" si="326"/>
        <v>0</v>
      </c>
      <c r="AG68" s="141">
        <f t="shared" ref="AG68:AH68" ca="1" si="327">IFERROR(IF($H67="No DD",0,IF(OR(ISBLANK(AG67),AG67="N/A"),0,INDEX(INDIRECT(BX68),MATCH(AG67,INDIRECT(BX67),0)))),0)</f>
        <v>0</v>
      </c>
      <c r="AH68" s="141">
        <f t="shared" ca="1" si="327"/>
        <v>0</v>
      </c>
      <c r="AI68" s="141">
        <f t="shared" ref="AI68:AM68" ca="1" si="328">IFERROR(IF($H67="No DD",0,IF(OR(ISBLANK(AI67),AI67="N/A"),0,INDEX(INDIRECT(BX68),MATCH(AI67,INDIRECT(BX67),0)))),0)</f>
        <v>0</v>
      </c>
      <c r="AJ68" s="141">
        <f t="shared" ca="1" si="328"/>
        <v>0</v>
      </c>
      <c r="AK68" s="141">
        <f t="shared" ca="1" si="328"/>
        <v>0</v>
      </c>
      <c r="AL68" s="141">
        <f t="shared" ca="1" si="328"/>
        <v>0</v>
      </c>
      <c r="AM68" s="141">
        <f t="shared" ca="1" si="328"/>
        <v>0</v>
      </c>
      <c r="AN68" s="143" t="str">
        <f t="array" ref="AN68">IFERROR(IF(E68="H",INDEX(HybridBonus_Value,MATCH(AN67,HybridBonus_Code,0)),""),"")</f>
        <v/>
      </c>
      <c r="AO68" s="144" t="str">
        <f>IFERROR(IF(J67&lt;&gt;"",SUM(I68:AN68),""),"")</f>
        <v/>
      </c>
      <c r="AP68" s="132"/>
      <c r="AQ68" s="132"/>
      <c r="AR68" s="131"/>
      <c r="AS68" s="131"/>
      <c r="AT68" s="131"/>
      <c r="AU68" s="131"/>
      <c r="AV68" s="131"/>
      <c r="AW68" s="131"/>
      <c r="AX68" s="131"/>
      <c r="AY68" s="131"/>
      <c r="AZ68" s="131"/>
      <c r="BA68" s="131"/>
      <c r="BB68" s="131"/>
      <c r="BC68" s="131"/>
      <c r="BD68" s="131"/>
      <c r="BE68" s="131"/>
      <c r="BF68" s="131"/>
      <c r="BG68" s="12"/>
      <c r="BH68" s="131"/>
      <c r="BI68" s="5" t="str">
        <f>IF($E68="H","HybridDD_Value",IF($E68=3,"TreDD_Value",IF($E68="PA","AcroPair_Value",IF(LEFT($F67,4)="Acro",CONCATENATE(BI$16,$E68,"_Value"),""))))</f>
        <v/>
      </c>
      <c r="BJ68" s="5" t="str">
        <f t="shared" ref="BJ68:BQ68" si="329">IF($E68="H","HybridDD_Value",IF($E68=3,"",IF(LEFT($F67,4)="Acro",CONCATENATE(BJ$16,$E68,"_Value"),IF($E68="PA","",""))))</f>
        <v/>
      </c>
      <c r="BK68" s="5" t="str">
        <f t="shared" si="329"/>
        <v/>
      </c>
      <c r="BL68" s="5" t="str">
        <f t="shared" si="329"/>
        <v/>
      </c>
      <c r="BM68" s="5" t="str">
        <f t="shared" si="329"/>
        <v/>
      </c>
      <c r="BN68" s="5" t="str">
        <f t="shared" si="329"/>
        <v/>
      </c>
      <c r="BO68" s="5" t="str">
        <f t="shared" si="329"/>
        <v/>
      </c>
      <c r="BP68" s="5" t="str">
        <f t="shared" si="329"/>
        <v/>
      </c>
      <c r="BQ68" s="5" t="str">
        <f t="shared" si="329"/>
        <v/>
      </c>
      <c r="BR68" s="12" t="str">
        <f>IF($E68="H","HybridDD_Value","Data!$BI$1:$BI$5")</f>
        <v>Data!$BI$1:$BI$5</v>
      </c>
      <c r="BS68" s="12" t="str">
        <f t="shared" ref="BS68:CB68" si="330">$BR68</f>
        <v>Data!$BI$1:$BI$5</v>
      </c>
      <c r="BT68" s="12" t="str">
        <f t="shared" si="330"/>
        <v>Data!$BI$1:$BI$5</v>
      </c>
      <c r="BU68" s="12" t="str">
        <f t="shared" si="330"/>
        <v>Data!$BI$1:$BI$5</v>
      </c>
      <c r="BV68" s="12" t="str">
        <f t="shared" si="330"/>
        <v>Data!$BI$1:$BI$5</v>
      </c>
      <c r="BW68" s="12" t="str">
        <f t="shared" si="330"/>
        <v>Data!$BI$1:$BI$5</v>
      </c>
      <c r="BX68" s="12" t="str">
        <f t="shared" si="330"/>
        <v>Data!$BI$1:$BI$5</v>
      </c>
      <c r="BY68" s="12" t="str">
        <f t="shared" si="330"/>
        <v>Data!$BI$1:$BI$5</v>
      </c>
      <c r="BZ68" s="12" t="str">
        <f t="shared" si="330"/>
        <v>Data!$BI$1:$BI$5</v>
      </c>
      <c r="CA68" s="12" t="str">
        <f t="shared" si="330"/>
        <v>Data!$BI$1:$BI$5</v>
      </c>
      <c r="CB68" s="12" t="str">
        <f t="shared" si="330"/>
        <v>Data!$BI$1:$BI$5</v>
      </c>
      <c r="CC68" s="12"/>
      <c r="CD68" s="12"/>
      <c r="CE68" s="12"/>
      <c r="CF68" s="12"/>
      <c r="CG68" s="12"/>
      <c r="CH68" s="12"/>
      <c r="CI68" s="12"/>
      <c r="CJ68" s="12"/>
      <c r="CK68" s="12"/>
      <c r="CL68" s="12"/>
      <c r="CM68" s="131"/>
      <c r="CN68" s="131"/>
      <c r="CO68" s="124" t="str">
        <f>IFERROR(IF(AND($BV$6="T",$BV$8="T",LEFT(F67,4)="Acro",AO68&gt;3),"X",IF($N$7="X",IF(AND(E68="C",AO68&gt;$CN$6),"X",IF(AND(E68="A",AO68&gt;$CN$4),"X",IF(AND(E68="B",AO68&gt;$CN$5),"X",IF(AND(E68="P",AO68&gt;$CN$7),"X","")))),"")),"")</f>
        <v/>
      </c>
      <c r="CP68" s="63"/>
      <c r="CQ68" s="5"/>
      <c r="CR68" s="15"/>
      <c r="CS68" s="5"/>
      <c r="CT68" s="5"/>
      <c r="CU68" s="5"/>
      <c r="CV68" s="5"/>
      <c r="CW68" s="5"/>
      <c r="CX68" s="5"/>
      <c r="CY68" s="5"/>
      <c r="CZ68" s="5"/>
      <c r="DA68" s="15"/>
      <c r="DB68" s="15"/>
      <c r="DC68" s="15"/>
      <c r="DD68" s="15" t="str">
        <f t="shared" si="10"/>
        <v/>
      </c>
      <c r="DE68" s="15" t="str">
        <f t="shared" si="11"/>
        <v/>
      </c>
      <c r="DF68" s="15" t="str">
        <f t="shared" si="12"/>
        <v/>
      </c>
      <c r="DG68" s="15" t="str">
        <f t="shared" si="13"/>
        <v/>
      </c>
      <c r="DH68" s="15"/>
      <c r="DI68" s="15"/>
      <c r="DJ68" s="15"/>
      <c r="DK68" s="15"/>
      <c r="DL68" s="15"/>
      <c r="DM68" s="15"/>
      <c r="DN68" s="15"/>
      <c r="DO68" s="15">
        <v>50</v>
      </c>
      <c r="DP68" s="15"/>
      <c r="DQ68" s="15"/>
      <c r="DR68" s="15"/>
      <c r="DS68" s="15"/>
      <c r="DT68" s="15"/>
      <c r="DU68" s="15"/>
      <c r="DV68" s="15"/>
      <c r="DW68" s="15"/>
      <c r="DX68" s="15"/>
      <c r="DY68" s="15"/>
      <c r="DZ68" s="15"/>
      <c r="EA68" s="15"/>
      <c r="EB68" s="15"/>
      <c r="EC68" s="15"/>
      <c r="ED68" s="15"/>
      <c r="EE68" s="15"/>
      <c r="EF68" s="15" t="str">
        <f t="array" ref="EF68">IFERROR(INDEX(EH68:FA68,MATCH(TRUE,INDEX((EH68:FA68&lt;&gt;""),),0)),"")</f>
        <v/>
      </c>
      <c r="EG68" s="15"/>
      <c r="EH68" s="15" t="str">
        <f t="shared" ref="EH68:FA68" si="331">IF(F67="Hybrid - Thrust + 2 connections",IF(COUNTIF($EH67:$FA67,EH67)&gt;1,EH67,""),IF(COUNTIF($EH67:$FA67,EH67)&gt;5,EH67,""))</f>
        <v/>
      </c>
      <c r="EI68" s="15" t="str">
        <f t="shared" si="331"/>
        <v/>
      </c>
      <c r="EJ68" s="15" t="str">
        <f t="shared" si="331"/>
        <v/>
      </c>
      <c r="EK68" s="15" t="str">
        <f t="shared" si="331"/>
        <v/>
      </c>
      <c r="EL68" s="15" t="str">
        <f t="shared" si="331"/>
        <v/>
      </c>
      <c r="EM68" s="15" t="str">
        <f t="shared" si="331"/>
        <v/>
      </c>
      <c r="EN68" s="15" t="str">
        <f t="shared" si="331"/>
        <v/>
      </c>
      <c r="EO68" s="15" t="str">
        <f t="shared" si="331"/>
        <v/>
      </c>
      <c r="EP68" s="15" t="str">
        <f t="shared" si="331"/>
        <v/>
      </c>
      <c r="EQ68" s="15" t="str">
        <f t="shared" si="331"/>
        <v/>
      </c>
      <c r="ER68" s="15" t="str">
        <f t="shared" si="331"/>
        <v/>
      </c>
      <c r="ES68" s="15" t="str">
        <f t="shared" si="331"/>
        <v/>
      </c>
      <c r="ET68" s="15" t="str">
        <f t="shared" si="331"/>
        <v/>
      </c>
      <c r="EU68" s="15" t="str">
        <f t="shared" si="331"/>
        <v/>
      </c>
      <c r="EV68" s="15" t="str">
        <f t="shared" si="331"/>
        <v/>
      </c>
      <c r="EW68" s="15" t="str">
        <f t="shared" si="331"/>
        <v/>
      </c>
      <c r="EX68" s="15" t="str">
        <f t="shared" si="331"/>
        <v/>
      </c>
      <c r="EY68" s="15" t="str">
        <f t="shared" si="331"/>
        <v/>
      </c>
      <c r="EZ68" s="15" t="str">
        <f t="shared" si="331"/>
        <v/>
      </c>
      <c r="FA68" s="15" t="str">
        <f t="shared" si="331"/>
        <v/>
      </c>
      <c r="FB68" s="15"/>
      <c r="FC68" s="15"/>
      <c r="FD68" s="15"/>
      <c r="FE68" s="15"/>
      <c r="FF68" s="15"/>
      <c r="FG68" s="15"/>
      <c r="FH68" s="15"/>
      <c r="FI68" s="15"/>
      <c r="FJ68" s="15"/>
      <c r="FK68" s="15"/>
      <c r="FL68" s="15"/>
      <c r="FM68" s="15"/>
      <c r="FN68" s="15" t="str">
        <f t="array" ref="FN68">IFERROR(INDEX(FO68:GH68,MATCH(TRUE,INDEX((FO68:GH68&lt;&gt;""),),0)),"")</f>
        <v/>
      </c>
      <c r="FO68" s="15" t="str">
        <f t="shared" ref="FO68:GH68" si="332">IF(COUNTIF($FO67:$GH67,FO67)&gt;3,FO67,"")</f>
        <v/>
      </c>
      <c r="FP68" s="15" t="str">
        <f t="shared" si="332"/>
        <v/>
      </c>
      <c r="FQ68" s="15" t="str">
        <f t="shared" si="332"/>
        <v/>
      </c>
      <c r="FR68" s="15" t="str">
        <f t="shared" si="332"/>
        <v/>
      </c>
      <c r="FS68" s="15" t="str">
        <f t="shared" si="332"/>
        <v/>
      </c>
      <c r="FT68" s="15" t="str">
        <f t="shared" si="332"/>
        <v/>
      </c>
      <c r="FU68" s="15" t="str">
        <f t="shared" si="332"/>
        <v/>
      </c>
      <c r="FV68" s="15" t="str">
        <f t="shared" si="332"/>
        <v/>
      </c>
      <c r="FW68" s="15" t="str">
        <f t="shared" si="332"/>
        <v/>
      </c>
      <c r="FX68" s="15" t="str">
        <f t="shared" si="332"/>
        <v/>
      </c>
      <c r="FY68" s="15" t="str">
        <f t="shared" si="332"/>
        <v/>
      </c>
      <c r="FZ68" s="15" t="str">
        <f t="shared" si="332"/>
        <v/>
      </c>
      <c r="GA68" s="15" t="str">
        <f t="shared" si="332"/>
        <v/>
      </c>
      <c r="GB68" s="15" t="str">
        <f t="shared" si="332"/>
        <v/>
      </c>
      <c r="GC68" s="15" t="str">
        <f t="shared" si="332"/>
        <v/>
      </c>
      <c r="GD68" s="15" t="str">
        <f t="shared" si="332"/>
        <v/>
      </c>
      <c r="GE68" s="15" t="str">
        <f t="shared" si="332"/>
        <v/>
      </c>
      <c r="GF68" s="15" t="str">
        <f t="shared" si="332"/>
        <v/>
      </c>
      <c r="GG68" s="15" t="str">
        <f t="shared" si="332"/>
        <v/>
      </c>
      <c r="GH68" s="15" t="str">
        <f t="shared" si="332"/>
        <v/>
      </c>
      <c r="GI68" s="15"/>
      <c r="GJ68" s="15"/>
      <c r="GK68" s="15"/>
      <c r="GL68" s="15"/>
      <c r="GM68" s="15"/>
      <c r="GN68" s="15"/>
      <c r="GO68" s="15"/>
      <c r="GP68" s="15"/>
      <c r="GQ68" s="15"/>
      <c r="GR68" s="15"/>
      <c r="GS68" s="15"/>
      <c r="GT68" s="15"/>
      <c r="GU68" s="15"/>
      <c r="GV68" s="15"/>
      <c r="GW68" s="15"/>
      <c r="GX68" s="15"/>
      <c r="GY68" s="15"/>
      <c r="GZ68" s="15"/>
      <c r="HA68" s="15" t="str">
        <f>IF($F67="Hybrid - Thrust + 2 connections",COUNTBLANK(J67:L67),"")</f>
        <v/>
      </c>
      <c r="HB68" s="15"/>
      <c r="HC68" s="5"/>
      <c r="HD68" s="5"/>
      <c r="HE68" s="5"/>
      <c r="HF68" s="5"/>
    </row>
    <row r="69" spans="1:214" ht="12.75" hidden="1" customHeight="1" x14ac:dyDescent="0.3">
      <c r="A69" s="147" t="str">
        <f>IF(AND(E67="",A67&lt;&gt;""),IF(CP67=$CP$18,"",IF(C67&lt;&gt;"",MINUTE(CP67),"")),"")</f>
        <v/>
      </c>
      <c r="B69" s="147" t="str">
        <f>IF(AND(E67="",B67&lt;&gt;""),IF(CP67=$CP$18,"",IF(C67&lt;&gt;"",SECOND(CP67)+1,"")),"")</f>
        <v/>
      </c>
      <c r="C69" s="119"/>
      <c r="D69" s="119"/>
      <c r="E69" s="119"/>
      <c r="F69" s="148"/>
      <c r="G69" s="120" t="str">
        <f>IF(F69&lt;&gt;"",IF(OR(F69="Transition",F69="Connected Surface Movment",F69="Cadense"),0,MAX($G$19:G68)+1),"")</f>
        <v/>
      </c>
      <c r="H69" s="223" t="str">
        <f>IFERROR(IF(OR(F69="Hybrid - min 4 swimmers (no DD)",LEFT(F69,5)="Trans"),"No DD",CONCATENATE("BM = ",I70)),"")</f>
        <v xml:space="preserve">BM = </v>
      </c>
      <c r="I69" s="224"/>
      <c r="J69" s="121" t="s">
        <v>138</v>
      </c>
      <c r="K69" s="149" t="s">
        <v>139</v>
      </c>
      <c r="L69" s="121" t="s">
        <v>140</v>
      </c>
      <c r="M69" s="121" t="s">
        <v>140</v>
      </c>
      <c r="N69" s="150"/>
      <c r="O69" s="121" t="s">
        <v>140</v>
      </c>
      <c r="P69" s="121" t="s">
        <v>140</v>
      </c>
      <c r="Q69" s="121" t="s">
        <v>141</v>
      </c>
      <c r="R69" s="121" t="s">
        <v>142</v>
      </c>
      <c r="S69" s="121" t="s">
        <v>143</v>
      </c>
      <c r="T69" s="121" t="s">
        <v>144</v>
      </c>
      <c r="U69" s="121" t="s">
        <v>145</v>
      </c>
      <c r="V69" s="121" t="s">
        <v>146</v>
      </c>
      <c r="W69" s="121" t="s">
        <v>147</v>
      </c>
      <c r="X69" s="121" t="s">
        <v>148</v>
      </c>
      <c r="Y69" s="121" t="s">
        <v>148</v>
      </c>
      <c r="Z69" s="121" t="s">
        <v>148</v>
      </c>
      <c r="AA69" s="121" t="s">
        <v>149</v>
      </c>
      <c r="AB69" s="121" t="s">
        <v>150</v>
      </c>
      <c r="AC69" s="121" t="s">
        <v>151</v>
      </c>
      <c r="AD69" s="123"/>
      <c r="AE69" s="16"/>
      <c r="AF69" s="151"/>
      <c r="AG69" s="5"/>
      <c r="AH69" s="5"/>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5">
        <f>COUNTIF(CP69:EM69,"=T1")+COUNTIF(CP69:EM69,"=T2")+COUNTIF(CP69:EM69,"=T3")+COUNTIF(CP69:EM69,"=T4")</f>
        <v>0</v>
      </c>
      <c r="BZ69" s="5"/>
      <c r="CA69" s="5">
        <f>COUNTIF(CP69:EM69,"=r1")+COUNTIF(CP69:EM69,"=r2")+COUNTIF(CP69:EM69,"=r3")+COUNTIF(CP69:EM69,"=r4")</f>
        <v>0</v>
      </c>
      <c r="CB69" s="5"/>
      <c r="CC69" s="5"/>
      <c r="CD69" s="5"/>
      <c r="CE69" s="5"/>
      <c r="CF69" s="5"/>
      <c r="CG69" s="5"/>
      <c r="CH69" s="5"/>
      <c r="CI69" s="5"/>
      <c r="CJ69" s="5"/>
      <c r="CK69" s="5"/>
      <c r="CL69" s="5"/>
      <c r="CM69" s="5">
        <f>COUNTIF(CP69:EM69,"=A")</f>
        <v>0</v>
      </c>
      <c r="CN69" s="5">
        <f>COUNTIF(CP69:EM69,"=F")</f>
        <v>0</v>
      </c>
      <c r="CO69" s="5">
        <f>COUNTIF(CP69:EM69,"=C")</f>
        <v>0</v>
      </c>
      <c r="CP69" s="15" t="str">
        <f t="shared" ref="CP69:DA69" si="333">IF($E70="H",IF(OR(LEFT(J69,1)="T",LEFT(J69,1)="R"),LEFT(J69,2),LEFT(J69,1)),"")</f>
        <v/>
      </c>
      <c r="CQ69" s="15" t="str">
        <f t="shared" si="333"/>
        <v/>
      </c>
      <c r="CR69" s="15" t="str">
        <f t="shared" si="333"/>
        <v/>
      </c>
      <c r="CS69" s="15" t="str">
        <f t="shared" si="333"/>
        <v/>
      </c>
      <c r="CT69" s="15" t="str">
        <f t="shared" si="333"/>
        <v/>
      </c>
      <c r="CU69" s="15" t="str">
        <f t="shared" si="333"/>
        <v/>
      </c>
      <c r="CV69" s="15" t="str">
        <f t="shared" si="333"/>
        <v/>
      </c>
      <c r="CW69" s="15" t="str">
        <f t="shared" si="333"/>
        <v/>
      </c>
      <c r="CX69" s="15" t="str">
        <f t="shared" si="333"/>
        <v/>
      </c>
      <c r="CY69" s="15" t="str">
        <f t="shared" si="333"/>
        <v/>
      </c>
      <c r="CZ69" s="15" t="str">
        <f t="shared" si="333"/>
        <v/>
      </c>
      <c r="DA69" s="15" t="str">
        <f t="shared" si="333"/>
        <v/>
      </c>
      <c r="DB69" s="15">
        <f>IF(OR(R69="Grip",R69="Conn",R69="Catch"),"A",IF(OR(R69="Hula",R69="RetSq",R69="RetPa"),"B",2))</f>
        <v>2</v>
      </c>
      <c r="DC69" s="15" t="str">
        <f>IF(AND(LEFT(F69,4)="Acro",Q69&lt;&gt;"",OR(Q69=R69,DA69=DB69)),"X","")</f>
        <v/>
      </c>
      <c r="DD69" s="15" t="str">
        <f>IF($E70="H",IF(OR(LEFT(W69,1)="T",LEFT(W69,1)="R"),LEFT(W69,2),LEFT(W69,1)),"")</f>
        <v/>
      </c>
      <c r="DE69" s="15"/>
      <c r="DF69" s="15"/>
      <c r="DG69" s="15"/>
      <c r="DH69" s="15"/>
      <c r="DI69" s="15"/>
      <c r="DJ69" s="15"/>
      <c r="DK69" s="15"/>
      <c r="DL69" s="15"/>
      <c r="DM69" s="15"/>
      <c r="DN69" s="15"/>
      <c r="DO69" s="15"/>
      <c r="DP69" s="15"/>
      <c r="DQ69" s="15"/>
      <c r="DR69" s="15"/>
      <c r="DS69" s="15"/>
      <c r="DT69" s="15"/>
      <c r="DU69" s="15"/>
      <c r="DV69" s="15"/>
      <c r="DW69" s="15"/>
      <c r="DX69" s="15" t="str">
        <f>IF($E70="H",IF(OR(LEFT(X69,1)="T",LEFT(X69,1)="R"),LEFT(X69,2),LEFT(X69,1)),"")</f>
        <v/>
      </c>
      <c r="DY69" s="15"/>
      <c r="DZ69" s="15"/>
      <c r="EA69" s="15"/>
      <c r="EB69" s="15"/>
      <c r="EC69" s="15"/>
      <c r="ED69" s="15"/>
      <c r="EE69" s="15"/>
      <c r="EF69" s="15"/>
      <c r="EG69" s="15"/>
      <c r="EH69" s="15"/>
      <c r="EI69" s="15" t="str">
        <f t="shared" ref="EI69:EJ69" si="334">IF($E70="H",IF(OR(LEFT(X69,1)="T",LEFT(X69,1)="R"),LEFT(X69,2),LEFT(X69,1)),"")</f>
        <v/>
      </c>
      <c r="EJ69" s="15" t="str">
        <f t="shared" si="334"/>
        <v/>
      </c>
      <c r="EK69" s="15" t="str">
        <f t="shared" ref="EK69:EM69" si="335">IF($E70="H",IF(OR(LEFT(AA69,1)="T",LEFT(AA69,1)="R"),LEFT(AA69,2),LEFT(AA69,1)),"")</f>
        <v/>
      </c>
      <c r="EL69" s="15" t="str">
        <f t="shared" si="335"/>
        <v/>
      </c>
      <c r="EM69" s="15" t="str">
        <f t="shared" si="335"/>
        <v/>
      </c>
      <c r="EN69" s="15"/>
      <c r="EO69" s="15"/>
      <c r="EP69" s="15"/>
      <c r="EQ69" s="15"/>
      <c r="ER69" s="152"/>
      <c r="ES69" s="152"/>
      <c r="ET69" s="152"/>
      <c r="EU69" s="152"/>
      <c r="EV69" s="152"/>
      <c r="EW69" s="152"/>
      <c r="EX69" s="152"/>
      <c r="EY69" s="152"/>
      <c r="EZ69" s="152"/>
      <c r="FA69" s="152"/>
      <c r="FB69" s="152"/>
      <c r="FC69" s="152"/>
      <c r="FD69" s="152"/>
      <c r="FE69" s="152"/>
      <c r="FF69" s="152"/>
      <c r="FG69" s="152"/>
      <c r="FH69" s="152"/>
      <c r="FI69" s="152"/>
      <c r="FJ69" s="152"/>
      <c r="FK69" s="152"/>
      <c r="FL69" s="152"/>
      <c r="FM69" s="152"/>
      <c r="FN69" s="152"/>
      <c r="FO69" s="152"/>
      <c r="FP69" s="152"/>
      <c r="FQ69" s="152"/>
      <c r="FR69" s="152"/>
      <c r="FS69" s="152"/>
      <c r="FT69" s="152"/>
      <c r="FU69" s="152"/>
      <c r="FV69" s="152"/>
      <c r="FW69" s="152"/>
      <c r="FX69" s="152"/>
      <c r="FY69" s="152"/>
      <c r="FZ69" s="152"/>
      <c r="GA69" s="152"/>
      <c r="GB69" s="152"/>
      <c r="GC69" s="152"/>
      <c r="GD69" s="152"/>
      <c r="GE69" s="152"/>
      <c r="GF69" s="152"/>
      <c r="GG69" s="152"/>
      <c r="GH69" s="152"/>
      <c r="GI69" s="152"/>
      <c r="GJ69" s="152"/>
      <c r="GK69" s="152"/>
      <c r="GL69" s="152"/>
      <c r="GM69" s="152"/>
      <c r="GN69" s="152"/>
      <c r="GO69" s="152"/>
      <c r="GP69" s="152"/>
      <c r="GQ69" s="152"/>
      <c r="GR69" s="152"/>
      <c r="GS69" s="152"/>
      <c r="GT69" s="152"/>
      <c r="GU69" s="152"/>
      <c r="GV69" s="151"/>
      <c r="GW69" s="151"/>
      <c r="GX69" s="151"/>
      <c r="GY69" s="151"/>
      <c r="GZ69" s="151"/>
      <c r="HA69" s="151"/>
      <c r="HB69" s="151"/>
      <c r="HC69" s="151"/>
      <c r="HD69" s="151"/>
      <c r="HE69" s="151"/>
      <c r="HF69" s="151"/>
    </row>
    <row r="70" spans="1:214" ht="12.75" customHeight="1" x14ac:dyDescent="0.3">
      <c r="A70" s="119"/>
      <c r="B70" s="119"/>
      <c r="C70" s="119"/>
      <c r="D70" s="119"/>
      <c r="E70" s="119"/>
      <c r="F70" s="57"/>
      <c r="G70" s="57"/>
      <c r="H70" s="57"/>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5"/>
      <c r="AH70" s="5"/>
      <c r="AI70" s="5"/>
      <c r="AJ70" s="5"/>
      <c r="AK70" s="5"/>
      <c r="AL70" s="5"/>
      <c r="AM70" s="5"/>
      <c r="AN70" s="5"/>
      <c r="AO70" s="5"/>
      <c r="AP70" s="5"/>
      <c r="AQ70" s="5"/>
      <c r="AR70" s="5"/>
      <c r="AS70" s="5"/>
      <c r="AT70" s="5"/>
      <c r="AU70" s="5"/>
      <c r="AV70" s="5"/>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3"/>
      <c r="CQ70" s="153"/>
      <c r="CR70" s="153"/>
      <c r="CS70" s="153"/>
      <c r="CT70" s="153"/>
      <c r="CU70" s="153"/>
      <c r="CV70" s="153"/>
      <c r="CW70" s="153"/>
      <c r="CX70" s="153"/>
      <c r="CY70" s="153"/>
      <c r="CZ70" s="153"/>
      <c r="DA70" s="153"/>
      <c r="DB70" s="153"/>
      <c r="DC70" s="153"/>
      <c r="DD70" s="153"/>
      <c r="DE70" s="153"/>
      <c r="DF70" s="153"/>
      <c r="DG70" s="153"/>
      <c r="DH70" s="153"/>
      <c r="DI70" s="153"/>
      <c r="DJ70" s="153"/>
      <c r="DK70" s="153"/>
      <c r="DL70" s="153"/>
      <c r="DM70" s="153"/>
      <c r="DN70" s="153"/>
      <c r="DO70" s="153"/>
      <c r="DP70" s="153"/>
      <c r="DQ70" s="153"/>
      <c r="DR70" s="153"/>
      <c r="DS70" s="153"/>
      <c r="DT70" s="153"/>
      <c r="DU70" s="153"/>
      <c r="DV70" s="153"/>
      <c r="DW70" s="153"/>
      <c r="DX70" s="153"/>
      <c r="DY70" s="153"/>
      <c r="DZ70" s="153"/>
      <c r="EA70" s="153"/>
      <c r="EB70" s="153"/>
      <c r="EC70" s="153"/>
      <c r="ED70" s="153"/>
      <c r="EE70" s="153"/>
      <c r="EF70" s="153"/>
      <c r="EG70" s="153"/>
      <c r="EH70" s="153"/>
      <c r="EI70" s="153"/>
      <c r="EJ70" s="153"/>
      <c r="EK70" s="153"/>
      <c r="EL70" s="153"/>
      <c r="EM70" s="153"/>
      <c r="EN70" s="153"/>
      <c r="EO70" s="153"/>
      <c r="EP70" s="153"/>
      <c r="EQ70" s="153"/>
      <c r="ER70" s="152"/>
      <c r="ES70" s="152"/>
      <c r="ET70" s="152"/>
      <c r="EU70" s="152"/>
      <c r="EV70" s="152"/>
      <c r="EW70" s="152"/>
      <c r="EX70" s="152"/>
      <c r="EY70" s="152"/>
      <c r="EZ70" s="152"/>
      <c r="FA70" s="152"/>
      <c r="FB70" s="152"/>
      <c r="FC70" s="152"/>
      <c r="FD70" s="152"/>
      <c r="FE70" s="152"/>
      <c r="FF70" s="152"/>
      <c r="FG70" s="152"/>
      <c r="FH70" s="152"/>
      <c r="FI70" s="152"/>
      <c r="FJ70" s="152"/>
      <c r="FK70" s="152"/>
      <c r="FL70" s="152"/>
      <c r="FM70" s="152"/>
      <c r="FN70" s="152"/>
      <c r="FO70" s="152"/>
      <c r="FP70" s="152"/>
      <c r="FQ70" s="152"/>
      <c r="FR70" s="152"/>
      <c r="FS70" s="152"/>
      <c r="FT70" s="152"/>
      <c r="FU70" s="152"/>
      <c r="FV70" s="152"/>
      <c r="FW70" s="152"/>
      <c r="FX70" s="152"/>
      <c r="FY70" s="152"/>
      <c r="FZ70" s="152"/>
      <c r="GA70" s="152"/>
      <c r="GB70" s="152"/>
      <c r="GC70" s="152"/>
      <c r="GD70" s="152"/>
      <c r="GE70" s="152"/>
      <c r="GF70" s="152"/>
      <c r="GG70" s="152"/>
      <c r="GH70" s="152"/>
      <c r="GI70" s="152"/>
      <c r="GJ70" s="152"/>
      <c r="GK70" s="152"/>
      <c r="GL70" s="152"/>
      <c r="GM70" s="152"/>
      <c r="GN70" s="152"/>
      <c r="GO70" s="152"/>
      <c r="GP70" s="152"/>
      <c r="GQ70" s="152"/>
      <c r="GR70" s="152"/>
      <c r="GS70" s="152"/>
      <c r="GT70" s="152"/>
      <c r="GU70" s="152"/>
      <c r="GV70" s="151"/>
      <c r="GW70" s="151"/>
      <c r="GX70" s="151"/>
      <c r="GY70" s="151"/>
      <c r="GZ70" s="151"/>
      <c r="HA70" s="151"/>
      <c r="HB70" s="151"/>
      <c r="HC70" s="151"/>
      <c r="HD70" s="151"/>
      <c r="HE70" s="16"/>
      <c r="HF70" s="16"/>
    </row>
    <row r="71" spans="1:214" ht="12.75" customHeight="1" x14ac:dyDescent="0.3">
      <c r="A71" s="119"/>
      <c r="B71" s="119"/>
      <c r="C71" s="119"/>
      <c r="D71" s="119"/>
      <c r="E71" s="119"/>
      <c r="F71" s="57"/>
      <c r="G71" s="57"/>
      <c r="H71" s="57"/>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16"/>
      <c r="GW71" s="16"/>
      <c r="GX71" s="16"/>
      <c r="GY71" s="16"/>
      <c r="GZ71" s="16"/>
      <c r="HA71" s="16"/>
      <c r="HB71" s="16"/>
      <c r="HC71" s="16"/>
      <c r="HD71" s="16"/>
      <c r="HE71" s="16"/>
      <c r="HF71" s="16"/>
    </row>
    <row r="72" spans="1:214" ht="12.75" customHeight="1" x14ac:dyDescent="0.3">
      <c r="A72" s="119"/>
      <c r="B72" s="119"/>
      <c r="C72" s="119"/>
      <c r="D72" s="119"/>
      <c r="E72" s="119"/>
      <c r="F72" s="57"/>
      <c r="G72" s="57"/>
      <c r="H72" s="57"/>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15">
        <v>1</v>
      </c>
      <c r="FP72" s="15">
        <v>2</v>
      </c>
      <c r="FQ72" s="15">
        <v>3</v>
      </c>
      <c r="FR72" s="15">
        <v>4</v>
      </c>
      <c r="FS72" s="15">
        <v>5</v>
      </c>
      <c r="FT72" s="15">
        <v>6</v>
      </c>
      <c r="FU72" s="15">
        <v>7</v>
      </c>
      <c r="FV72" s="15">
        <v>8</v>
      </c>
      <c r="FW72" s="15">
        <v>9</v>
      </c>
      <c r="FX72" s="15">
        <v>10</v>
      </c>
      <c r="FY72" s="15">
        <v>11</v>
      </c>
      <c r="FZ72" s="15">
        <v>12</v>
      </c>
      <c r="GA72" s="15">
        <v>13</v>
      </c>
      <c r="GB72" s="15">
        <v>14</v>
      </c>
      <c r="GC72" s="15">
        <v>15</v>
      </c>
      <c r="GD72" s="15">
        <v>16</v>
      </c>
      <c r="GE72" s="15">
        <v>17</v>
      </c>
      <c r="GF72" s="15">
        <v>18</v>
      </c>
      <c r="GG72" s="15">
        <v>19</v>
      </c>
      <c r="GH72" s="15">
        <v>20</v>
      </c>
      <c r="GI72" s="15">
        <v>21</v>
      </c>
      <c r="GJ72" s="15">
        <v>22</v>
      </c>
      <c r="GK72" s="15">
        <v>23</v>
      </c>
      <c r="GL72" s="15">
        <v>24</v>
      </c>
      <c r="GM72" s="15">
        <v>25</v>
      </c>
      <c r="GN72" s="15">
        <v>26</v>
      </c>
      <c r="GO72" s="15">
        <v>27</v>
      </c>
      <c r="GP72" s="15">
        <v>28</v>
      </c>
      <c r="GQ72" s="15">
        <v>29</v>
      </c>
      <c r="GR72" s="15">
        <v>30</v>
      </c>
      <c r="GS72" s="5"/>
      <c r="GT72" s="5"/>
      <c r="GU72" s="5"/>
      <c r="GV72" s="16"/>
      <c r="GW72" s="16"/>
      <c r="GX72" s="16"/>
      <c r="GY72" s="16"/>
      <c r="GZ72" s="16"/>
      <c r="HA72" s="16"/>
      <c r="HB72" s="16"/>
      <c r="HC72" s="16"/>
      <c r="HD72" s="16"/>
      <c r="HE72" s="16"/>
      <c r="HF72" s="16"/>
    </row>
    <row r="73" spans="1:214" ht="12.75" customHeight="1" x14ac:dyDescent="0.3">
      <c r="A73" s="119"/>
      <c r="B73" s="119"/>
      <c r="C73" s="119"/>
      <c r="D73" s="119"/>
      <c r="E73" s="119"/>
      <c r="F73" s="16"/>
      <c r="G73" s="16" t="s">
        <v>152</v>
      </c>
      <c r="H73" s="57">
        <v>1</v>
      </c>
      <c r="I73" s="16"/>
      <c r="J73" s="16"/>
      <c r="K73" s="16" t="s">
        <v>153</v>
      </c>
      <c r="L73" s="57">
        <v>2</v>
      </c>
      <c r="M73" s="16"/>
      <c r="N73" s="16"/>
      <c r="O73" s="16" t="s">
        <v>154</v>
      </c>
      <c r="P73" s="57">
        <v>3</v>
      </c>
      <c r="Q73" s="16"/>
      <c r="R73" s="16"/>
      <c r="S73" s="16" t="s">
        <v>155</v>
      </c>
      <c r="T73" s="57">
        <v>4</v>
      </c>
      <c r="U73" s="16"/>
      <c r="V73" s="16"/>
      <c r="W73" s="16" t="s">
        <v>156</v>
      </c>
      <c r="X73" s="57">
        <v>5</v>
      </c>
      <c r="Y73" s="16"/>
      <c r="Z73" s="16"/>
      <c r="AA73" s="16" t="s">
        <v>157</v>
      </c>
      <c r="AB73" s="57">
        <v>6</v>
      </c>
      <c r="AC73" s="16"/>
      <c r="AD73" s="16"/>
      <c r="AE73" s="16" t="s">
        <v>158</v>
      </c>
      <c r="AF73" s="57">
        <v>7</v>
      </c>
      <c r="AG73" s="16"/>
      <c r="AH73" s="16"/>
      <c r="AI73" s="16" t="s">
        <v>159</v>
      </c>
      <c r="AJ73" s="57">
        <v>8</v>
      </c>
      <c r="AK73" s="16"/>
      <c r="AL73" s="16"/>
      <c r="AM73" s="16" t="s">
        <v>160</v>
      </c>
      <c r="AN73" s="57">
        <v>9</v>
      </c>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5"/>
      <c r="BP73" s="15"/>
      <c r="BQ73" s="5"/>
      <c r="BR73" s="5"/>
      <c r="BS73" s="15"/>
      <c r="BT73" s="5"/>
      <c r="BU73" s="5"/>
      <c r="BV73" s="5"/>
      <c r="BW73" s="5"/>
      <c r="BX73" s="5"/>
      <c r="BY73" s="5"/>
      <c r="BZ73" s="5"/>
      <c r="CA73" s="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v>0</v>
      </c>
      <c r="FK73" s="5"/>
      <c r="FL73" s="5"/>
      <c r="FM73" s="15"/>
      <c r="FN73" s="15"/>
      <c r="FO73" s="15">
        <f t="shared" ref="FO73:GR73" ca="1" si="336">IFERROR(IF(AND(OFFSET($E$20,$FJ73,0)="H",OFFSET(J$19,$FJ73,0)&lt;&gt;""),UPPER(OFFSET(J$19,$FJ73,0)),FO$18),FO$18)</f>
        <v>1</v>
      </c>
      <c r="FP73" s="15">
        <f t="shared" ca="1" si="336"/>
        <v>2</v>
      </c>
      <c r="FQ73" s="15">
        <f t="shared" ca="1" si="336"/>
        <v>3</v>
      </c>
      <c r="FR73" s="15">
        <f t="shared" ca="1" si="336"/>
        <v>4</v>
      </c>
      <c r="FS73" s="15">
        <f t="shared" ca="1" si="336"/>
        <v>5</v>
      </c>
      <c r="FT73" s="15">
        <f t="shared" ca="1" si="336"/>
        <v>6</v>
      </c>
      <c r="FU73" s="15">
        <f t="shared" ca="1" si="336"/>
        <v>7</v>
      </c>
      <c r="FV73" s="15">
        <f t="shared" ca="1" si="336"/>
        <v>8</v>
      </c>
      <c r="FW73" s="15">
        <f t="shared" ca="1" si="336"/>
        <v>9</v>
      </c>
      <c r="FX73" s="15">
        <f t="shared" ca="1" si="336"/>
        <v>10</v>
      </c>
      <c r="FY73" s="15">
        <f t="shared" ca="1" si="336"/>
        <v>11</v>
      </c>
      <c r="FZ73" s="15">
        <f t="shared" ca="1" si="336"/>
        <v>12</v>
      </c>
      <c r="GA73" s="15">
        <f t="shared" ca="1" si="336"/>
        <v>13</v>
      </c>
      <c r="GB73" s="15">
        <f t="shared" ca="1" si="336"/>
        <v>14</v>
      </c>
      <c r="GC73" s="15">
        <f t="shared" ca="1" si="336"/>
        <v>15</v>
      </c>
      <c r="GD73" s="15">
        <f t="shared" ca="1" si="336"/>
        <v>16</v>
      </c>
      <c r="GE73" s="15">
        <f t="shared" ca="1" si="336"/>
        <v>17</v>
      </c>
      <c r="GF73" s="15">
        <f t="shared" ca="1" si="336"/>
        <v>18</v>
      </c>
      <c r="GG73" s="15">
        <f t="shared" ca="1" si="336"/>
        <v>19</v>
      </c>
      <c r="GH73" s="15">
        <f t="shared" ca="1" si="336"/>
        <v>20</v>
      </c>
      <c r="GI73" s="15">
        <f t="shared" ca="1" si="336"/>
        <v>21</v>
      </c>
      <c r="GJ73" s="15">
        <f t="shared" ca="1" si="336"/>
        <v>22</v>
      </c>
      <c r="GK73" s="15">
        <f t="shared" ca="1" si="336"/>
        <v>23</v>
      </c>
      <c r="GL73" s="15">
        <f t="shared" ca="1" si="336"/>
        <v>24</v>
      </c>
      <c r="GM73" s="15">
        <f t="shared" ca="1" si="336"/>
        <v>25</v>
      </c>
      <c r="GN73" s="15">
        <f t="shared" ca="1" si="336"/>
        <v>26</v>
      </c>
      <c r="GO73" s="15">
        <f t="shared" ca="1" si="336"/>
        <v>27</v>
      </c>
      <c r="GP73" s="15">
        <f t="shared" ca="1" si="336"/>
        <v>28</v>
      </c>
      <c r="GQ73" s="15">
        <f t="shared" ca="1" si="336"/>
        <v>29</v>
      </c>
      <c r="GR73" s="15">
        <f t="shared" ca="1" si="336"/>
        <v>30</v>
      </c>
      <c r="GS73" s="5"/>
      <c r="GT73" s="5"/>
      <c r="GU73" s="5"/>
      <c r="GV73" s="16"/>
      <c r="GW73" s="16"/>
      <c r="GX73" s="16"/>
      <c r="GY73" s="16"/>
      <c r="GZ73" s="16"/>
      <c r="HA73" s="16"/>
      <c r="HB73" s="16"/>
      <c r="HC73" s="16"/>
      <c r="HD73" s="16"/>
      <c r="HE73" s="16"/>
      <c r="HF73" s="16"/>
    </row>
    <row r="74" spans="1:214" ht="12.75" customHeight="1" x14ac:dyDescent="0.3">
      <c r="A74" s="119"/>
      <c r="B74" s="119"/>
      <c r="C74" s="119"/>
      <c r="D74" s="119"/>
      <c r="E74" s="119"/>
      <c r="F74" s="16"/>
      <c r="G74" s="16" t="s">
        <v>161</v>
      </c>
      <c r="H74" s="57" t="s">
        <v>44</v>
      </c>
      <c r="I74" s="16" t="s">
        <v>162</v>
      </c>
      <c r="J74" s="16" t="s">
        <v>163</v>
      </c>
      <c r="K74" s="16" t="s">
        <v>161</v>
      </c>
      <c r="L74" s="57" t="s">
        <v>44</v>
      </c>
      <c r="M74" s="16" t="s">
        <v>162</v>
      </c>
      <c r="N74" s="16" t="s">
        <v>163</v>
      </c>
      <c r="O74" s="16" t="s">
        <v>161</v>
      </c>
      <c r="P74" s="57" t="s">
        <v>44</v>
      </c>
      <c r="Q74" s="16" t="s">
        <v>162</v>
      </c>
      <c r="R74" s="16" t="s">
        <v>163</v>
      </c>
      <c r="S74" s="16" t="s">
        <v>161</v>
      </c>
      <c r="T74" s="57" t="s">
        <v>44</v>
      </c>
      <c r="U74" s="16" t="s">
        <v>162</v>
      </c>
      <c r="V74" s="16" t="s">
        <v>163</v>
      </c>
      <c r="W74" s="16" t="s">
        <v>161</v>
      </c>
      <c r="X74" s="57" t="s">
        <v>44</v>
      </c>
      <c r="Y74" s="16" t="s">
        <v>162</v>
      </c>
      <c r="Z74" s="16" t="s">
        <v>163</v>
      </c>
      <c r="AA74" s="16" t="s">
        <v>161</v>
      </c>
      <c r="AB74" s="57" t="s">
        <v>44</v>
      </c>
      <c r="AC74" s="16" t="s">
        <v>162</v>
      </c>
      <c r="AD74" s="16" t="s">
        <v>163</v>
      </c>
      <c r="AE74" s="16" t="s">
        <v>161</v>
      </c>
      <c r="AF74" s="57" t="s">
        <v>44</v>
      </c>
      <c r="AG74" s="16" t="s">
        <v>162</v>
      </c>
      <c r="AH74" s="16" t="s">
        <v>163</v>
      </c>
      <c r="AI74" s="16" t="s">
        <v>161</v>
      </c>
      <c r="AJ74" s="57" t="s">
        <v>44</v>
      </c>
      <c r="AK74" s="16" t="s">
        <v>162</v>
      </c>
      <c r="AL74" s="16" t="s">
        <v>163</v>
      </c>
      <c r="AM74" s="16" t="s">
        <v>161</v>
      </c>
      <c r="AN74" s="57" t="s">
        <v>44</v>
      </c>
      <c r="AO74" s="16" t="s">
        <v>162</v>
      </c>
      <c r="AP74" s="16" t="s">
        <v>163</v>
      </c>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5"/>
      <c r="BP74" s="15"/>
      <c r="BQ74" s="5"/>
      <c r="BR74" s="5"/>
      <c r="BS74" s="15"/>
      <c r="BT74" s="5"/>
      <c r="BU74" s="5"/>
      <c r="BV74" s="5"/>
      <c r="BW74" s="5"/>
      <c r="BX74" s="5"/>
      <c r="BY74" s="5"/>
      <c r="BZ74" s="5"/>
      <c r="CA74" s="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15">
        <f t="array" aca="1" ref="FO74" ca="1">IFERROR(IF(AND(OFFSET($E$20,$FJ73,0)="H",OFFSET(J$19,$FJ73,0)&lt;&gt;"",OFFSET($F19,$FJ73,0)&lt;&gt;"Hybrid - Thrust + 2 connections"),INDEX(Hyb_Tech,MATCH(OFFSET(J$19,$FJ73,0),Hyb_Code,0)),FO$72),FO$72)</f>
        <v>1</v>
      </c>
      <c r="FP74" s="15">
        <f t="array" aca="1" ref="FP74" ca="1">IFERROR(IF(AND(OFFSET($E$20,$FJ73,0)="H",OFFSET(K$19,$FJ73,0)&lt;&gt;"",OFFSET($F19,$FJ73,0)&lt;&gt;"Hybrid - Thrust + 2 connections"),INDEX(Hyb_Tech,MATCH(OFFSET(K$19,$FJ73,0),Hyb_Code,0)),FP$72),FP$72)</f>
        <v>2</v>
      </c>
      <c r="FQ74" s="15">
        <f t="array" aca="1" ref="FQ74" ca="1">IFERROR(IF(AND(OFFSET($E$20,$FJ73,0)="H",OFFSET(L$19,$FJ73,0)&lt;&gt;"",OFFSET($F19,$FJ73,0)&lt;&gt;"Hybrid - Thrust + 2 connections"),INDEX(Hyb_Tech,MATCH(OFFSET(L$19,$FJ73,0),Hyb_Code,0)),FQ$72),FQ$72)</f>
        <v>3</v>
      </c>
      <c r="FR74" s="15">
        <f t="array" aca="1" ref="FR74" ca="1">IFERROR(IF(AND(OFFSET($E$20,$FJ73,0)="H",OFFSET(M$19,$FJ73,0)&lt;&gt;"",OFFSET($F19,$FJ73,0)&lt;&gt;"Hybrid - Thrust + 2 connections"),INDEX(Hyb_Tech,MATCH(OFFSET(M$19,$FJ73,0),Hyb_Code,0)),FR$72),FR$72)</f>
        <v>4</v>
      </c>
      <c r="FS74" s="15">
        <f t="array" aca="1" ref="FS74" ca="1">IFERROR(IF(AND(OFFSET($E$20,$FJ73,0)="H",OFFSET(N$19,$FJ73,0)&lt;&gt;"",OFFSET($F19,$FJ73,0)&lt;&gt;"Hybrid - Thrust + 2 connections"),INDEX(Hyb_Tech,MATCH(OFFSET(N$19,$FJ73,0),Hyb_Code,0)),FS$72),FS$72)</f>
        <v>5</v>
      </c>
      <c r="FT74" s="15">
        <f t="array" aca="1" ref="FT74" ca="1">IFERROR(IF(AND(OFFSET($E$20,$FJ73,0)="H",OFFSET(O$19,$FJ73,0)&lt;&gt;"",OFFSET($F19,$FJ73,0)&lt;&gt;"Hybrid - Thrust + 2 connections"),INDEX(Hyb_Tech,MATCH(OFFSET(O$19,$FJ73,0),Hyb_Code,0)),FT$72),FT$72)</f>
        <v>6</v>
      </c>
      <c r="FU74" s="15">
        <f t="array" aca="1" ref="FU74" ca="1">IFERROR(IF(AND(OFFSET($E$20,$FJ73,0)="H",OFFSET(P$19,$FJ73,0)&lt;&gt;"",OFFSET($F19,$FJ73,0)&lt;&gt;"Hybrid - Thrust + 2 connections"),INDEX(Hyb_Tech,MATCH(OFFSET(P$19,$FJ73,0),Hyb_Code,0)),FU$72),FU$72)</f>
        <v>7</v>
      </c>
      <c r="FV74" s="15">
        <f t="array" aca="1" ref="FV74" ca="1">IFERROR(IF(AND(OFFSET($E$20,$FJ73,0)="H",OFFSET(Q$19,$FJ73,0)&lt;&gt;"",OFFSET($F19,$FJ73,0)&lt;&gt;"Hybrid - Thrust + 2 connections"),INDEX(Hyb_Tech,MATCH(OFFSET(Q$19,$FJ73,0),Hyb_Code,0)),FV$72),FV$72)</f>
        <v>8</v>
      </c>
      <c r="FW74" s="15">
        <f t="array" aca="1" ref="FW74" ca="1">IFERROR(IF(AND(OFFSET($E$20,$FJ73,0)="H",OFFSET(R$19,$FJ73,0)&lt;&gt;"",OFFSET($F19,$FJ73,0)&lt;&gt;"Hybrid - Thrust + 2 connections"),INDEX(Hyb_Tech,MATCH(OFFSET(R$19,$FJ73,0),Hyb_Code,0)),FW$72),FW$72)</f>
        <v>9</v>
      </c>
      <c r="FX74" s="15">
        <f t="array" aca="1" ref="FX74" ca="1">IFERROR(IF(AND(OFFSET($E$20,$FJ73,0)="H",OFFSET(S$19,$FJ73,0)&lt;&gt;"",OFFSET($F19,$FJ73,0)&lt;&gt;"Hybrid - Thrust + 2 connections"),INDEX(Hyb_Tech,MATCH(OFFSET(S$19,$FJ73,0),Hyb_Code,0)),FX$72),FX$72)</f>
        <v>10</v>
      </c>
      <c r="FY74" s="15">
        <f t="array" aca="1" ref="FY74" ca="1">IFERROR(IF(AND(OFFSET($E$20,$FJ73,0)="H",OFFSET(T$19,$FJ73,0)&lt;&gt;"",OFFSET($F19,$FJ73,0)&lt;&gt;"Hybrid - Thrust + 2 connections"),INDEX(Hyb_Tech,MATCH(OFFSET(T$19,$FJ73,0),Hyb_Code,0)),FY$72),FY$72)</f>
        <v>11</v>
      </c>
      <c r="FZ74" s="15">
        <f t="array" aca="1" ref="FZ74" ca="1">IFERROR(IF(AND(OFFSET($E$20,$FJ73,0)="H",OFFSET(U$19,$FJ73,0)&lt;&gt;"",OFFSET($F19,$FJ73,0)&lt;&gt;"Hybrid - Thrust + 2 connections"),INDEX(Hyb_Tech,MATCH(OFFSET(U$19,$FJ73,0),Hyb_Code,0)),FZ$72),FZ$72)</f>
        <v>12</v>
      </c>
      <c r="GA74" s="15">
        <f t="array" aca="1" ref="GA74" ca="1">IFERROR(IF(AND(OFFSET($E$20,$FJ73,0)="H",OFFSET(V$19,$FJ73,0)&lt;&gt;"",OFFSET($F19,$FJ73,0)&lt;&gt;"Hybrid - Thrust + 2 connections"),INDEX(Hyb_Tech,MATCH(OFFSET(V$19,$FJ73,0),Hyb_Code,0)),GA$72),GA$72)</f>
        <v>13</v>
      </c>
      <c r="GB74" s="15">
        <f t="array" aca="1" ref="GB74" ca="1">IFERROR(IF(AND(OFFSET($E$20,$FJ73,0)="H",OFFSET(W$19,$FJ73,0)&lt;&gt;"",OFFSET($F19,$FJ73,0)&lt;&gt;"Hybrid - Thrust + 2 connections"),INDEX(Hyb_Tech,MATCH(OFFSET(W$19,$FJ73,0),Hyb_Code,0)),GB$72),GB$72)</f>
        <v>14</v>
      </c>
      <c r="GC74" s="15">
        <f t="array" aca="1" ref="GC74" ca="1">IFERROR(IF(AND(OFFSET($E$20,$FJ73,0)="H",OFFSET(X$19,$FJ73,0)&lt;&gt;"",OFFSET($F19,$FJ73,0)&lt;&gt;"Hybrid - Thrust + 2 connections"),INDEX(Hyb_Tech,MATCH(OFFSET(X$19,$FJ73,0),Hyb_Code,0)),GC$72),GC$72)</f>
        <v>15</v>
      </c>
      <c r="GD74" s="15">
        <f t="array" aca="1" ref="GD74" ca="1">IFERROR(IF(AND(OFFSET($E$20,$FJ73,0)="H",OFFSET(Y$19,$FJ73,0)&lt;&gt;"",OFFSET($F19,$FJ73,0)&lt;&gt;"Hybrid - Thrust + 2 connections"),INDEX(Hyb_Tech,MATCH(OFFSET(Y$19,$FJ73,0),Hyb_Code,0)),GD$72),GD$72)</f>
        <v>16</v>
      </c>
      <c r="GE74" s="15">
        <f t="array" aca="1" ref="GE74" ca="1">IFERROR(IF(AND(OFFSET($E$20,$FJ73,0)="H",OFFSET(Z$19,$FJ73,0)&lt;&gt;"",OFFSET($F19,$FJ73,0)&lt;&gt;"Hybrid - Thrust + 2 connections"),INDEX(Hyb_Tech,MATCH(OFFSET(Z$19,$FJ73,0),Hyb_Code,0)),GE$72),GE$72)</f>
        <v>17</v>
      </c>
      <c r="GF74" s="15">
        <f t="array" aca="1" ref="GF74" ca="1">IFERROR(IF(AND(OFFSET($E$20,$FJ73,0)="H",OFFSET(AA$19,$FJ73,0)&lt;&gt;"",OFFSET($F19,$FJ73,0)&lt;&gt;"Hybrid - Thrust + 2 connections"),INDEX(Hyb_Tech,MATCH(OFFSET(AA$19,$FJ73,0),Hyb_Code,0)),GF$72),GF$72)</f>
        <v>18</v>
      </c>
      <c r="GG74" s="15">
        <f t="array" aca="1" ref="GG74" ca="1">IFERROR(IF(AND(OFFSET($E$20,$FJ73,0)="H",OFFSET(AB$19,$FJ73,0)&lt;&gt;"",OFFSET($F19,$FJ73,0)&lt;&gt;"Hybrid - Thrust + 2 connections"),INDEX(Hyb_Tech,MATCH(OFFSET(AB$19,$FJ73,0),Hyb_Code,0)),GG$72),GG$72)</f>
        <v>19</v>
      </c>
      <c r="GH74" s="15">
        <f t="array" aca="1" ref="GH74" ca="1">IFERROR(IF(AND(OFFSET($E$20,$FJ73,0)="H",OFFSET(AC$19,$FJ73,0)&lt;&gt;"",OFFSET($F19,$FJ73,0)&lt;&gt;"Hybrid - Thrust + 2 connections"),INDEX(Hyb_Tech,MATCH(OFFSET(AC$19,$FJ73,0),Hyb_Code,0)),GH$72),GH$72)</f>
        <v>20</v>
      </c>
      <c r="GI74" s="15">
        <f t="array" aca="1" ref="GI74" ca="1">IFERROR(IF(AND(OFFSET($E$20,$FJ73,0)="H",OFFSET(AD$19,$FJ73,0)&lt;&gt;"",OFFSET($F19,$FJ73,0)&lt;&gt;"Hybrid - Thrust + 2 connections"),INDEX(Hyb_Tech,MATCH(OFFSET(AD$19,$FJ73,0),Hyb_Code,0)),GI$72),GI$72)</f>
        <v>21</v>
      </c>
      <c r="GJ74" s="15">
        <f t="array" aca="1" ref="GJ74" ca="1">IFERROR(IF(AND(OFFSET($E$20,$FJ73,0)="H",OFFSET(AE$19,$FJ73,0)&lt;&gt;"",OFFSET($F19,$FJ73,0)&lt;&gt;"Hybrid - Thrust + 2 connections"),INDEX(Hyb_Tech,MATCH(OFFSET(AE$19,$FJ73,0),Hyb_Code,0)),GJ$72),GJ$72)</f>
        <v>22</v>
      </c>
      <c r="GK74" s="15">
        <f t="array" aca="1" ref="GK74" ca="1">IFERROR(IF(AND(OFFSET($E$20,$FJ73,0)="H",OFFSET(AF$19,$FJ73,0)&lt;&gt;"",OFFSET($F19,$FJ73,0)&lt;&gt;"Hybrid - Thrust + 2 connections"),INDEX(Hyb_Tech,MATCH(OFFSET(AF$19,$FJ73,0),Hyb_Code,0)),GK$72),GK$72)</f>
        <v>23</v>
      </c>
      <c r="GL74" s="15">
        <f t="array" aca="1" ref="GL74" ca="1">IFERROR(IF(AND(OFFSET($E$20,$FJ73,0)="H",OFFSET(AG$19,$FJ73,0)&lt;&gt;"",OFFSET($F19,$FJ73,0)&lt;&gt;"Hybrid - Thrust + 2 connections"),INDEX(Hyb_Tech,MATCH(OFFSET(AG$19,$FJ73,0),Hyb_Code,0)),GL$72),GL$72)</f>
        <v>24</v>
      </c>
      <c r="GM74" s="15">
        <f t="array" aca="1" ref="GM74" ca="1">IFERROR(IF(AND(OFFSET($E$20,$FJ73,0)="H",OFFSET(AH$19,$FJ73,0)&lt;&gt;"",OFFSET($F19,$FJ73,0)&lt;&gt;"Hybrid - Thrust + 2 connections"),INDEX(Hyb_Tech,MATCH(OFFSET(AH$19,$FJ73,0),Hyb_Code,0)),GM$72),GM$72)</f>
        <v>25</v>
      </c>
      <c r="GN74" s="15">
        <f t="array" aca="1" ref="GN74" ca="1">IFERROR(IF(AND(OFFSET($E$20,$FJ73,0)="H",OFFSET(AI$19,$FJ73,0)&lt;&gt;"",OFFSET($F19,$FJ73,0)&lt;&gt;"Hybrid - Thrust + 2 connections"),INDEX(Hyb_Tech,MATCH(OFFSET(AI$19,$FJ73,0),Hyb_Code,0)),GN$72),GN$72)</f>
        <v>26</v>
      </c>
      <c r="GO74" s="15">
        <f t="array" aca="1" ref="GO74" ca="1">IFERROR(IF(AND(OFFSET($E$20,$FJ73,0)="H",OFFSET(AJ$19,$FJ73,0)&lt;&gt;"",OFFSET($F19,$FJ73,0)&lt;&gt;"Hybrid - Thrust + 2 connections"),INDEX(Hyb_Tech,MATCH(OFFSET(AJ$19,$FJ73,0),Hyb_Code,0)),GO$72),GO$72)</f>
        <v>27</v>
      </c>
      <c r="GP74" s="15">
        <f t="array" aca="1" ref="GP74" ca="1">IFERROR(IF(AND(OFFSET($E$20,$FJ73,0)="H",OFFSET(AK$19,$FJ73,0)&lt;&gt;"",OFFSET($F19,$FJ73,0)&lt;&gt;"Hybrid - Thrust + 2 connections"),INDEX(Hyb_Tech,MATCH(OFFSET(AK$19,$FJ73,0),Hyb_Code,0)),GP$72),GP$72)</f>
        <v>28</v>
      </c>
      <c r="GQ74" s="15">
        <f t="array" aca="1" ref="GQ74" ca="1">IFERROR(IF(AND(OFFSET($E$20,$FJ73,0)="H",OFFSET(AL$19,$FJ73,0)&lt;&gt;"",OFFSET($F19,$FJ73,0)&lt;&gt;"Hybrid - Thrust + 2 connections"),INDEX(Hyb_Tech,MATCH(OFFSET(AL$19,$FJ73,0),Hyb_Code,0)),GQ$72),GQ$72)</f>
        <v>29</v>
      </c>
      <c r="GR74" s="15">
        <f t="array" aca="1" ref="GR74" ca="1">IFERROR(IF(AND(OFFSET($E$20,$FJ73,0)="H",OFFSET(AM$19,$FJ73,0)&lt;&gt;"",OFFSET($F19,$FJ73,0)&lt;&gt;"Hybrid - Thrust + 2 connections"),INDEX(Hyb_Tech,MATCH(OFFSET(AM$19,$FJ73,0),Hyb_Code,0)),GR$72),GR$72)</f>
        <v>30</v>
      </c>
      <c r="GS74" s="5"/>
      <c r="GT74" s="5"/>
      <c r="GU74" s="5"/>
      <c r="GV74" s="16"/>
      <c r="GW74" s="16"/>
      <c r="GX74" s="16"/>
      <c r="GY74" s="16"/>
      <c r="GZ74" s="16"/>
      <c r="HA74" s="16"/>
      <c r="HB74" s="16"/>
      <c r="HC74" s="16"/>
      <c r="HD74" s="16"/>
      <c r="HE74" s="16"/>
      <c r="HF74" s="16"/>
    </row>
    <row r="75" spans="1:214" ht="12.75" customHeight="1" x14ac:dyDescent="0.3">
      <c r="A75" s="119"/>
      <c r="B75" s="119"/>
      <c r="C75" s="119"/>
      <c r="D75" s="119"/>
      <c r="E75" s="119"/>
      <c r="F75" s="16"/>
      <c r="G75" s="16"/>
      <c r="H75" s="57"/>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5"/>
      <c r="BP75" s="5"/>
      <c r="BQ75" s="5"/>
      <c r="BR75" s="5"/>
      <c r="BS75" s="5"/>
      <c r="BT75" s="5"/>
      <c r="BU75" s="5"/>
      <c r="BV75" s="5"/>
      <c r="BW75" s="5"/>
      <c r="BX75" s="5"/>
      <c r="BY75" s="5"/>
      <c r="BZ75" s="5"/>
      <c r="CA75" s="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t="str">
        <f ca="1">IFERROR(IF(SUM($FO75:$GR75)&gt;3,OFFSET($FO$73,$FJ73*5/2,MATCH(1,FO75:GR75,0)),""),"")</f>
        <v/>
      </c>
      <c r="FN75" s="15" t="str">
        <f ca="1">IFERROR(IF(LEFT(FM75,1)="C",IF(RIGHT(FM75,1)="+",LEFT(FM75,LEN(FM75)-1),CONCATENATE(FM75,"+")),IF(SUM($FO75:$GR75)&gt;3,OFFSET($FO$73,$FJ73*5/2,MATCH(0.5,FO75:GR75,0)),"")),"")</f>
        <v/>
      </c>
      <c r="FO75" s="15" t="str">
        <f t="array" aca="1" ref="FO75" ca="1">IF(COUNTIF($FO74:$GR74,FO74)&gt;3,INDEX(Hyb_Tech_Value,MATCH(FO73,Hyb_Code,0)),"")</f>
        <v/>
      </c>
      <c r="FP75" s="15" t="str">
        <f t="array" aca="1" ref="FP75" ca="1">IF(COUNTIF($FO74:$GR74,FP74)&gt;3,INDEX(Hyb_Tech_Value,MATCH(FP73,Hyb_Code,0)),"")</f>
        <v/>
      </c>
      <c r="FQ75" s="15" t="str">
        <f t="array" aca="1" ref="FQ75" ca="1">IF(COUNTIF($FO74:$GR74,FQ74)&gt;3,INDEX(Hyb_Tech_Value,MATCH(FQ73,Hyb_Code,0)),"")</f>
        <v/>
      </c>
      <c r="FR75" s="15" t="str">
        <f t="array" aca="1" ref="FR75" ca="1">IF(COUNTIF($FO74:$GR74,FR74)&gt;3,INDEX(Hyb_Tech_Value,MATCH(FR73,Hyb_Code,0)),"")</f>
        <v/>
      </c>
      <c r="FS75" s="15" t="str">
        <f t="array" aca="1" ref="FS75" ca="1">IF(COUNTIF($FO74:$GR74,FS74)&gt;3,INDEX(Hyb_Tech_Value,MATCH(FS73,Hyb_Code,0)),"")</f>
        <v/>
      </c>
      <c r="FT75" s="15" t="str">
        <f t="array" aca="1" ref="FT75" ca="1">IF(COUNTIF($FO74:$GR74,FT74)&gt;3,INDEX(Hyb_Tech_Value,MATCH(FT73,Hyb_Code,0)),"")</f>
        <v/>
      </c>
      <c r="FU75" s="15" t="str">
        <f t="array" aca="1" ref="FU75" ca="1">IF(COUNTIF($FO74:$GR74,FU74)&gt;3,INDEX(Hyb_Tech_Value,MATCH(FU73,Hyb_Code,0)),"")</f>
        <v/>
      </c>
      <c r="FV75" s="15" t="str">
        <f t="array" aca="1" ref="FV75" ca="1">IF(COUNTIF($FO74:$GR74,FV74)&gt;3,INDEX(Hyb_Tech_Value,MATCH(FV73,Hyb_Code,0)),"")</f>
        <v/>
      </c>
      <c r="FW75" s="15" t="str">
        <f t="array" aca="1" ref="FW75" ca="1">IF(COUNTIF($FO74:$GR74,FW74)&gt;3,INDEX(Hyb_Tech_Value,MATCH(FW73,Hyb_Code,0)),"")</f>
        <v/>
      </c>
      <c r="FX75" s="15" t="str">
        <f t="array" aca="1" ref="FX75" ca="1">IF(COUNTIF($FO74:$GR74,FX74)&gt;3,INDEX(Hyb_Tech_Value,MATCH(FX73,Hyb_Code,0)),"")</f>
        <v/>
      </c>
      <c r="FY75" s="15" t="str">
        <f t="array" aca="1" ref="FY75" ca="1">IF(COUNTIF($FO74:$GR74,FY74)&gt;3,INDEX(Hyb_Tech_Value,MATCH(FY73,Hyb_Code,0)),"")</f>
        <v/>
      </c>
      <c r="FZ75" s="15" t="str">
        <f t="array" aca="1" ref="FZ75" ca="1">IF(COUNTIF($FO74:$GR74,FZ74)&gt;3,INDEX(Hyb_Tech_Value,MATCH(FZ73,Hyb_Code,0)),"")</f>
        <v/>
      </c>
      <c r="GA75" s="15" t="str">
        <f t="array" aca="1" ref="GA75" ca="1">IF(COUNTIF($FO74:$GR74,GA74)&gt;3,INDEX(Hyb_Tech_Value,MATCH(GA73,Hyb_Code,0)),"")</f>
        <v/>
      </c>
      <c r="GB75" s="15" t="str">
        <f t="array" aca="1" ref="GB75" ca="1">IF(COUNTIF($FO74:$GR74,GB74)&gt;3,INDEX(Hyb_Tech_Value,MATCH(GB73,Hyb_Code,0)),"")</f>
        <v/>
      </c>
      <c r="GC75" s="15" t="str">
        <f t="array" aca="1" ref="GC75" ca="1">IF(COUNTIF($FO74:$GR74,GC74)&gt;3,INDEX(Hyb_Tech_Value,MATCH(GC73,Hyb_Code,0)),"")</f>
        <v/>
      </c>
      <c r="GD75" s="15" t="str">
        <f t="array" aca="1" ref="GD75" ca="1">IF(COUNTIF($FO74:$GR74,GD74)&gt;3,INDEX(Hyb_Tech_Value,MATCH(GD73,Hyb_Code,0)),"")</f>
        <v/>
      </c>
      <c r="GE75" s="15" t="str">
        <f t="array" aca="1" ref="GE75" ca="1">IF(COUNTIF($FO74:$GR74,GE74)&gt;3,INDEX(Hyb_Tech_Value,MATCH(GE73,Hyb_Code,0)),"")</f>
        <v/>
      </c>
      <c r="GF75" s="15" t="str">
        <f t="array" aca="1" ref="GF75" ca="1">IF(COUNTIF($FO74:$GR74,GF74)&gt;3,INDEX(Hyb_Tech_Value,MATCH(GF73,Hyb_Code,0)),"")</f>
        <v/>
      </c>
      <c r="GG75" s="15" t="str">
        <f t="array" aca="1" ref="GG75" ca="1">IF(COUNTIF($FO74:$GR74,GG74)&gt;3,INDEX(Hyb_Tech_Value,MATCH(GG73,Hyb_Code,0)),"")</f>
        <v/>
      </c>
      <c r="GH75" s="15" t="str">
        <f t="array" aca="1" ref="GH75" ca="1">IF(COUNTIF($FO74:$GR74,GH74)&gt;3,INDEX(Hyb_Tech_Value,MATCH(GH73,Hyb_Code,0)),"")</f>
        <v/>
      </c>
      <c r="GI75" s="15" t="str">
        <f t="array" aca="1" ref="GI75" ca="1">IF(COUNTIF($FO74:$GR74,GI74)&gt;3,INDEX(Hyb_Tech_Value,MATCH(GI73,Hyb_Code,0)),"")</f>
        <v/>
      </c>
      <c r="GJ75" s="15" t="str">
        <f t="array" aca="1" ref="GJ75" ca="1">IF(COUNTIF($FO74:$GR74,GJ74)&gt;3,INDEX(Hyb_Tech_Value,MATCH(GJ73,Hyb_Code,0)),"")</f>
        <v/>
      </c>
      <c r="GK75" s="15" t="str">
        <f t="array" aca="1" ref="GK75" ca="1">IF(COUNTIF($FO74:$GR74,GK74)&gt;3,INDEX(Hyb_Tech_Value,MATCH(GK73,Hyb_Code,0)),"")</f>
        <v/>
      </c>
      <c r="GL75" s="15" t="str">
        <f t="array" aca="1" ref="GL75" ca="1">IF(COUNTIF($FO74:$GR74,GL74)&gt;3,INDEX(Hyb_Tech_Value,MATCH(GL73,Hyb_Code,0)),"")</f>
        <v/>
      </c>
      <c r="GM75" s="15" t="str">
        <f t="array" aca="1" ref="GM75" ca="1">IF(COUNTIF($FO74:$GR74,GM74)&gt;3,INDEX(Hyb_Tech_Value,MATCH(GM73,Hyb_Code,0)),"")</f>
        <v/>
      </c>
      <c r="GN75" s="15" t="str">
        <f t="array" aca="1" ref="GN75" ca="1">IF(COUNTIF($FO74:$GR74,GN74)&gt;3,INDEX(Hyb_Tech_Value,MATCH(GN73,Hyb_Code,0)),"")</f>
        <v/>
      </c>
      <c r="GO75" s="15" t="str">
        <f t="array" aca="1" ref="GO75" ca="1">IF(COUNTIF($FO74:$GR74,GO74)&gt;3,INDEX(Hyb_Tech_Value,MATCH(GO73,Hyb_Code,0)),"")</f>
        <v/>
      </c>
      <c r="GP75" s="15" t="str">
        <f t="array" aca="1" ref="GP75" ca="1">IF(COUNTIF($FO74:$GR74,GP74)&gt;3,INDEX(Hyb_Tech_Value,MATCH(GP73,Hyb_Code,0)),"")</f>
        <v/>
      </c>
      <c r="GQ75" s="15" t="str">
        <f t="array" aca="1" ref="GQ75" ca="1">IF(COUNTIF($FO74:$GR74,GQ74)&gt;3,INDEX(Hyb_Tech_Value,MATCH(GQ73,Hyb_Code,0)),"")</f>
        <v/>
      </c>
      <c r="GR75" s="15" t="str">
        <f t="array" aca="1" ref="GR75" ca="1">IF(COUNTIF($FO74:$GR74,GR74)&gt;3,INDEX(Hyb_Tech_Value,MATCH(GR73,Hyb_Code,0)),"")</f>
        <v/>
      </c>
      <c r="GS75" s="5"/>
      <c r="GT75" s="5"/>
      <c r="GU75" s="5"/>
      <c r="GV75" s="16"/>
      <c r="GW75" s="16"/>
      <c r="GX75" s="16"/>
      <c r="GY75" s="16"/>
      <c r="GZ75" s="16"/>
      <c r="HA75" s="16"/>
      <c r="HB75" s="16"/>
      <c r="HC75" s="16"/>
      <c r="HD75" s="16"/>
      <c r="HE75" s="16"/>
      <c r="HF75" s="16"/>
    </row>
    <row r="76" spans="1:214" ht="12.75" customHeight="1" x14ac:dyDescent="0.3">
      <c r="A76" s="119"/>
      <c r="B76" s="119"/>
      <c r="C76" s="119"/>
      <c r="D76" s="119"/>
      <c r="E76" s="75" t="str">
        <f>IF(G76&lt;&gt;"","Copy green area &gt;&gt;&gt;","")</f>
        <v/>
      </c>
      <c r="F76" s="154" t="s">
        <v>164</v>
      </c>
      <c r="G76" s="57" t="str">
        <f t="array" ref="G76">IFERROR(IF($BV$8="T",IF(OR(INDEX($E$20:$E$68,MATCH(H73,$G$19:$G$67,0))="H",INDEX($E$20:$E$68,MATCH(H73,$G$19:$G$67,0))="T"),INDEX($E$20:$E$68,MATCH(H73,$G$19:$G$67,0)),IF(INDEX($E$20:$E$68,MATCH(H73,$G$19:$G$67,0))=3,"T",IF(OR(INDEX($E$20:$E$68,MATCH(H73,$G$19:$G$67,0))="A",INDEX($E$20:$E$68,MATCH(H73,$G$19:$G$67,0))="B",INDEX($E$20:$E$68,MATCH(H73,$G$19:$G$67,0))="C",INDEX($E$20:$E$68,MATCH(H73,$G$19:$G$67,0))="P"),CONCATENATE("A",RIGHT(INDEX($H$20:$H$68,MATCH(H73,$G$19:$G$67,0)),1)),IF(INDEX($E$20:$E$68,MATCH(H73,$G$19:$G$67,0))="PA",IF(MID(INDEX($H$20:$H$68,MATCH(H73,$G$19:$G$67,0)),8,1)="W","AT",CONCATENATE("A",MID(INDEX($H$20:$H$68,MATCH(H73,$G$19:$G$67,0)),8,1))),"")))),""),"")</f>
        <v/>
      </c>
      <c r="H76" s="57" t="str">
        <f t="array" ref="H76">IFERROR(IF($BV$8="T",IF(G76="T",INDEX($J$19:$J$67,MATCH(H73,$G$19:$G$67,0)),""),""),"")</f>
        <v/>
      </c>
      <c r="I76" s="16" t="str">
        <f>IFERROR(IF($BV$8="T",IF(OR(G76="H",LEFT(G76,1)="A"),IF($BV$6="D",0.1,0.5),""),""),"")</f>
        <v/>
      </c>
      <c r="J76" s="155" t="str">
        <f t="array" ref="J76">IFERROR(IF($BV$8="T",INDEX($AO$20:$AO$68,MATCH(H73,$G$19:$G$67,0)),""),"")</f>
        <v/>
      </c>
      <c r="K76" s="57" t="str">
        <f t="array" ref="K76">IFERROR(IF($BV$8="T",IF(OR(INDEX($E$20:$E$68,MATCH(L73,$G$19:$G$67,0))="H",INDEX($E$20:$E$68,MATCH(L73,$G$19:$G$67,0))="T"),INDEX($E$20:$E$68,MATCH(L73,$G$19:$G$67,0)),IF(INDEX($E$20:$E$68,MATCH(L73,$G$19:$G$67,0))=3,"T",IF(OR(INDEX($E$20:$E$68,MATCH(L73,$G$19:$G$67,0))="A",INDEX($E$20:$E$68,MATCH(L73,$G$19:$G$67,0))="B",INDEX($E$20:$E$68,MATCH(L73,$G$19:$G$67,0))="C",INDEX($E$20:$E$68,MATCH(L73,$G$19:$G$67,0))="P"),CONCATENATE("A",RIGHT(INDEX($H$20:$H$68,MATCH(L73,$G$19:$G$67,0)),1)),IF(INDEX($E$20:$E$68,MATCH(L73,$G$19:$G$67,0))="PA",IF(MID(INDEX($H$20:$H$68,MATCH(L73,$G$19:$G$67,0)),8,1)="W","AT",CONCATENATE("A",MID(INDEX($H$20:$H$68,MATCH(L73,$G$19:$G$67,0)),8,1))),"")))),""),"")</f>
        <v/>
      </c>
      <c r="L76" s="57" t="str">
        <f t="array" ref="L76">IFERROR(IF($BV$8="T",IF(K76="T",INDEX($J$19:$J$67,MATCH(L73,$G$19:$G$67,0)),""),""),"")</f>
        <v/>
      </c>
      <c r="M76" s="16" t="str">
        <f>IFERROR(IF($BV$8="T",IF(OR(K76="H",LEFT(K76,1)="A"),IF($BV$6="D",0.1,0.5),""),""),"")</f>
        <v/>
      </c>
      <c r="N76" s="155" t="str">
        <f t="array" ref="N76">IFERROR(IF($BV$8="T",INDEX($AO$20:$AO$68,MATCH(L73,$G$19:$G$67,0)),""),"")</f>
        <v/>
      </c>
      <c r="O76" s="57" t="str">
        <f t="array" ref="O76">IFERROR(IF($BV$8="T",IF(OR(INDEX($E$20:$E$68,MATCH(P73,$G$19:$G$67,0))="H",INDEX($E$20:$E$68,MATCH(P73,$G$19:$G$67,0))="T"),INDEX($E$20:$E$68,MATCH(P73,$G$19:$G$67,0)),IF(INDEX($E$20:$E$68,MATCH(P73,$G$19:$G$67,0))=3,"T",IF(OR(INDEX($E$20:$E$68,MATCH(P73,$G$19:$G$67,0))="A",INDEX($E$20:$E$68,MATCH(P73,$G$19:$G$67,0))="B",INDEX($E$20:$E$68,MATCH(P73,$G$19:$G$67,0))="C",INDEX($E$20:$E$68,MATCH(P73,$G$19:$G$67,0))="P"),CONCATENATE("A",RIGHT(INDEX($H$20:$H$68,MATCH(P73,$G$19:$G$67,0)),1)),IF(INDEX($E$20:$E$68,MATCH(P73,$G$19:$G$67,0))="PA",IF(MID(INDEX($H$20:$H$68,MATCH(P73,$G$19:$G$67,0)),8,1)="W","AT",CONCATENATE("A",MID(INDEX($H$20:$H$68,MATCH(P73,$G$19:$G$67,0)),8,1))),"")))),""),"")</f>
        <v/>
      </c>
      <c r="P76" s="57" t="str">
        <f t="array" ref="P76">IFERROR(IF($BV$8="T",IF(O76="T",INDEX($J$19:$J$67,MATCH(P73,$G$19:$G$67,0)),""),""),"")</f>
        <v/>
      </c>
      <c r="Q76" s="16" t="str">
        <f>IFERROR(IF($BV$8="T",IF(OR(O76="H",LEFT(O76,1)="A"),IF($BV$6="D",0.1,0.5),""),""),"")</f>
        <v/>
      </c>
      <c r="R76" s="155" t="str">
        <f t="array" ref="R76">IFERROR(IF($BV$8="T",INDEX($AO$20:$AO$68,MATCH(P73,$G$19:$G$67,0)),""),"")</f>
        <v/>
      </c>
      <c r="S76" s="57" t="str">
        <f t="array" ref="S76">IFERROR(IF($BV$8="T",IF(OR(INDEX($E$20:$E$68,MATCH(T73,$G$19:$G$67,0))="H",INDEX($E$20:$E$68,MATCH(T73,$G$19:$G$67,0))="T"),INDEX($E$20:$E$68,MATCH(T73,$G$19:$G$67,0)),IF(INDEX($E$20:$E$68,MATCH(T73,$G$19:$G$67,0))=3,"T",IF(OR(INDEX($E$20:$E$68,MATCH(T73,$G$19:$G$67,0))="A",INDEX($E$20:$E$68,MATCH(T73,$G$19:$G$67,0))="B",INDEX($E$20:$E$68,MATCH(T73,$G$19:$G$67,0))="C",INDEX($E$20:$E$68,MATCH(T73,$G$19:$G$67,0))="P"),CONCATENATE("A",RIGHT(INDEX($H$20:$H$68,MATCH(T73,$G$19:$G$67,0)),1)),IF(INDEX($E$20:$E$68,MATCH(T73,$G$19:$G$67,0))="PA",IF(MID(INDEX($H$20:$H$68,MATCH(T73,$G$19:$G$67,0)),8,1)="W","AT",CONCATENATE("A",MID(INDEX($H$20:$H$68,MATCH(T73,$G$19:$G$67,0)),8,1))),"")))),""),"")</f>
        <v/>
      </c>
      <c r="T76" s="57" t="str">
        <f t="array" ref="T76">IFERROR(IF($BV$8="T",IF(S76="T",INDEX($J$19:$J$67,MATCH(T73,$G$19:$G$67,0)),""),""),"")</f>
        <v/>
      </c>
      <c r="U76" s="16" t="str">
        <f>IFERROR(IF($BV$8="T",IF(OR(S76="H",LEFT(S76,1)="A"),IF($BV$6="D",0.1,0.5),""),""),"")</f>
        <v/>
      </c>
      <c r="V76" s="155" t="str">
        <f t="array" ref="V76">IFERROR(IF($BV$8="T",INDEX($AO$20:$AO$68,MATCH(T73,$G$19:$G$67,0)),""),"")</f>
        <v/>
      </c>
      <c r="W76" s="57" t="str">
        <f t="array" ref="W76">IFERROR(IF($BV$8="T",IF(OR(INDEX($E$20:$E$68,MATCH(X73,$G$19:$G$67,0))="H",INDEX($E$20:$E$68,MATCH(X73,$G$19:$G$67,0))="T"),INDEX($E$20:$E$68,MATCH(X73,$G$19:$G$67,0)),IF(INDEX($E$20:$E$68,MATCH(X73,$G$19:$G$67,0))=3,"T",IF(OR(INDEX($E$20:$E$68,MATCH(X73,$G$19:$G$67,0))="A",INDEX($E$20:$E$68,MATCH(X73,$G$19:$G$67,0))="B",INDEX($E$20:$E$68,MATCH(X73,$G$19:$G$67,0))="C",INDEX($E$20:$E$68,MATCH(X73,$G$19:$G$67,0))="P"),CONCATENATE("A",RIGHT(INDEX($H$20:$H$68,MATCH(X73,$G$19:$G$67,0)),1)),IF(INDEX($E$20:$E$68,MATCH(X73,$G$19:$G$67,0))="PA",IF(MID(INDEX($H$20:$H$68,MATCH(X73,$G$19:$G$67,0)),8,1)="W","AT",CONCATENATE("A",MID(INDEX($H$20:$H$68,MATCH(X73,$G$19:$G$67,0)),8,1))),"")))),""),"")</f>
        <v/>
      </c>
      <c r="X76" s="57" t="str">
        <f t="array" ref="X76">IFERROR(IF($BV$8="T",IF(W76="T",INDEX($J$19:$J$67,MATCH(X73,$G$19:$G$67,0)),""),""),"")</f>
        <v/>
      </c>
      <c r="Y76" s="16" t="str">
        <f>IFERROR(IF($BV$8="T",IF(OR(W76="H",LEFT(W76,1)="A"),IF($BV$6="D",0.1,0.5),""),""),"")</f>
        <v/>
      </c>
      <c r="Z76" s="155" t="str">
        <f t="array" ref="Z76">IFERROR(IF($BV$8="T",INDEX($AO$20:$AO$68,MATCH(X73,$G$19:$G$67,0)),""),"")</f>
        <v/>
      </c>
      <c r="AA76" s="57" t="str">
        <f t="array" ref="AA76">IFERROR(IF($BV$8="T",IF(OR(INDEX($E$20:$E$68,MATCH(AB73,$G$19:$G$67,0))="H",INDEX($E$20:$E$68,MATCH(AB73,$G$19:$G$67,0))="T"),INDEX($E$20:$E$68,MATCH(AB73,$G$19:$G$67,0)),IF(INDEX($E$20:$E$68,MATCH(AB73,$G$19:$G$67,0))=3,"T",IF(OR(INDEX($E$20:$E$68,MATCH(AB73,$G$19:$G$67,0))="A",INDEX($E$20:$E$68,MATCH(AB73,$G$19:$G$67,0))="B",INDEX($E$20:$E$68,MATCH(AB73,$G$19:$G$67,0))="C",INDEX($E$20:$E$68,MATCH(AB73,$G$19:$G$67,0))="P"),CONCATENATE("A",RIGHT(INDEX($H$20:$H$68,MATCH(AB73,$G$19:$G$67,0)),1)),IF(INDEX($E$20:$E$68,MATCH(AB73,$G$19:$G$67,0))="PA",IF(MID(INDEX($H$20:$H$68,MATCH(AB73,$G$19:$G$67,0)),8,1)="W","AT",CONCATENATE("A",MID(INDEX($H$20:$H$68,MATCH(AB73,$G$19:$G$67,0)),8,1))),"")))),""),"")</f>
        <v/>
      </c>
      <c r="AB76" s="57" t="str">
        <f t="array" ref="AB76">IFERROR(IF($BV$8="T",IF(AA76="T",INDEX($J$19:$J$67,MATCH(AB73,$G$19:$G$67,0)),""),""),"")</f>
        <v/>
      </c>
      <c r="AC76" s="16" t="str">
        <f>IFERROR(IF($BV$8="T",IF(OR(AA76="H",LEFT(AA76,1)="A"),IF($BV$6="D",0.1,0.5),""),""),"")</f>
        <v/>
      </c>
      <c r="AD76" s="155" t="str">
        <f t="array" ref="AD76">IFERROR(IF($BV$8="T",INDEX($AO$20:$AO$68,MATCH(AB73,$G$19:$G$67,0)),""),"")</f>
        <v/>
      </c>
      <c r="AE76" s="57" t="str">
        <f t="array" ref="AE76">IFERROR(IF($BV$8="T",IF(OR(INDEX($E$20:$E$68,MATCH(AF73,$G$19:$G$67,0))="H",INDEX($E$20:$E$68,MATCH(AF73,$G$19:$G$67,0))="T"),INDEX($E$20:$E$68,MATCH(AF73,$G$19:$G$67,0)),IF(INDEX($E$20:$E$68,MATCH(AF73,$G$19:$G$67,0))=3,"T",IF(OR(INDEX($E$20:$E$68,MATCH(AF73,$G$19:$G$67,0))="A",INDEX($E$20:$E$68,MATCH(AF73,$G$19:$G$67,0))="B",INDEX($E$20:$E$68,MATCH(AF73,$G$19:$G$67,0))="C",INDEX($E$20:$E$68,MATCH(AF73,$G$19:$G$67,0))="P"),CONCATENATE("A",RIGHT(INDEX($H$20:$H$68,MATCH(AF73,$G$19:$G$67,0)),1)),IF(INDEX($E$20:$E$68,MATCH(AF73,$G$19:$G$67,0))="PA",IF(MID(INDEX($H$20:$H$68,MATCH(AF73,$G$19:$G$67,0)),8,1)="W","AT",CONCATENATE("A",MID(INDEX($H$20:$H$68,MATCH(AF73,$G$19:$G$67,0)),8,1))),"")))),""),"")</f>
        <v/>
      </c>
      <c r="AF76" s="57" t="str">
        <f t="array" ref="AF76">IFERROR(IF($BV$8="T",IF(AE76="T",INDEX($J$19:$J$67,MATCH(AF73,$G$19:$G$67,0)),""),""),"")</f>
        <v/>
      </c>
      <c r="AG76" s="16" t="str">
        <f>IFERROR(IF($BV$8="T",IF(OR(AE76="H",LEFT(AE76,1)="A"),IF($BV$6="D",0.1,0.5),""),""),"")</f>
        <v/>
      </c>
      <c r="AH76" s="155" t="str">
        <f t="array" ref="AH76">IFERROR(IF($BV$8="T",INDEX($AO$20:$AO$68,MATCH(AF73,$G$19:$G$67,0)),""),"")</f>
        <v/>
      </c>
      <c r="AI76" s="57" t="str">
        <f t="array" ref="AI76">IFERROR(IF($BV$8="T",IF(OR(INDEX($E$20:$E$68,MATCH(AJ73,$G$19:$G$67,0))="H",INDEX($E$20:$E$68,MATCH(AJ73,$G$19:$G$67,0))="T"),INDEX($E$20:$E$68,MATCH(AJ73,$G$19:$G$67,0)),IF(INDEX($E$20:$E$68,MATCH(AJ73,$G$19:$G$67,0))=3,"T",IF(OR(INDEX($E$20:$E$68,MATCH(AJ73,$G$19:$G$67,0))="A",INDEX($E$20:$E$68,MATCH(AJ73,$G$19:$G$67,0))="B",INDEX($E$20:$E$68,MATCH(AJ73,$G$19:$G$67,0))="C",INDEX($E$20:$E$68,MATCH(AJ73,$G$19:$G$67,0))="P"),CONCATENATE("A",RIGHT(INDEX($H$20:$H$68,MATCH(AJ73,$G$19:$G$67,0)),1)),IF(INDEX($E$20:$E$68,MATCH(AJ73,$G$19:$G$67,0))="PA",IF(MID(INDEX($H$20:$H$68,MATCH(AJ73,$G$19:$G$67,0)),8,1)="W","AT",CONCATENATE("A",MID(INDEX($H$20:$H$68,MATCH(AJ73,$G$19:$G$67,0)),8,1))),"")))),""),"")</f>
        <v/>
      </c>
      <c r="AJ76" s="57" t="str">
        <f t="array" ref="AJ76">IFERROR(IF($BV$8="T",IF(AI76="T",INDEX($J$19:$J$67,MATCH(AJ73,$G$19:$G$67,0)),""),""),"")</f>
        <v/>
      </c>
      <c r="AK76" s="16" t="str">
        <f>IFERROR(IF($BV$8="T",IF(OR(AI76="H",LEFT(AI76,1)="A"),IF($BV$6="D",0.1,0.5),""),""),"")</f>
        <v/>
      </c>
      <c r="AL76" s="155" t="str">
        <f t="array" ref="AL76">IFERROR(IF($BV$8="T",INDEX($AO$20:$AO$68,MATCH(AJ73,$G$19:$G$67,0)),""),"")</f>
        <v/>
      </c>
      <c r="AM76" s="57" t="str">
        <f t="array" ref="AM76">IFERROR(IF($BV$8="T",IF(OR(INDEX($E$20:$E$68,MATCH(AN73,$G$19:$G$67,0))="H",INDEX($E$20:$E$68,MATCH(AN73,$G$19:$G$67,0))="T"),INDEX($E$20:$E$68,MATCH(AN73,$G$19:$G$67,0)),IF(INDEX($E$20:$E$68,MATCH(AN73,$G$19:$G$67,0))=3,"T",IF(OR(INDEX($E$20:$E$68,MATCH(AN73,$G$19:$G$67,0))="A",INDEX($E$20:$E$68,MATCH(AN73,$G$19:$G$67,0))="B",INDEX($E$20:$E$68,MATCH(AN73,$G$19:$G$67,0))="C",INDEX($E$20:$E$68,MATCH(AN73,$G$19:$G$67,0))="P"),CONCATENATE("A",RIGHT(INDEX($H$20:$H$68,MATCH(AN73,$G$19:$G$67,0)),1)),IF(INDEX($E$20:$E$68,MATCH(AN73,$G$19:$G$67,0))="PA",IF(MID(INDEX($H$20:$H$68,MATCH(AN73,$G$19:$G$67,0)),8,1)="W","AT",CONCATENATE("A",MID(INDEX($H$20:$H$68,MATCH(AN73,$G$19:$G$67,0)),8,1))),"")))),""),"")</f>
        <v/>
      </c>
      <c r="AN76" s="57" t="str">
        <f t="array" ref="AN76">IFERROR(IF($BV$8="T",IF(AM76="T",INDEX($J$19:$J$67,MATCH(AN73,$G$19:$G$67,0)),""),""),"")</f>
        <v/>
      </c>
      <c r="AO76" s="16" t="str">
        <f>IFERROR(IF($BV$8="T",IF(OR(AM76="H",LEFT(AM76,1)="A"),IF($BV$6="D",0.1,0.5),""),""),"")</f>
        <v/>
      </c>
      <c r="AP76" s="155" t="str">
        <f t="array" ref="AP76">IFERROR(IF($BV$8="T",INDEX($AO$20:$AO$68,MATCH(AN73,$G$19:$G$67,0)),""),"")</f>
        <v/>
      </c>
      <c r="AQ76" s="5"/>
      <c r="AR76" s="5"/>
      <c r="AS76" s="5"/>
      <c r="AT76" s="5"/>
      <c r="AU76" s="5"/>
      <c r="AV76" s="5"/>
      <c r="AW76" s="5"/>
      <c r="AX76" s="5"/>
      <c r="AY76" s="5"/>
      <c r="AZ76" s="5"/>
      <c r="BA76" s="5"/>
      <c r="BB76" s="5"/>
      <c r="BC76" s="5"/>
      <c r="BD76" s="5"/>
      <c r="BE76" s="5"/>
      <c r="BF76" s="5"/>
      <c r="BG76" s="5"/>
      <c r="BH76" s="5"/>
      <c r="BI76" s="5"/>
      <c r="BJ76" s="5"/>
      <c r="BK76" s="5"/>
      <c r="BL76" s="5"/>
      <c r="BM76" s="5"/>
      <c r="BN76" s="5"/>
      <c r="BO76" s="15"/>
      <c r="BP76" s="15"/>
      <c r="BQ76" s="5"/>
      <c r="BR76" s="15"/>
      <c r="BS76" s="15"/>
      <c r="BT76" s="5"/>
      <c r="BU76" s="5"/>
      <c r="BV76" s="5"/>
      <c r="BW76" s="5"/>
      <c r="BX76" s="5"/>
      <c r="BY76" s="5"/>
      <c r="BZ76" s="5"/>
      <c r="CA76" s="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5"/>
      <c r="GT76" s="5"/>
      <c r="GU76" s="5"/>
      <c r="GV76" s="16"/>
      <c r="GW76" s="16"/>
      <c r="GX76" s="16"/>
      <c r="GY76" s="16"/>
      <c r="GZ76" s="16"/>
      <c r="HA76" s="16"/>
      <c r="HB76" s="16"/>
      <c r="HC76" s="16"/>
      <c r="HD76" s="16"/>
      <c r="HE76" s="16"/>
      <c r="HF76" s="16"/>
    </row>
    <row r="77" spans="1:214" ht="12.75" customHeight="1" x14ac:dyDescent="0.3">
      <c r="A77" s="119"/>
      <c r="B77" s="119"/>
      <c r="C77" s="119"/>
      <c r="D77" s="119"/>
      <c r="E77" s="119"/>
      <c r="F77" s="154"/>
      <c r="G77" s="57"/>
      <c r="H77" s="57"/>
      <c r="I77" s="16"/>
      <c r="J77" s="16"/>
      <c r="K77" s="57"/>
      <c r="L77" s="57"/>
      <c r="M77" s="16"/>
      <c r="N77" s="16"/>
      <c r="O77" s="57"/>
      <c r="P77" s="57"/>
      <c r="Q77" s="16"/>
      <c r="R77" s="16"/>
      <c r="S77" s="57"/>
      <c r="T77" s="57"/>
      <c r="U77" s="16"/>
      <c r="V77" s="16"/>
      <c r="W77" s="57"/>
      <c r="X77" s="57"/>
      <c r="Y77" s="156" t="s">
        <v>165</v>
      </c>
      <c r="Z77" s="16"/>
      <c r="AA77" s="57"/>
      <c r="AB77" s="57"/>
      <c r="AC77" s="16"/>
      <c r="AD77" s="16"/>
      <c r="AE77" s="57"/>
      <c r="AF77" s="57"/>
      <c r="AG77" s="16"/>
      <c r="AH77" s="16"/>
      <c r="AI77" s="16"/>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15"/>
      <c r="FO77" s="15"/>
      <c r="FP77" s="15"/>
      <c r="FQ77" s="15"/>
      <c r="FR77" s="15"/>
      <c r="FS77" s="15"/>
      <c r="FT77" s="15"/>
      <c r="FU77" s="15"/>
      <c r="FV77" s="15"/>
      <c r="FW77" s="15"/>
      <c r="FX77" s="15"/>
      <c r="FY77" s="15"/>
      <c r="FZ77" s="15"/>
      <c r="GA77" s="15"/>
      <c r="GB77" s="15"/>
      <c r="GC77" s="15"/>
      <c r="GD77" s="15"/>
      <c r="GE77" s="15"/>
      <c r="GF77" s="15"/>
      <c r="GG77" s="15"/>
      <c r="GH77" s="15"/>
      <c r="GI77" s="15"/>
      <c r="GJ77" s="15"/>
      <c r="GK77" s="15"/>
      <c r="GL77" s="15"/>
      <c r="GM77" s="15"/>
      <c r="GN77" s="15"/>
      <c r="GO77" s="15"/>
      <c r="GP77" s="15"/>
      <c r="GQ77" s="15"/>
      <c r="GR77" s="15"/>
      <c r="GS77" s="5"/>
      <c r="GT77" s="5"/>
      <c r="GU77" s="5"/>
      <c r="GV77" s="16"/>
      <c r="GW77" s="16"/>
      <c r="GX77" s="16"/>
      <c r="GY77" s="16"/>
      <c r="GZ77" s="16"/>
      <c r="HA77" s="16"/>
      <c r="HB77" s="16"/>
      <c r="HC77" s="16"/>
      <c r="HD77" s="16"/>
      <c r="HE77" s="16"/>
      <c r="HF77" s="16"/>
    </row>
    <row r="78" spans="1:214" ht="12.75" customHeight="1" x14ac:dyDescent="0.3">
      <c r="A78" s="57"/>
      <c r="B78" s="57"/>
      <c r="C78" s="57"/>
      <c r="D78" s="57"/>
      <c r="E78" s="57"/>
      <c r="F78" s="154"/>
      <c r="G78" s="16" t="s">
        <v>152</v>
      </c>
      <c r="H78" s="57">
        <v>1</v>
      </c>
      <c r="I78" s="16"/>
      <c r="J78" s="16" t="s">
        <v>153</v>
      </c>
      <c r="K78" s="57">
        <v>2</v>
      </c>
      <c r="L78" s="16"/>
      <c r="M78" s="16" t="s">
        <v>154</v>
      </c>
      <c r="N78" s="57">
        <v>3</v>
      </c>
      <c r="O78" s="16"/>
      <c r="P78" s="16" t="s">
        <v>155</v>
      </c>
      <c r="Q78" s="57">
        <v>4</v>
      </c>
      <c r="R78" s="16"/>
      <c r="S78" s="16" t="s">
        <v>156</v>
      </c>
      <c r="T78" s="57">
        <v>5</v>
      </c>
      <c r="U78" s="16"/>
      <c r="V78" s="16" t="s">
        <v>157</v>
      </c>
      <c r="W78" s="57">
        <v>6</v>
      </c>
      <c r="X78" s="16"/>
      <c r="Y78" s="16" t="s">
        <v>158</v>
      </c>
      <c r="Z78" s="57">
        <v>7</v>
      </c>
      <c r="AA78" s="16"/>
      <c r="AB78" s="16" t="s">
        <v>159</v>
      </c>
      <c r="AC78" s="57">
        <v>8</v>
      </c>
      <c r="AD78" s="16"/>
      <c r="AE78" s="16" t="s">
        <v>160</v>
      </c>
      <c r="AF78" s="57">
        <v>9</v>
      </c>
      <c r="AG78" s="16"/>
      <c r="AH78" s="16" t="s">
        <v>166</v>
      </c>
      <c r="AI78" s="57">
        <v>10</v>
      </c>
      <c r="AJ78" s="16"/>
      <c r="AK78" s="16" t="s">
        <v>167</v>
      </c>
      <c r="AL78" s="57">
        <v>11</v>
      </c>
      <c r="AM78" s="16"/>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v>2</v>
      </c>
      <c r="FK78" s="5"/>
      <c r="FL78" s="5"/>
      <c r="FM78" s="15"/>
      <c r="FN78" s="15"/>
      <c r="FO78" s="15">
        <f t="shared" ref="FO78:GR78" ca="1" si="337">IFERROR(IF(AND(OFFSET($E$20,$FJ78,0)="H",OFFSET(J$19,$FJ78,0)&lt;&gt;""),UPPER(OFFSET(J$19,$FJ78,0)),FO$18),FO$18)</f>
        <v>1</v>
      </c>
      <c r="FP78" s="15">
        <f t="shared" ca="1" si="337"/>
        <v>2</v>
      </c>
      <c r="FQ78" s="15">
        <f t="shared" ca="1" si="337"/>
        <v>3</v>
      </c>
      <c r="FR78" s="15">
        <f t="shared" ca="1" si="337"/>
        <v>4</v>
      </c>
      <c r="FS78" s="15">
        <f t="shared" ca="1" si="337"/>
        <v>5</v>
      </c>
      <c r="FT78" s="15">
        <f t="shared" ca="1" si="337"/>
        <v>6</v>
      </c>
      <c r="FU78" s="15">
        <f t="shared" ca="1" si="337"/>
        <v>7</v>
      </c>
      <c r="FV78" s="15">
        <f t="shared" ca="1" si="337"/>
        <v>8</v>
      </c>
      <c r="FW78" s="15">
        <f t="shared" ca="1" si="337"/>
        <v>9</v>
      </c>
      <c r="FX78" s="15">
        <f t="shared" ca="1" si="337"/>
        <v>10</v>
      </c>
      <c r="FY78" s="15">
        <f t="shared" ca="1" si="337"/>
        <v>11</v>
      </c>
      <c r="FZ78" s="15">
        <f t="shared" ca="1" si="337"/>
        <v>12</v>
      </c>
      <c r="GA78" s="15">
        <f t="shared" ca="1" si="337"/>
        <v>13</v>
      </c>
      <c r="GB78" s="15">
        <f t="shared" ca="1" si="337"/>
        <v>14</v>
      </c>
      <c r="GC78" s="15">
        <f t="shared" ca="1" si="337"/>
        <v>15</v>
      </c>
      <c r="GD78" s="15">
        <f t="shared" ca="1" si="337"/>
        <v>16</v>
      </c>
      <c r="GE78" s="15">
        <f t="shared" ca="1" si="337"/>
        <v>17</v>
      </c>
      <c r="GF78" s="15">
        <f t="shared" ca="1" si="337"/>
        <v>18</v>
      </c>
      <c r="GG78" s="15">
        <f t="shared" ca="1" si="337"/>
        <v>19</v>
      </c>
      <c r="GH78" s="15">
        <f t="shared" ca="1" si="337"/>
        <v>20</v>
      </c>
      <c r="GI78" s="15">
        <f t="shared" ca="1" si="337"/>
        <v>21</v>
      </c>
      <c r="GJ78" s="15">
        <f t="shared" ca="1" si="337"/>
        <v>22</v>
      </c>
      <c r="GK78" s="15">
        <f t="shared" ca="1" si="337"/>
        <v>23</v>
      </c>
      <c r="GL78" s="15">
        <f t="shared" ca="1" si="337"/>
        <v>24</v>
      </c>
      <c r="GM78" s="15">
        <f t="shared" ca="1" si="337"/>
        <v>25</v>
      </c>
      <c r="GN78" s="15">
        <f t="shared" ca="1" si="337"/>
        <v>26</v>
      </c>
      <c r="GO78" s="15">
        <f t="shared" ca="1" si="337"/>
        <v>27</v>
      </c>
      <c r="GP78" s="15">
        <f t="shared" ca="1" si="337"/>
        <v>28</v>
      </c>
      <c r="GQ78" s="15">
        <f t="shared" ca="1" si="337"/>
        <v>29</v>
      </c>
      <c r="GR78" s="15">
        <f t="shared" ca="1" si="337"/>
        <v>30</v>
      </c>
      <c r="GS78" s="5"/>
      <c r="GT78" s="5"/>
      <c r="GU78" s="5"/>
      <c r="GV78" s="16"/>
      <c r="GW78" s="16"/>
      <c r="GX78" s="16"/>
      <c r="GY78" s="16"/>
      <c r="GZ78" s="16"/>
      <c r="HA78" s="16"/>
      <c r="HB78" s="16"/>
      <c r="HC78" s="16"/>
      <c r="HD78" s="16"/>
      <c r="HE78" s="16"/>
      <c r="HF78" s="16"/>
    </row>
    <row r="79" spans="1:214" ht="12.75" customHeight="1" x14ac:dyDescent="0.3">
      <c r="A79" s="57"/>
      <c r="B79" s="57"/>
      <c r="C79" s="57"/>
      <c r="D79" s="57"/>
      <c r="E79" s="57"/>
      <c r="F79" s="16"/>
      <c r="G79" s="16" t="s">
        <v>161</v>
      </c>
      <c r="H79" s="16" t="s">
        <v>162</v>
      </c>
      <c r="I79" s="16" t="s">
        <v>163</v>
      </c>
      <c r="J79" s="16" t="s">
        <v>161</v>
      </c>
      <c r="K79" s="16" t="s">
        <v>162</v>
      </c>
      <c r="L79" s="16" t="s">
        <v>163</v>
      </c>
      <c r="M79" s="16" t="s">
        <v>161</v>
      </c>
      <c r="N79" s="16" t="s">
        <v>162</v>
      </c>
      <c r="O79" s="16" t="s">
        <v>163</v>
      </c>
      <c r="P79" s="16" t="s">
        <v>161</v>
      </c>
      <c r="Q79" s="16" t="s">
        <v>162</v>
      </c>
      <c r="R79" s="16" t="s">
        <v>163</v>
      </c>
      <c r="S79" s="16" t="s">
        <v>161</v>
      </c>
      <c r="T79" s="16" t="s">
        <v>162</v>
      </c>
      <c r="U79" s="16" t="s">
        <v>163</v>
      </c>
      <c r="V79" s="16" t="s">
        <v>161</v>
      </c>
      <c r="W79" s="16" t="s">
        <v>162</v>
      </c>
      <c r="X79" s="16" t="s">
        <v>163</v>
      </c>
      <c r="Y79" s="16" t="s">
        <v>161</v>
      </c>
      <c r="Z79" s="16" t="s">
        <v>162</v>
      </c>
      <c r="AA79" s="16" t="s">
        <v>163</v>
      </c>
      <c r="AB79" s="16" t="s">
        <v>161</v>
      </c>
      <c r="AC79" s="16" t="s">
        <v>162</v>
      </c>
      <c r="AD79" s="16" t="s">
        <v>163</v>
      </c>
      <c r="AE79" s="16" t="s">
        <v>161</v>
      </c>
      <c r="AF79" s="16" t="s">
        <v>162</v>
      </c>
      <c r="AG79" s="16" t="s">
        <v>163</v>
      </c>
      <c r="AH79" s="16" t="s">
        <v>161</v>
      </c>
      <c r="AI79" s="16" t="s">
        <v>162</v>
      </c>
      <c r="AJ79" s="16" t="s">
        <v>163</v>
      </c>
      <c r="AK79" s="16" t="s">
        <v>161</v>
      </c>
      <c r="AL79" s="16" t="s">
        <v>162</v>
      </c>
      <c r="AM79" s="16" t="s">
        <v>163</v>
      </c>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15">
        <f t="array" aca="1" ref="FO79" ca="1">IFERROR(IF(AND(OFFSET($E$20,$FJ78,0)="H",OFFSET(J$19,$FJ78,0)&lt;&gt;"",OFFSET($F24,$FJ78,0)&lt;&gt;"Hybrid - Thrust + 2 connections"),INDEX(Hyb_Tech,MATCH(OFFSET(J$19,$FJ78,0),Hyb_Code,0)),FO$72),FO$72)</f>
        <v>1</v>
      </c>
      <c r="FP79" s="15">
        <f t="array" aca="1" ref="FP79" ca="1">IFERROR(IF(AND(OFFSET($E$20,$FJ78,0)="H",OFFSET(K$19,$FJ78,0)&lt;&gt;"",OFFSET($F24,$FJ78,0)&lt;&gt;"Hybrid - Thrust + 2 connections"),INDEX(Hyb_Tech,MATCH(OFFSET(K$19,$FJ78,0),Hyb_Code,0)),FP$72),FP$72)</f>
        <v>2</v>
      </c>
      <c r="FQ79" s="15">
        <f t="array" aca="1" ref="FQ79" ca="1">IFERROR(IF(AND(OFFSET($E$20,$FJ78,0)="H",OFFSET(L$19,$FJ78,0)&lt;&gt;"",OFFSET($F24,$FJ78,0)&lt;&gt;"Hybrid - Thrust + 2 connections"),INDEX(Hyb_Tech,MATCH(OFFSET(L$19,$FJ78,0),Hyb_Code,0)),FQ$72),FQ$72)</f>
        <v>3</v>
      </c>
      <c r="FR79" s="15">
        <f t="array" aca="1" ref="FR79" ca="1">IFERROR(IF(AND(OFFSET($E$20,$FJ78,0)="H",OFFSET(M$19,$FJ78,0)&lt;&gt;"",OFFSET($F24,$FJ78,0)&lt;&gt;"Hybrid - Thrust + 2 connections"),INDEX(Hyb_Tech,MATCH(OFFSET(M$19,$FJ78,0),Hyb_Code,0)),FR$72),FR$72)</f>
        <v>4</v>
      </c>
      <c r="FS79" s="15">
        <f t="array" aca="1" ref="FS79" ca="1">IFERROR(IF(AND(OFFSET($E$20,$FJ78,0)="H",OFFSET(N$19,$FJ78,0)&lt;&gt;"",OFFSET($F24,$FJ78,0)&lt;&gt;"Hybrid - Thrust + 2 connections"),INDEX(Hyb_Tech,MATCH(OFFSET(N$19,$FJ78,0),Hyb_Code,0)),FS$72),FS$72)</f>
        <v>5</v>
      </c>
      <c r="FT79" s="15">
        <f t="array" aca="1" ref="FT79" ca="1">IFERROR(IF(AND(OFFSET($E$20,$FJ78,0)="H",OFFSET(O$19,$FJ78,0)&lt;&gt;"",OFFSET($F24,$FJ78,0)&lt;&gt;"Hybrid - Thrust + 2 connections"),INDEX(Hyb_Tech,MATCH(OFFSET(O$19,$FJ78,0),Hyb_Code,0)),FT$72),FT$72)</f>
        <v>6</v>
      </c>
      <c r="FU79" s="15">
        <f t="array" aca="1" ref="FU79" ca="1">IFERROR(IF(AND(OFFSET($E$20,$FJ78,0)="H",OFFSET(P$19,$FJ78,0)&lt;&gt;"",OFFSET($F24,$FJ78,0)&lt;&gt;"Hybrid - Thrust + 2 connections"),INDEX(Hyb_Tech,MATCH(OFFSET(P$19,$FJ78,0),Hyb_Code,0)),FU$72),FU$72)</f>
        <v>7</v>
      </c>
      <c r="FV79" s="15">
        <f t="array" aca="1" ref="FV79" ca="1">IFERROR(IF(AND(OFFSET($E$20,$FJ78,0)="H",OFFSET(Q$19,$FJ78,0)&lt;&gt;"",OFFSET($F24,$FJ78,0)&lt;&gt;"Hybrid - Thrust + 2 connections"),INDEX(Hyb_Tech,MATCH(OFFSET(Q$19,$FJ78,0),Hyb_Code,0)),FV$72),FV$72)</f>
        <v>8</v>
      </c>
      <c r="FW79" s="15">
        <f t="array" aca="1" ref="FW79" ca="1">IFERROR(IF(AND(OFFSET($E$20,$FJ78,0)="H",OFFSET(R$19,$FJ78,0)&lt;&gt;"",OFFSET($F24,$FJ78,0)&lt;&gt;"Hybrid - Thrust + 2 connections"),INDEX(Hyb_Tech,MATCH(OFFSET(R$19,$FJ78,0),Hyb_Code,0)),FW$72),FW$72)</f>
        <v>9</v>
      </c>
      <c r="FX79" s="15">
        <f t="array" aca="1" ref="FX79" ca="1">IFERROR(IF(AND(OFFSET($E$20,$FJ78,0)="H",OFFSET(S$19,$FJ78,0)&lt;&gt;"",OFFSET($F24,$FJ78,0)&lt;&gt;"Hybrid - Thrust + 2 connections"),INDEX(Hyb_Tech,MATCH(OFFSET(S$19,$FJ78,0),Hyb_Code,0)),FX$72),FX$72)</f>
        <v>10</v>
      </c>
      <c r="FY79" s="15">
        <f t="array" aca="1" ref="FY79" ca="1">IFERROR(IF(AND(OFFSET($E$20,$FJ78,0)="H",OFFSET(T$19,$FJ78,0)&lt;&gt;"",OFFSET($F24,$FJ78,0)&lt;&gt;"Hybrid - Thrust + 2 connections"),INDEX(Hyb_Tech,MATCH(OFFSET(T$19,$FJ78,0),Hyb_Code,0)),FY$72),FY$72)</f>
        <v>11</v>
      </c>
      <c r="FZ79" s="15">
        <f t="array" aca="1" ref="FZ79" ca="1">IFERROR(IF(AND(OFFSET($E$20,$FJ78,0)="H",OFFSET(U$19,$FJ78,0)&lt;&gt;"",OFFSET($F24,$FJ78,0)&lt;&gt;"Hybrid - Thrust + 2 connections"),INDEX(Hyb_Tech,MATCH(OFFSET(U$19,$FJ78,0),Hyb_Code,0)),FZ$72),FZ$72)</f>
        <v>12</v>
      </c>
      <c r="GA79" s="15">
        <f t="array" aca="1" ref="GA79" ca="1">IFERROR(IF(AND(OFFSET($E$20,$FJ78,0)="H",OFFSET(V$19,$FJ78,0)&lt;&gt;"",OFFSET($F24,$FJ78,0)&lt;&gt;"Hybrid - Thrust + 2 connections"),INDEX(Hyb_Tech,MATCH(OFFSET(V$19,$FJ78,0),Hyb_Code,0)),GA$72),GA$72)</f>
        <v>13</v>
      </c>
      <c r="GB79" s="15">
        <f t="array" aca="1" ref="GB79" ca="1">IFERROR(IF(AND(OFFSET($E$20,$FJ78,0)="H",OFFSET(W$19,$FJ78,0)&lt;&gt;"",OFFSET($F24,$FJ78,0)&lt;&gt;"Hybrid - Thrust + 2 connections"),INDEX(Hyb_Tech,MATCH(OFFSET(W$19,$FJ78,0),Hyb_Code,0)),GB$72),GB$72)</f>
        <v>14</v>
      </c>
      <c r="GC79" s="15">
        <f t="array" aca="1" ref="GC79" ca="1">IFERROR(IF(AND(OFFSET($E$20,$FJ78,0)="H",OFFSET(X$19,$FJ78,0)&lt;&gt;"",OFFSET($F24,$FJ78,0)&lt;&gt;"Hybrid - Thrust + 2 connections"),INDEX(Hyb_Tech,MATCH(OFFSET(X$19,$FJ78,0),Hyb_Code,0)),GC$72),GC$72)</f>
        <v>15</v>
      </c>
      <c r="GD79" s="15">
        <f t="array" aca="1" ref="GD79" ca="1">IFERROR(IF(AND(OFFSET($E$20,$FJ78,0)="H",OFFSET(Y$19,$FJ78,0)&lt;&gt;"",OFFSET($F24,$FJ78,0)&lt;&gt;"Hybrid - Thrust + 2 connections"),INDEX(Hyb_Tech,MATCH(OFFSET(Y$19,$FJ78,0),Hyb_Code,0)),GD$72),GD$72)</f>
        <v>16</v>
      </c>
      <c r="GE79" s="15">
        <f t="array" aca="1" ref="GE79" ca="1">IFERROR(IF(AND(OFFSET($E$20,$FJ78,0)="H",OFFSET(Z$19,$FJ78,0)&lt;&gt;"",OFFSET($F24,$FJ78,0)&lt;&gt;"Hybrid - Thrust + 2 connections"),INDEX(Hyb_Tech,MATCH(OFFSET(Z$19,$FJ78,0),Hyb_Code,0)),GE$72),GE$72)</f>
        <v>17</v>
      </c>
      <c r="GF79" s="15">
        <f t="array" aca="1" ref="GF79" ca="1">IFERROR(IF(AND(OFFSET($E$20,$FJ78,0)="H",OFFSET(AA$19,$FJ78,0)&lt;&gt;"",OFFSET($F24,$FJ78,0)&lt;&gt;"Hybrid - Thrust + 2 connections"),INDEX(Hyb_Tech,MATCH(OFFSET(AA$19,$FJ78,0),Hyb_Code,0)),GF$72),GF$72)</f>
        <v>18</v>
      </c>
      <c r="GG79" s="15">
        <f t="array" aca="1" ref="GG79" ca="1">IFERROR(IF(AND(OFFSET($E$20,$FJ78,0)="H",OFFSET(AB$19,$FJ78,0)&lt;&gt;"",OFFSET($F24,$FJ78,0)&lt;&gt;"Hybrid - Thrust + 2 connections"),INDEX(Hyb_Tech,MATCH(OFFSET(AB$19,$FJ78,0),Hyb_Code,0)),GG$72),GG$72)</f>
        <v>19</v>
      </c>
      <c r="GH79" s="15">
        <f t="array" aca="1" ref="GH79" ca="1">IFERROR(IF(AND(OFFSET($E$20,$FJ78,0)="H",OFFSET(AC$19,$FJ78,0)&lt;&gt;"",OFFSET($F24,$FJ78,0)&lt;&gt;"Hybrid - Thrust + 2 connections"),INDEX(Hyb_Tech,MATCH(OFFSET(AC$19,$FJ78,0),Hyb_Code,0)),GH$72),GH$72)</f>
        <v>20</v>
      </c>
      <c r="GI79" s="15">
        <f t="array" aca="1" ref="GI79" ca="1">IFERROR(IF(AND(OFFSET($E$20,$FJ78,0)="H",OFFSET(AD$19,$FJ78,0)&lt;&gt;"",OFFSET($F24,$FJ78,0)&lt;&gt;"Hybrid - Thrust + 2 connections"),INDEX(Hyb_Tech,MATCH(OFFSET(AD$19,$FJ78,0),Hyb_Code,0)),GI$72),GI$72)</f>
        <v>21</v>
      </c>
      <c r="GJ79" s="15">
        <f t="array" aca="1" ref="GJ79" ca="1">IFERROR(IF(AND(OFFSET($E$20,$FJ78,0)="H",OFFSET(AE$19,$FJ78,0)&lt;&gt;"",OFFSET($F24,$FJ78,0)&lt;&gt;"Hybrid - Thrust + 2 connections"),INDEX(Hyb_Tech,MATCH(OFFSET(AE$19,$FJ78,0),Hyb_Code,0)),GJ$72),GJ$72)</f>
        <v>22</v>
      </c>
      <c r="GK79" s="15">
        <f t="array" aca="1" ref="GK79" ca="1">IFERROR(IF(AND(OFFSET($E$20,$FJ78,0)="H",OFFSET(AF$19,$FJ78,0)&lt;&gt;"",OFFSET($F24,$FJ78,0)&lt;&gt;"Hybrid - Thrust + 2 connections"),INDEX(Hyb_Tech,MATCH(OFFSET(AF$19,$FJ78,0),Hyb_Code,0)),GK$72),GK$72)</f>
        <v>23</v>
      </c>
      <c r="GL79" s="15">
        <f t="array" aca="1" ref="GL79" ca="1">IFERROR(IF(AND(OFFSET($E$20,$FJ78,0)="H",OFFSET(AG$19,$FJ78,0)&lt;&gt;"",OFFSET($F24,$FJ78,0)&lt;&gt;"Hybrid - Thrust + 2 connections"),INDEX(Hyb_Tech,MATCH(OFFSET(AG$19,$FJ78,0),Hyb_Code,0)),GL$72),GL$72)</f>
        <v>24</v>
      </c>
      <c r="GM79" s="15">
        <f t="array" aca="1" ref="GM79" ca="1">IFERROR(IF(AND(OFFSET($E$20,$FJ78,0)="H",OFFSET(AH$19,$FJ78,0)&lt;&gt;"",OFFSET($F24,$FJ78,0)&lt;&gt;"Hybrid - Thrust + 2 connections"),INDEX(Hyb_Tech,MATCH(OFFSET(AH$19,$FJ78,0),Hyb_Code,0)),GM$72),GM$72)</f>
        <v>25</v>
      </c>
      <c r="GN79" s="15">
        <f t="array" aca="1" ref="GN79" ca="1">IFERROR(IF(AND(OFFSET($E$20,$FJ78,0)="H",OFFSET(AI$19,$FJ78,0)&lt;&gt;"",OFFSET($F24,$FJ78,0)&lt;&gt;"Hybrid - Thrust + 2 connections"),INDEX(Hyb_Tech,MATCH(OFFSET(AI$19,$FJ78,0),Hyb_Code,0)),GN$72),GN$72)</f>
        <v>26</v>
      </c>
      <c r="GO79" s="15">
        <f t="array" aca="1" ref="GO79" ca="1">IFERROR(IF(AND(OFFSET($E$20,$FJ78,0)="H",OFFSET(AJ$19,$FJ78,0)&lt;&gt;"",OFFSET($F24,$FJ78,0)&lt;&gt;"Hybrid - Thrust + 2 connections"),INDEX(Hyb_Tech,MATCH(OFFSET(AJ$19,$FJ78,0),Hyb_Code,0)),GO$72),GO$72)</f>
        <v>27</v>
      </c>
      <c r="GP79" s="15">
        <f t="array" aca="1" ref="GP79" ca="1">IFERROR(IF(AND(OFFSET($E$20,$FJ78,0)="H",OFFSET(AK$19,$FJ78,0)&lt;&gt;"",OFFSET($F24,$FJ78,0)&lt;&gt;"Hybrid - Thrust + 2 connections"),INDEX(Hyb_Tech,MATCH(OFFSET(AK$19,$FJ78,0),Hyb_Code,0)),GP$72),GP$72)</f>
        <v>28</v>
      </c>
      <c r="GQ79" s="15">
        <f t="array" aca="1" ref="GQ79" ca="1">IFERROR(IF(AND(OFFSET($E$20,$FJ78,0)="H",OFFSET(AL$19,$FJ78,0)&lt;&gt;"",OFFSET($F24,$FJ78,0)&lt;&gt;"Hybrid - Thrust + 2 connections"),INDEX(Hyb_Tech,MATCH(OFFSET(AL$19,$FJ78,0),Hyb_Code,0)),GQ$72),GQ$72)</f>
        <v>29</v>
      </c>
      <c r="GR79" s="15">
        <f t="array" aca="1" ref="GR79" ca="1">IFERROR(IF(AND(OFFSET($E$20,$FJ78,0)="H",OFFSET(AM$19,$FJ78,0)&lt;&gt;"",OFFSET($F24,$FJ78,0)&lt;&gt;"Hybrid - Thrust + 2 connections"),INDEX(Hyb_Tech,MATCH(OFFSET(AM$19,$FJ78,0),Hyb_Code,0)),GR$72),GR$72)</f>
        <v>30</v>
      </c>
      <c r="GS79" s="5"/>
      <c r="GT79" s="5"/>
      <c r="GU79" s="5"/>
      <c r="GV79" s="16"/>
      <c r="GW79" s="16"/>
      <c r="GX79" s="16"/>
      <c r="GY79" s="16"/>
      <c r="GZ79" s="16"/>
      <c r="HA79" s="16"/>
      <c r="HB79" s="16"/>
      <c r="HC79" s="16"/>
      <c r="HD79" s="16"/>
      <c r="HE79" s="16"/>
      <c r="HF79" s="16"/>
    </row>
    <row r="80" spans="1:214" ht="12.75" customHeight="1" x14ac:dyDescent="0.3">
      <c r="A80" s="57"/>
      <c r="B80" s="57"/>
      <c r="C80" s="57"/>
      <c r="D80" s="57"/>
      <c r="E80" s="57"/>
      <c r="F80" s="16"/>
      <c r="G80" s="16"/>
      <c r="H80" s="57"/>
      <c r="I80" s="16"/>
      <c r="J80" s="16"/>
      <c r="K80" s="57"/>
      <c r="L80" s="16"/>
      <c r="M80" s="16"/>
      <c r="N80" s="57"/>
      <c r="O80" s="16"/>
      <c r="P80" s="16"/>
      <c r="Q80" s="57"/>
      <c r="R80" s="16"/>
      <c r="S80" s="16"/>
      <c r="T80" s="57"/>
      <c r="U80" s="16"/>
      <c r="V80" s="16"/>
      <c r="W80" s="57"/>
      <c r="X80" s="16"/>
      <c r="Y80" s="16"/>
      <c r="Z80" s="57"/>
      <c r="AA80" s="16"/>
      <c r="AB80" s="16"/>
      <c r="AC80" s="57"/>
      <c r="AD80" s="16"/>
      <c r="AE80" s="16"/>
      <c r="AF80" s="57"/>
      <c r="AG80" s="16"/>
      <c r="AH80" s="16"/>
      <c r="AI80" s="57"/>
      <c r="AJ80" s="5"/>
      <c r="AK80" s="5"/>
      <c r="AL80" s="1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t="str">
        <f ca="1">IFERROR(IF(SUM($FO80:$GR80)&gt;3,OFFSET($FO$73,$FJ78*5/2,MATCH(1,FO80:GR80,0)),""),"")</f>
        <v/>
      </c>
      <c r="FN80" s="15" t="str">
        <f ca="1">IFERROR(IF(LEFT(FM80,1)="C",IF(RIGHT(FM80,1)="+",LEFT(FM80,LEN(FM80)-1),CONCATENATE(FM80,"+")),IF(SUM($FO80:$GR80)&gt;3,OFFSET($FO$73,$FJ78*5/2,MATCH(0.5,FO80:GR80,0)),"")),"")</f>
        <v/>
      </c>
      <c r="FO80" s="15" t="str">
        <f t="array" aca="1" ref="FO80" ca="1">IF(COUNTIF($FO79:$GR79,FO79)&gt;3,INDEX(Hyb_Tech_Value,MATCH(FO78,Hyb_Code,0)),"")</f>
        <v/>
      </c>
      <c r="FP80" s="15" t="str">
        <f t="array" aca="1" ref="FP80" ca="1">IF(COUNTIF($FO79:$GR79,FP79)&gt;3,INDEX(Hyb_Tech_Value,MATCH(FP78,Hyb_Code,0)),"")</f>
        <v/>
      </c>
      <c r="FQ80" s="15" t="str">
        <f t="array" aca="1" ref="FQ80" ca="1">IF(COUNTIF($FO79:$GR79,FQ79)&gt;3,INDEX(Hyb_Tech_Value,MATCH(FQ78,Hyb_Code,0)),"")</f>
        <v/>
      </c>
      <c r="FR80" s="15" t="str">
        <f t="array" aca="1" ref="FR80" ca="1">IF(COUNTIF($FO79:$GR79,FR79)&gt;3,INDEX(Hyb_Tech_Value,MATCH(FR78,Hyb_Code,0)),"")</f>
        <v/>
      </c>
      <c r="FS80" s="15" t="str">
        <f t="array" aca="1" ref="FS80" ca="1">IF(COUNTIF($FO79:$GR79,FS79)&gt;3,INDEX(Hyb_Tech_Value,MATCH(FS78,Hyb_Code,0)),"")</f>
        <v/>
      </c>
      <c r="FT80" s="15" t="str">
        <f t="array" aca="1" ref="FT80" ca="1">IF(COUNTIF($FO79:$GR79,FT79)&gt;3,INDEX(Hyb_Tech_Value,MATCH(FT78,Hyb_Code,0)),"")</f>
        <v/>
      </c>
      <c r="FU80" s="15" t="str">
        <f t="array" aca="1" ref="FU80" ca="1">IF(COUNTIF($FO79:$GR79,FU79)&gt;3,INDEX(Hyb_Tech_Value,MATCH(FU78,Hyb_Code,0)),"")</f>
        <v/>
      </c>
      <c r="FV80" s="15" t="str">
        <f t="array" aca="1" ref="FV80" ca="1">IF(COUNTIF($FO79:$GR79,FV79)&gt;3,INDEX(Hyb_Tech_Value,MATCH(FV78,Hyb_Code,0)),"")</f>
        <v/>
      </c>
      <c r="FW80" s="15" t="str">
        <f t="array" aca="1" ref="FW80" ca="1">IF(COUNTIF($FO79:$GR79,FW79)&gt;3,INDEX(Hyb_Tech_Value,MATCH(FW78,Hyb_Code,0)),"")</f>
        <v/>
      </c>
      <c r="FX80" s="15" t="str">
        <f t="array" aca="1" ref="FX80" ca="1">IF(COUNTIF($FO79:$GR79,FX79)&gt;3,INDEX(Hyb_Tech_Value,MATCH(FX78,Hyb_Code,0)),"")</f>
        <v/>
      </c>
      <c r="FY80" s="15" t="str">
        <f t="array" aca="1" ref="FY80" ca="1">IF(COUNTIF($FO79:$GR79,FY79)&gt;3,INDEX(Hyb_Tech_Value,MATCH(FY78,Hyb_Code,0)),"")</f>
        <v/>
      </c>
      <c r="FZ80" s="15" t="str">
        <f t="array" aca="1" ref="FZ80" ca="1">IF(COUNTIF($FO79:$GR79,FZ79)&gt;3,INDEX(Hyb_Tech_Value,MATCH(FZ78,Hyb_Code,0)),"")</f>
        <v/>
      </c>
      <c r="GA80" s="15" t="str">
        <f t="array" aca="1" ref="GA80" ca="1">IF(COUNTIF($FO79:$GR79,GA79)&gt;3,INDEX(Hyb_Tech_Value,MATCH(GA78,Hyb_Code,0)),"")</f>
        <v/>
      </c>
      <c r="GB80" s="15" t="str">
        <f t="array" aca="1" ref="GB80" ca="1">IF(COUNTIF($FO79:$GR79,GB79)&gt;3,INDEX(Hyb_Tech_Value,MATCH(GB78,Hyb_Code,0)),"")</f>
        <v/>
      </c>
      <c r="GC80" s="15" t="str">
        <f t="array" aca="1" ref="GC80" ca="1">IF(COUNTIF($FO79:$GR79,GC79)&gt;3,INDEX(Hyb_Tech_Value,MATCH(GC78,Hyb_Code,0)),"")</f>
        <v/>
      </c>
      <c r="GD80" s="15" t="str">
        <f t="array" aca="1" ref="GD80" ca="1">IF(COUNTIF($FO79:$GR79,GD79)&gt;3,INDEX(Hyb_Tech_Value,MATCH(GD78,Hyb_Code,0)),"")</f>
        <v/>
      </c>
      <c r="GE80" s="15" t="str">
        <f t="array" aca="1" ref="GE80" ca="1">IF(COUNTIF($FO79:$GR79,GE79)&gt;3,INDEX(Hyb_Tech_Value,MATCH(GE78,Hyb_Code,0)),"")</f>
        <v/>
      </c>
      <c r="GF80" s="15" t="str">
        <f t="array" aca="1" ref="GF80" ca="1">IF(COUNTIF($FO79:$GR79,GF79)&gt;3,INDEX(Hyb_Tech_Value,MATCH(GF78,Hyb_Code,0)),"")</f>
        <v/>
      </c>
      <c r="GG80" s="15" t="str">
        <f t="array" aca="1" ref="GG80" ca="1">IF(COUNTIF($FO79:$GR79,GG79)&gt;3,INDEX(Hyb_Tech_Value,MATCH(GG78,Hyb_Code,0)),"")</f>
        <v/>
      </c>
      <c r="GH80" s="15" t="str">
        <f t="array" aca="1" ref="GH80" ca="1">IF(COUNTIF($FO79:$GR79,GH79)&gt;3,INDEX(Hyb_Tech_Value,MATCH(GH78,Hyb_Code,0)),"")</f>
        <v/>
      </c>
      <c r="GI80" s="15" t="str">
        <f t="array" aca="1" ref="GI80" ca="1">IF(COUNTIF($FO79:$GR79,GI79)&gt;3,INDEX(Hyb_Tech_Value,MATCH(GI78,Hyb_Code,0)),"")</f>
        <v/>
      </c>
      <c r="GJ80" s="15" t="str">
        <f t="array" aca="1" ref="GJ80" ca="1">IF(COUNTIF($FO79:$GR79,GJ79)&gt;3,INDEX(Hyb_Tech_Value,MATCH(GJ78,Hyb_Code,0)),"")</f>
        <v/>
      </c>
      <c r="GK80" s="15" t="str">
        <f t="array" aca="1" ref="GK80" ca="1">IF(COUNTIF($FO79:$GR79,GK79)&gt;3,INDEX(Hyb_Tech_Value,MATCH(GK78,Hyb_Code,0)),"")</f>
        <v/>
      </c>
      <c r="GL80" s="15" t="str">
        <f t="array" aca="1" ref="GL80" ca="1">IF(COUNTIF($FO79:$GR79,GL79)&gt;3,INDEX(Hyb_Tech_Value,MATCH(GL78,Hyb_Code,0)),"")</f>
        <v/>
      </c>
      <c r="GM80" s="15" t="str">
        <f t="array" aca="1" ref="GM80" ca="1">IF(COUNTIF($FO79:$GR79,GM79)&gt;3,INDEX(Hyb_Tech_Value,MATCH(GM78,Hyb_Code,0)),"")</f>
        <v/>
      </c>
      <c r="GN80" s="15" t="str">
        <f t="array" aca="1" ref="GN80" ca="1">IF(COUNTIF($FO79:$GR79,GN79)&gt;3,INDEX(Hyb_Tech_Value,MATCH(GN78,Hyb_Code,0)),"")</f>
        <v/>
      </c>
      <c r="GO80" s="15" t="str">
        <f t="array" aca="1" ref="GO80" ca="1">IF(COUNTIF($FO79:$GR79,GO79)&gt;3,INDEX(Hyb_Tech_Value,MATCH(GO78,Hyb_Code,0)),"")</f>
        <v/>
      </c>
      <c r="GP80" s="15" t="str">
        <f t="array" aca="1" ref="GP80" ca="1">IF(COUNTIF($FO79:$GR79,GP79)&gt;3,INDEX(Hyb_Tech_Value,MATCH(GP78,Hyb_Code,0)),"")</f>
        <v/>
      </c>
      <c r="GQ80" s="15" t="str">
        <f t="array" aca="1" ref="GQ80" ca="1">IF(COUNTIF($FO79:$GR79,GQ79)&gt;3,INDEX(Hyb_Tech_Value,MATCH(GQ78,Hyb_Code,0)),"")</f>
        <v/>
      </c>
      <c r="GR80" s="15" t="str">
        <f t="array" aca="1" ref="GR80" ca="1">IF(COUNTIF($FO79:$GR79,GR79)&gt;3,INDEX(Hyb_Tech_Value,MATCH(GR78,Hyb_Code,0)),"")</f>
        <v/>
      </c>
      <c r="GS80" s="5"/>
      <c r="GT80" s="5"/>
      <c r="GU80" s="5"/>
      <c r="GV80" s="16"/>
      <c r="GW80" s="16"/>
      <c r="GX80" s="16"/>
      <c r="GY80" s="16"/>
      <c r="GZ80" s="16"/>
      <c r="HA80" s="16"/>
      <c r="HB80" s="16"/>
      <c r="HC80" s="16"/>
      <c r="HD80" s="16"/>
      <c r="HE80" s="16"/>
      <c r="HF80" s="16"/>
    </row>
    <row r="81" spans="5:200" ht="12.75" customHeight="1" x14ac:dyDescent="0.3">
      <c r="E81" s="75" t="str">
        <f>IF(G81&lt;&gt;"","Copy green area &gt;&gt;&gt;","")</f>
        <v/>
      </c>
      <c r="F81" s="154" t="s">
        <v>168</v>
      </c>
      <c r="G81" s="57" t="str">
        <f t="array" ref="G81">IFERROR(IF($BV$8&lt;&gt;"T",IF(OR(INDEX($E$20:$E$68,MATCH(H78,$G$19:$G$67,0))="H",INDEX($E$20:$E$68,MATCH(H78,$G$19:$G$67,0))="T"),INDEX($E$20:$E$68,MATCH(H78,$G$19:$G$67,0)),IF(INDEX($E$20:$E$68,MATCH(H78,$G$19:$G$67,0))=3,"T",IF(OR(INDEX($E$20:$E$68,MATCH(H78,$G$19:$G$67,0))="A",INDEX($E$20:$E$68,MATCH(H78,$G$19:$G$67,0))="B",INDEX($E$20:$E$68,MATCH(H78,$G$19:$G$67,0))="C",INDEX($E$20:$E$68,MATCH(H78,$G$19:$G$67,0))="P"),CONCATENATE("A",RIGHT(INDEX($H$20:$H$68,MATCH(H78,$G$19:$G$67,0)),1)),IF(INDEX($E$20:$E$68,MATCH(H78,$G$19:$G$67,0))="PA",IF(MID(INDEX($H$20:$H$68,MATCH(H78,$G$19:$G$67,0)),8,1)="W","AT",CONCATENATE("A",MID(INDEX($H$20:$H$68,MATCH(H78,$G$19:$G$67,0)),8,1))),"")))),""),"")</f>
        <v/>
      </c>
      <c r="H81" s="57" t="str">
        <f>IFERROR(IF($BV$8&lt;&gt;"T",IF(OR(G81="H",LEFT(G81,1)="A"),IF($J$19="ChoHY",0,IF($BV$6="D",0.1,0.5)),""),""),"")</f>
        <v/>
      </c>
      <c r="I81" s="155" t="str">
        <f t="array" ref="I81">IFERROR(IF($BV$8&lt;&gt;"T",INDEX($AO$20:$AO$68,MATCH(H78,$G$19:$G$67,0)),""),"")</f>
        <v/>
      </c>
      <c r="J81" s="57" t="str">
        <f t="array" ref="J81">IFERROR(IF($BV$8&lt;&gt;"T",IF(OR(INDEX($E$20:$E$68,MATCH(K78,$G$19:$G$67,0))="H",INDEX($E$20:$E$68,MATCH(K78,$G$19:$G$67,0))="T"),INDEX($E$20:$E$68,MATCH(K78,$G$19:$G$67,0)),IF(INDEX($E$20:$E$68,MATCH(K78,$G$19:$G$67,0))=3,"T",IF(OR(INDEX($E$20:$E$68,MATCH(K78,$G$19:$G$67,0))="A",INDEX($E$20:$E$68,MATCH(K78,$G$19:$G$67,0))="B",INDEX($E$20:$E$68,MATCH(K78,$G$19:$G$67,0))="C",INDEX($E$20:$E$68,MATCH(K78,$G$19:$G$67,0))="P"),CONCATENATE("A",RIGHT(INDEX($H$20:$H$68,MATCH(K78,$G$19:$G$67,0)),1)),IF(INDEX($E$20:$E$68,MATCH(K78,$G$19:$G$67,0))="PA",IF(MID(INDEX($H$20:$H$68,MATCH(K78,$G$19:$G$67,0)),8,1)="W","AT",CONCATENATE("A",MID(INDEX($H$20:$H$68,MATCH(K78,$G$19:$G$67,0)),8,1))),"")))),""),"")</f>
        <v/>
      </c>
      <c r="K81" s="57" t="str">
        <f>IFERROR(IF($BV$8&lt;&gt;"T",IF(OR(J81="H",LEFT(J81,1)="A"),IF($J$21="ChoHY",0,IF($BV$6="D",0.1,0.5)),""),""),"")</f>
        <v/>
      </c>
      <c r="L81" s="155" t="str">
        <f t="array" ref="L81">IFERROR(IF($BV$8&lt;&gt;"T",INDEX($AO$20:$AO$68,MATCH(K78,$G$19:$G$67,0)),""),"")</f>
        <v/>
      </c>
      <c r="M81" s="57" t="str">
        <f t="array" ref="M81">IFERROR(IF($BV$8&lt;&gt;"T",IF(OR(INDEX($E$20:$E$68,MATCH(N78,$G$19:$G$67,0))="H",INDEX($E$20:$E$68,MATCH(N78,$G$19:$G$67,0))="T"),INDEX($E$20:$E$68,MATCH(N78,$G$19:$G$67,0)),IF(INDEX($E$20:$E$68,MATCH(N78,$G$19:$G$67,0))=3,"T",IF(OR(INDEX($E$20:$E$68,MATCH(N78,$G$19:$G$67,0))="A",INDEX($E$20:$E$68,MATCH(N78,$G$19:$G$67,0))="B",INDEX($E$20:$E$68,MATCH(N78,$G$19:$G$67,0))="C",INDEX($E$20:$E$68,MATCH(N78,$G$19:$G$67,0))="P"),CONCATENATE("A",RIGHT(INDEX($H$20:$H$68,MATCH(N78,$G$19:$G$67,0)),1)),IF(INDEX($E$20:$E$68,MATCH(N78,$G$19:$G$67,0))="PA",IF(MID(INDEX($H$20:$H$68,MATCH(N78,$G$19:$G$67,0)),8,1)="W","AT",CONCATENATE("A",MID(INDEX($H$20:$H$68,MATCH(N78,$G$19:$G$67,0)),8,1))),"")))),""),"")</f>
        <v/>
      </c>
      <c r="N81" s="57" t="str">
        <f>IFERROR(IF($BV$8&lt;&gt;"T",IF(OR(M81="H",LEFT(M81,1)="A"),IF($J$23="ChoHY",0,IF($BV$6="D",0.1,0.5)),""),""),"")</f>
        <v/>
      </c>
      <c r="O81" s="155" t="str">
        <f t="array" ref="O81">IFERROR(IF($BV$8&lt;&gt;"T",INDEX($AO$20:$AO$68,MATCH(N78,$G$19:$G$67,0)),""),"")</f>
        <v/>
      </c>
      <c r="P81" s="57" t="str">
        <f t="array" ref="P81">IFERROR(IF($BV$8&lt;&gt;"T",IF(OR(INDEX($E$20:$E$68,MATCH(Q78,$G$19:$G$67,0))="H",INDEX($E$20:$E$68,MATCH(Q78,$G$19:$G$67,0))="T"),INDEX($E$20:$E$68,MATCH(Q78,$G$19:$G$67,0)),IF(INDEX($E$20:$E$68,MATCH(Q78,$G$19:$G$67,0))=3,"T",IF(OR(INDEX($E$20:$E$68,MATCH(Q78,$G$19:$G$67,0))="A",INDEX($E$20:$E$68,MATCH(Q78,$G$19:$G$67,0))="B",INDEX($E$20:$E$68,MATCH(Q78,$G$19:$G$67,0))="C",INDEX($E$20:$E$68,MATCH(Q78,$G$19:$G$67,0))="P"),CONCATENATE("A",RIGHT(INDEX($H$20:$H$68,MATCH(Q78,$G$19:$G$67,0)),1)),IF(INDEX($E$20:$E$68,MATCH(Q78,$G$19:$G$67,0))="PA",IF(MID(INDEX($H$20:$H$68,MATCH(Q78,$G$19:$G$67,0)),8,1)="W","AT",CONCATENATE("A",MID(INDEX($H$20:$H$68,MATCH(Q78,$G$19:$G$67,0)),8,1))),"")))),""),"")</f>
        <v/>
      </c>
      <c r="Q81" s="57" t="str">
        <f>IFERROR(IF($BV$8&lt;&gt;"T",IF(OR(P81="H",LEFT(P81,1)="A"),IF($J$25="ChoHY",0,IF($BV$6="D",0.1,0.5)),""),""),"")</f>
        <v/>
      </c>
      <c r="R81" s="155" t="str">
        <f t="array" ref="R81">IFERROR(IF($BV$8&lt;&gt;"T",INDEX($AO$20:$AO$68,MATCH(Q78,$G$19:$G$67,0)),""),"")</f>
        <v/>
      </c>
      <c r="S81" s="57" t="str">
        <f t="array" ref="S81">IFERROR(IF($BV$8&lt;&gt;"T",IF(OR(INDEX($E$20:$E$68,MATCH(T78,$G$19:$G$67,0))="H",INDEX($E$20:$E$68,MATCH(T78,$G$19:$G$67,0))="T"),INDEX($E$20:$E$68,MATCH(T78,$G$19:$G$67,0)),IF(INDEX($E$20:$E$68,MATCH(T78,$G$19:$G$67,0))=3,"T",IF(OR(INDEX($E$20:$E$68,MATCH(T78,$G$19:$G$67,0))="A",INDEX($E$20:$E$68,MATCH(T78,$G$19:$G$67,0))="B",INDEX($E$20:$E$68,MATCH(T78,$G$19:$G$67,0))="C",INDEX($E$20:$E$68,MATCH(T78,$G$19:$G$67,0))="P"),CONCATENATE("A",RIGHT(INDEX($H$20:$H$68,MATCH(T78,$G$19:$G$67,0)),1)),IF(INDEX($E$20:$E$68,MATCH(T78,$G$19:$G$67,0))="PA",IF(MID(INDEX($H$20:$H$68,MATCH(T78,$G$19:$G$67,0)),8,1)="W","AT",CONCATENATE("A",MID(INDEX($H$20:$H$68,MATCH(T78,$G$19:$G$67,0)),8,1))),"")))),""),"")</f>
        <v/>
      </c>
      <c r="T81" s="57" t="str">
        <f>IFERROR(IF($BV$8&lt;&gt;"T",IF(OR(S81="H",LEFT(S81,1)="A"),IF($J$27="ChoHY",0,IF($BV$6="D",0.1,0.5)),""),""),"")</f>
        <v/>
      </c>
      <c r="U81" s="155" t="str">
        <f t="array" ref="U81">IFERROR(IF($BV$8&lt;&gt;"T",INDEX($AO$20:$AO$68,MATCH(T78,$G$19:$G$67,0)),""),"")</f>
        <v/>
      </c>
      <c r="V81" s="57" t="str">
        <f t="array" ref="V81">IFERROR(IF($BV$8&lt;&gt;"T",IF(OR(INDEX($E$20:$E$68,MATCH(W78,$G$19:$G$67,0))="H",INDEX($E$20:$E$68,MATCH(W78,$G$19:$G$67,0))="T"),INDEX($E$20:$E$68,MATCH(W78,$G$19:$G$67,0)),IF(INDEX($E$20:$E$68,MATCH(W78,$G$19:$G$67,0))=3,"T",IF(OR(INDEX($E$20:$E$68,MATCH(W78,$G$19:$G$67,0))="A",INDEX($E$20:$E$68,MATCH(W78,$G$19:$G$67,0))="B",INDEX($E$20:$E$68,MATCH(W78,$G$19:$G$67,0))="C",INDEX($E$20:$E$68,MATCH(W78,$G$19:$G$67,0))="P"),CONCATENATE("A",RIGHT(INDEX($H$20:$H$68,MATCH(W78,$G$19:$G$67,0)),1)),IF(INDEX($E$20:$E$68,MATCH(W78,$G$19:$G$67,0))="PA",IF(MID(INDEX($H$20:$H$68,MATCH(W78,$G$19:$G$67,0)),8,1)="W","AT",CONCATENATE("A",MID(INDEX($H$20:$H$68,MATCH(W78,$G$19:$G$67,0)),8,1))),"")))),""),"")</f>
        <v/>
      </c>
      <c r="W81" s="57" t="str">
        <f>IFERROR(IF($BV$8&lt;&gt;"T",IF(OR(V81="H",LEFT(V81,1)="A"),IF($J$29="ChoHY",0,IF($BV$6="D",0.1,0.5)),""),""),"")</f>
        <v/>
      </c>
      <c r="X81" s="155" t="str">
        <f t="array" ref="X81">IFERROR(IF($BV$8&lt;&gt;"T",INDEX($AO$20:$AO$68,MATCH(W78,$G$19:$G$67,0)),""),"")</f>
        <v/>
      </c>
      <c r="Y81" s="57" t="str">
        <f t="array" ref="Y81">IFERROR(IF($BV$8&lt;&gt;"T",IF(OR(INDEX($E$20:$E$68,MATCH(Z78,$G$19:$G$67,0))="H",INDEX($E$20:$E$68,MATCH(Z78,$G$19:$G$67,0))="T"),INDEX($E$20:$E$68,MATCH(Z78,$G$19:$G$67,0)),IF(INDEX($E$20:$E$68,MATCH(Z78,$G$19:$G$67,0))=3,"T",IF(OR(INDEX($E$20:$E$68,MATCH(Z78,$G$19:$G$67,0))="A",INDEX($E$20:$E$68,MATCH(Z78,$G$19:$G$67,0))="B",INDEX($E$20:$E$68,MATCH(Z78,$G$19:$G$67,0))="C",INDEX($E$20:$E$68,MATCH(Z78,$G$19:$G$67,0))="P"),CONCATENATE("A",RIGHT(INDEX($H$20:$H$68,MATCH(Z78,$G$19:$G$67,0)),1)),IF(INDEX($E$20:$E$68,MATCH(Z78,$G$19:$G$67,0))="PA",IF(MID(INDEX($H$20:$H$68,MATCH(Z78,$G$19:$G$67,0)),8,1)="W","AT",CONCATENATE("A",MID(INDEX($H$20:$H$68,MATCH(Z78,$G$19:$G$67,0)),8,1))),"")))),""),"")</f>
        <v/>
      </c>
      <c r="Z81" s="57" t="str">
        <f>IFERROR(IF($BV$8&lt;&gt;"T",IF(OR(Y81="H",LEFT(Y81,1)="A"),IF($J$31="ChoHY",0,IF($BV$6="D",0.1,0.5)),""),""),"")</f>
        <v/>
      </c>
      <c r="AA81" s="155" t="str">
        <f t="array" ref="AA81">IFERROR(IF($BV$8&lt;&gt;"T",INDEX($AO$20:$AO$68,MATCH(Z78,$G$19:$G$67,0)),""),"")</f>
        <v/>
      </c>
      <c r="AB81" s="57" t="str">
        <f t="array" ref="AB81">IFERROR(IF($BV$8&lt;&gt;"T",IF(OR(INDEX($E$20:$E$68,MATCH(AC78,$G$19:$G$67,0))="H",INDEX($E$20:$E$68,MATCH(AC78,$G$19:$G$67,0))="T"),INDEX($E$20:$E$68,MATCH(AC78,$G$19:$G$67,0)),IF(INDEX($E$20:$E$68,MATCH(AC78,$G$19:$G$67,0))=3,"T",IF(OR(INDEX($E$20:$E$68,MATCH(AC78,$G$19:$G$67,0))="A",INDEX($E$20:$E$68,MATCH(AC78,$G$19:$G$67,0))="B",INDEX($E$20:$E$68,MATCH(AC78,$G$19:$G$67,0))="C",INDEX($E$20:$E$68,MATCH(AC78,$G$19:$G$67,0))="P"),CONCATENATE("A",RIGHT(INDEX($H$20:$H$68,MATCH(AC78,$G$19:$G$67,0)),1)),IF(INDEX($E$20:$E$68,MATCH(AC78,$G$19:$G$67,0))="PA",IF(MID(INDEX($H$20:$H$68,MATCH(AC78,$G$19:$G$67,0)),8,1)="W","AT",CONCATENATE("A",MID(INDEX($H$20:$H$68,MATCH(AC78,$G$19:$G$67,0)),8,1))),"")))),""),"")</f>
        <v/>
      </c>
      <c r="AC81" s="57" t="str">
        <f>IFERROR(IF($BV$8&lt;&gt;"T",IF(OR(AB81="H",LEFT(AB81,1)="A"),IF($J$33="ChoHY",0,IF($BV$6="D",0.1,0.5)),""),""),"")</f>
        <v/>
      </c>
      <c r="AD81" s="155" t="str">
        <f t="array" ref="AD81">IFERROR(IF($BV$8&lt;&gt;"T",INDEX($AO$20:$AO$68,MATCH(AC78,$G$19:$G$67,0)),""),"")</f>
        <v/>
      </c>
      <c r="AE81" s="57" t="str">
        <f t="array" ref="AE81">IFERROR(IF($BV$8&lt;&gt;"T",IF(OR(INDEX($E$20:$E$68,MATCH(AF78,$G$19:$G$67,0))="H",INDEX($E$20:$E$68,MATCH(AF78,$G$19:$G$67,0))="T"),INDEX($E$20:$E$68,MATCH(AF78,$G$19:$G$67,0)),IF(INDEX($E$20:$E$68,MATCH(AF78,$G$19:$G$67,0))=3,"T",IF(OR(INDEX($E$20:$E$68,MATCH(AF78,$G$19:$G$67,0))="A",INDEX($E$20:$E$68,MATCH(AF78,$G$19:$G$67,0))="B",INDEX($E$20:$E$68,MATCH(AF78,$G$19:$G$67,0))="C",INDEX($E$20:$E$68,MATCH(AF78,$G$19:$G$67,0))="P"),CONCATENATE("A",RIGHT(INDEX($H$20:$H$68,MATCH(AF78,$G$19:$G$67,0)),1)),IF(INDEX($E$20:$E$68,MATCH(AF78,$G$19:$G$67,0))="PA",IF(MID(INDEX($H$20:$H$68,MATCH(AF78,$G$19:$G$67,0)),8,1)="W","AT",CONCATENATE("A",MID(INDEX($H$20:$H$68,MATCH(AF78,$G$19:$G$67,0)),8,1))),"")))),""),"")</f>
        <v/>
      </c>
      <c r="AF81" s="57" t="str">
        <f>IFERROR(IF($BV$8&lt;&gt;"T",IF(OR(AE81="H",LEFT(AE81,1)="A"),IF($J$35="ChoHY",0,IF($BV$6="D",0.1,0.5)),""),""),"")</f>
        <v/>
      </c>
      <c r="AG81" s="155" t="str">
        <f t="array" ref="AG81">IFERROR(IF($BV$8&lt;&gt;"T",INDEX($AO$20:$AO$68,MATCH(AF78,$G$19:$G$67,0)),""),"")</f>
        <v/>
      </c>
      <c r="AH81" s="57" t="str">
        <f t="array" ref="AH81">IFERROR(IF($BV$8&lt;&gt;"T",IF(OR(INDEX($E$20:$E$68,MATCH(AI78,$G$19:$G$67,0))="H",INDEX($E$20:$E$68,MATCH(AI78,$G$19:$G$67,0))="T"),INDEX($E$20:$E$68,MATCH(AI78,$G$19:$G$67,0)),IF(INDEX($E$20:$E$68,MATCH(AI78,$G$19:$G$67,0))=3,"T",IF(OR(INDEX($E$20:$E$68,MATCH(AI78,$G$19:$G$67,0))="A",INDEX($E$20:$E$68,MATCH(AI78,$G$19:$G$67,0))="B",INDEX($E$20:$E$68,MATCH(AI78,$G$19:$G$67,0))="C",INDEX($E$20:$E$68,MATCH(AI78,$G$19:$G$67,0))="P"),CONCATENATE("A",RIGHT(INDEX($H$20:$H$68,MATCH(AI78,$G$19:$G$67,0)),1)),IF(INDEX($E$20:$E$68,MATCH(AI78,$G$19:$G$67,0))="PA",IF(MID(INDEX($H$20:$H$68,MATCH(AI78,$G$19:$G$67,0)),8,1)="W","AT",CONCATENATE("A",MID(INDEX($H$20:$H$68,MATCH(AI78,$G$19:$G$67,0)),8,1))),"")))),""),"")</f>
        <v/>
      </c>
      <c r="AI81" s="57" t="str">
        <f>IFERROR(IF($BV$8&lt;&gt;"T",IF(OR(AH81="H",LEFT(AH81,1)="A"),IF($J$37="ChoHY",0,IF($BV$6="D",0.1,0.5)),""),""),"")</f>
        <v/>
      </c>
      <c r="AJ81" s="155" t="str">
        <f t="array" ref="AJ81">IFERROR(IF($BV$8&lt;&gt;"T",INDEX($AO$20:$AO$68,MATCH(AI78,$G$19:$G$67,0)),""),"")</f>
        <v/>
      </c>
      <c r="AK81" s="57" t="str">
        <f t="array" ref="AK81">IFERROR(IF($BV$8&lt;&gt;"T",IF(OR(INDEX($E$20:$E$68,MATCH(AL78,$G$19:$G$67,0))="H",INDEX($E$20:$E$68,MATCH(AL78,$G$19:$G$67,0))="T"),INDEX($E$20:$E$68,MATCH(AL78,$G$19:$G$67,0)),IF(INDEX($E$20:$E$68,MATCH(AL78,$G$19:$G$67,0))=3,"T",IF(OR(INDEX($E$20:$E$68,MATCH(AL78,$G$19:$G$67,0))="A",INDEX($E$20:$E$68,MATCH(AL78,$G$19:$G$67,0))="B",INDEX($E$20:$E$68,MATCH(AL78,$G$19:$G$67,0))="C",INDEX($E$20:$E$68,MATCH(AL78,$G$19:$G$67,0))="P"),CONCATENATE("A",RIGHT(INDEX($H$20:$H$68,MATCH(AL78,$G$19:$G$67,0)),1)),IF(INDEX($E$20:$E$68,MATCH(AL78,$G$19:$G$67,0))="PA",IF(MID(INDEX($H$20:$H$68,MATCH(AL78,$G$19:$G$67,0)),8,1)="W","AT",CONCATENATE("A",MID(INDEX($H$20:$H$68,MATCH(AL78,$G$19:$G$67,0)),8,1))),"")))),""),"")</f>
        <v/>
      </c>
      <c r="AL81" s="57" t="str">
        <f>IFERROR(IF($BV$8&lt;&gt;"T",IF(OR(AK81="H",LEFT(AK81,1)="A"),IF($J$39="ChoHY",0,IF($BV$6="D",0.1,0.5)),""),""),"")</f>
        <v/>
      </c>
      <c r="AM81" s="155" t="str">
        <f t="array" ref="AM81">IFERROR(IF($BV$8&lt;&gt;"T",INDEX($AO$20:$AO$68,MATCH(AL78,$G$19:$G$67,0)),""),"")</f>
        <v/>
      </c>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row>
    <row r="82" spans="5:200" ht="12.75" customHeight="1" x14ac:dyDescent="0.3">
      <c r="E82" s="57"/>
      <c r="F82" s="16"/>
      <c r="G82" s="57"/>
      <c r="H82" s="57"/>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row>
    <row r="83" spans="5:200" ht="12.75" customHeight="1" x14ac:dyDescent="0.3">
      <c r="E83" s="57"/>
      <c r="F83" s="16"/>
      <c r="G83" s="57"/>
      <c r="H83" s="57"/>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5"/>
      <c r="EM83" s="5"/>
      <c r="EN83" s="5"/>
      <c r="EO83" s="5"/>
      <c r="EP83" s="5"/>
      <c r="EQ83" s="5"/>
      <c r="ER83" s="5"/>
      <c r="ES83" s="5"/>
      <c r="ET83" s="5"/>
      <c r="EU83" s="5"/>
      <c r="EV83" s="5"/>
      <c r="EW83" s="5"/>
      <c r="EX83" s="5"/>
      <c r="EY83" s="5"/>
      <c r="EZ83" s="5"/>
      <c r="FA83" s="5"/>
      <c r="FB83" s="5"/>
      <c r="FC83" s="5"/>
      <c r="FD83" s="5"/>
      <c r="FE83" s="5"/>
      <c r="FF83" s="5"/>
      <c r="FG83" s="5"/>
      <c r="FH83" s="5"/>
      <c r="FI83" s="5"/>
      <c r="FJ83" s="5">
        <v>4</v>
      </c>
      <c r="FK83" s="5"/>
      <c r="FL83" s="5"/>
      <c r="FM83" s="15"/>
      <c r="FN83" s="15"/>
      <c r="FO83" s="15">
        <f t="shared" ref="FO83:GR83" ca="1" si="338">IFERROR(IF(AND(OFFSET($E$20,$FJ83,0)="H",OFFSET(J$19,$FJ83,0)&lt;&gt;""),UPPER(OFFSET(J$19,$FJ83,0)),FO$18),FO$18)</f>
        <v>1</v>
      </c>
      <c r="FP83" s="15">
        <f t="shared" ca="1" si="338"/>
        <v>2</v>
      </c>
      <c r="FQ83" s="15">
        <f t="shared" ca="1" si="338"/>
        <v>3</v>
      </c>
      <c r="FR83" s="15">
        <f t="shared" ca="1" si="338"/>
        <v>4</v>
      </c>
      <c r="FS83" s="15">
        <f t="shared" ca="1" si="338"/>
        <v>5</v>
      </c>
      <c r="FT83" s="15">
        <f t="shared" ca="1" si="338"/>
        <v>6</v>
      </c>
      <c r="FU83" s="15">
        <f t="shared" ca="1" si="338"/>
        <v>7</v>
      </c>
      <c r="FV83" s="15">
        <f t="shared" ca="1" si="338"/>
        <v>8</v>
      </c>
      <c r="FW83" s="15">
        <f t="shared" ca="1" si="338"/>
        <v>9</v>
      </c>
      <c r="FX83" s="15">
        <f t="shared" ca="1" si="338"/>
        <v>10</v>
      </c>
      <c r="FY83" s="15">
        <f t="shared" ca="1" si="338"/>
        <v>11</v>
      </c>
      <c r="FZ83" s="15">
        <f t="shared" ca="1" si="338"/>
        <v>12</v>
      </c>
      <c r="GA83" s="15">
        <f t="shared" ca="1" si="338"/>
        <v>13</v>
      </c>
      <c r="GB83" s="15">
        <f t="shared" ca="1" si="338"/>
        <v>14</v>
      </c>
      <c r="GC83" s="15">
        <f t="shared" ca="1" si="338"/>
        <v>15</v>
      </c>
      <c r="GD83" s="15">
        <f t="shared" ca="1" si="338"/>
        <v>16</v>
      </c>
      <c r="GE83" s="15">
        <f t="shared" ca="1" si="338"/>
        <v>17</v>
      </c>
      <c r="GF83" s="15">
        <f t="shared" ca="1" si="338"/>
        <v>18</v>
      </c>
      <c r="GG83" s="15">
        <f t="shared" ca="1" si="338"/>
        <v>19</v>
      </c>
      <c r="GH83" s="15">
        <f t="shared" ca="1" si="338"/>
        <v>20</v>
      </c>
      <c r="GI83" s="15">
        <f t="shared" ca="1" si="338"/>
        <v>21</v>
      </c>
      <c r="GJ83" s="15">
        <f t="shared" ca="1" si="338"/>
        <v>22</v>
      </c>
      <c r="GK83" s="15">
        <f t="shared" ca="1" si="338"/>
        <v>23</v>
      </c>
      <c r="GL83" s="15">
        <f t="shared" ca="1" si="338"/>
        <v>24</v>
      </c>
      <c r="GM83" s="15">
        <f t="shared" ca="1" si="338"/>
        <v>25</v>
      </c>
      <c r="GN83" s="15">
        <f t="shared" ca="1" si="338"/>
        <v>26</v>
      </c>
      <c r="GO83" s="15">
        <f t="shared" ca="1" si="338"/>
        <v>27</v>
      </c>
      <c r="GP83" s="15">
        <f t="shared" ca="1" si="338"/>
        <v>28</v>
      </c>
      <c r="GQ83" s="15">
        <f t="shared" ca="1" si="338"/>
        <v>29</v>
      </c>
      <c r="GR83" s="15">
        <f t="shared" ca="1" si="338"/>
        <v>30</v>
      </c>
    </row>
    <row r="84" spans="5:200" ht="12.75" customHeight="1" x14ac:dyDescent="0.3">
      <c r="E84" s="57"/>
      <c r="F84" s="16"/>
      <c r="G84" s="57"/>
      <c r="H84" s="57"/>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15">
        <f t="array" aca="1" ref="FO84" ca="1">IFERROR(IF(AND(OFFSET($E$20,$FJ83,0)="H",OFFSET(J$19,$FJ83,0)&lt;&gt;"",OFFSET($F29,$FJ83,0)&lt;&gt;"Hybrid - Thrust + 2 connections"),INDEX(Hyb_Tech,MATCH(OFFSET(J$19,$FJ83,0),Hyb_Code,0)),FO$72),FO$72)</f>
        <v>1</v>
      </c>
      <c r="FP84" s="15">
        <f t="array" aca="1" ref="FP84" ca="1">IFERROR(IF(AND(OFFSET($E$20,$FJ83,0)="H",OFFSET(K$19,$FJ83,0)&lt;&gt;"",OFFSET($F29,$FJ83,0)&lt;&gt;"Hybrid - Thrust + 2 connections"),INDEX(Hyb_Tech,MATCH(OFFSET(K$19,$FJ83,0),Hyb_Code,0)),FP$72),FP$72)</f>
        <v>2</v>
      </c>
      <c r="FQ84" s="15">
        <f t="array" aca="1" ref="FQ84" ca="1">IFERROR(IF(AND(OFFSET($E$20,$FJ83,0)="H",OFFSET(L$19,$FJ83,0)&lt;&gt;"",OFFSET($F29,$FJ83,0)&lt;&gt;"Hybrid - Thrust + 2 connections"),INDEX(Hyb_Tech,MATCH(OFFSET(L$19,$FJ83,0),Hyb_Code,0)),FQ$72),FQ$72)</f>
        <v>3</v>
      </c>
      <c r="FR84" s="15">
        <f t="array" aca="1" ref="FR84" ca="1">IFERROR(IF(AND(OFFSET($E$20,$FJ83,0)="H",OFFSET(M$19,$FJ83,0)&lt;&gt;"",OFFSET($F29,$FJ83,0)&lt;&gt;"Hybrid - Thrust + 2 connections"),INDEX(Hyb_Tech,MATCH(OFFSET(M$19,$FJ83,0),Hyb_Code,0)),FR$72),FR$72)</f>
        <v>4</v>
      </c>
      <c r="FS84" s="15">
        <f t="array" aca="1" ref="FS84" ca="1">IFERROR(IF(AND(OFFSET($E$20,$FJ83,0)="H",OFFSET(N$19,$FJ83,0)&lt;&gt;"",OFFSET($F29,$FJ83,0)&lt;&gt;"Hybrid - Thrust + 2 connections"),INDEX(Hyb_Tech,MATCH(OFFSET(N$19,$FJ83,0),Hyb_Code,0)),FS$72),FS$72)</f>
        <v>5</v>
      </c>
      <c r="FT84" s="15">
        <f t="array" aca="1" ref="FT84" ca="1">IFERROR(IF(AND(OFFSET($E$20,$FJ83,0)="H",OFFSET(O$19,$FJ83,0)&lt;&gt;"",OFFSET($F29,$FJ83,0)&lt;&gt;"Hybrid - Thrust + 2 connections"),INDEX(Hyb_Tech,MATCH(OFFSET(O$19,$FJ83,0),Hyb_Code,0)),FT$72),FT$72)</f>
        <v>6</v>
      </c>
      <c r="FU84" s="15">
        <f t="array" aca="1" ref="FU84" ca="1">IFERROR(IF(AND(OFFSET($E$20,$FJ83,0)="H",OFFSET(P$19,$FJ83,0)&lt;&gt;"",OFFSET($F29,$FJ83,0)&lt;&gt;"Hybrid - Thrust + 2 connections"),INDEX(Hyb_Tech,MATCH(OFFSET(P$19,$FJ83,0),Hyb_Code,0)),FU$72),FU$72)</f>
        <v>7</v>
      </c>
      <c r="FV84" s="15">
        <f t="array" aca="1" ref="FV84" ca="1">IFERROR(IF(AND(OFFSET($E$20,$FJ83,0)="H",OFFSET(Q$19,$FJ83,0)&lt;&gt;"",OFFSET($F29,$FJ83,0)&lt;&gt;"Hybrid - Thrust + 2 connections"),INDEX(Hyb_Tech,MATCH(OFFSET(Q$19,$FJ83,0),Hyb_Code,0)),FV$72),FV$72)</f>
        <v>8</v>
      </c>
      <c r="FW84" s="15">
        <f t="array" aca="1" ref="FW84" ca="1">IFERROR(IF(AND(OFFSET($E$20,$FJ83,0)="H",OFFSET(R$19,$FJ83,0)&lt;&gt;"",OFFSET($F29,$FJ83,0)&lt;&gt;"Hybrid - Thrust + 2 connections"),INDEX(Hyb_Tech,MATCH(OFFSET(R$19,$FJ83,0),Hyb_Code,0)),FW$72),FW$72)</f>
        <v>9</v>
      </c>
      <c r="FX84" s="15">
        <f t="array" aca="1" ref="FX84" ca="1">IFERROR(IF(AND(OFFSET($E$20,$FJ83,0)="H",OFFSET(S$19,$FJ83,0)&lt;&gt;"",OFFSET($F29,$FJ83,0)&lt;&gt;"Hybrid - Thrust + 2 connections"),INDEX(Hyb_Tech,MATCH(OFFSET(S$19,$FJ83,0),Hyb_Code,0)),FX$72),FX$72)</f>
        <v>10</v>
      </c>
      <c r="FY84" s="15">
        <f t="array" aca="1" ref="FY84" ca="1">IFERROR(IF(AND(OFFSET($E$20,$FJ83,0)="H",OFFSET(T$19,$FJ83,0)&lt;&gt;"",OFFSET($F29,$FJ83,0)&lt;&gt;"Hybrid - Thrust + 2 connections"),INDEX(Hyb_Tech,MATCH(OFFSET(T$19,$FJ83,0),Hyb_Code,0)),FY$72),FY$72)</f>
        <v>11</v>
      </c>
      <c r="FZ84" s="15">
        <f t="array" aca="1" ref="FZ84" ca="1">IFERROR(IF(AND(OFFSET($E$20,$FJ83,0)="H",OFFSET(U$19,$FJ83,0)&lt;&gt;"",OFFSET($F29,$FJ83,0)&lt;&gt;"Hybrid - Thrust + 2 connections"),INDEX(Hyb_Tech,MATCH(OFFSET(U$19,$FJ83,0),Hyb_Code,0)),FZ$72),FZ$72)</f>
        <v>12</v>
      </c>
      <c r="GA84" s="15">
        <f t="array" aca="1" ref="GA84" ca="1">IFERROR(IF(AND(OFFSET($E$20,$FJ83,0)="H",OFFSET(V$19,$FJ83,0)&lt;&gt;"",OFFSET($F29,$FJ83,0)&lt;&gt;"Hybrid - Thrust + 2 connections"),INDEX(Hyb_Tech,MATCH(OFFSET(V$19,$FJ83,0),Hyb_Code,0)),GA$72),GA$72)</f>
        <v>13</v>
      </c>
      <c r="GB84" s="15">
        <f t="array" aca="1" ref="GB84" ca="1">IFERROR(IF(AND(OFFSET($E$20,$FJ83,0)="H",OFFSET(W$19,$FJ83,0)&lt;&gt;"",OFFSET($F29,$FJ83,0)&lt;&gt;"Hybrid - Thrust + 2 connections"),INDEX(Hyb_Tech,MATCH(OFFSET(W$19,$FJ83,0),Hyb_Code,0)),GB$72),GB$72)</f>
        <v>14</v>
      </c>
      <c r="GC84" s="15">
        <f t="array" aca="1" ref="GC84" ca="1">IFERROR(IF(AND(OFFSET($E$20,$FJ83,0)="H",OFFSET(X$19,$FJ83,0)&lt;&gt;"",OFFSET($F29,$FJ83,0)&lt;&gt;"Hybrid - Thrust + 2 connections"),INDEX(Hyb_Tech,MATCH(OFFSET(X$19,$FJ83,0),Hyb_Code,0)),GC$72),GC$72)</f>
        <v>15</v>
      </c>
      <c r="GD84" s="15">
        <f t="array" aca="1" ref="GD84" ca="1">IFERROR(IF(AND(OFFSET($E$20,$FJ83,0)="H",OFFSET(Y$19,$FJ83,0)&lt;&gt;"",OFFSET($F29,$FJ83,0)&lt;&gt;"Hybrid - Thrust + 2 connections"),INDEX(Hyb_Tech,MATCH(OFFSET(Y$19,$FJ83,0),Hyb_Code,0)),GD$72),GD$72)</f>
        <v>16</v>
      </c>
      <c r="GE84" s="15">
        <f t="array" aca="1" ref="GE84" ca="1">IFERROR(IF(AND(OFFSET($E$20,$FJ83,0)="H",OFFSET(Z$19,$FJ83,0)&lt;&gt;"",OFFSET($F29,$FJ83,0)&lt;&gt;"Hybrid - Thrust + 2 connections"),INDEX(Hyb_Tech,MATCH(OFFSET(Z$19,$FJ83,0),Hyb_Code,0)),GE$72),GE$72)</f>
        <v>17</v>
      </c>
      <c r="GF84" s="15">
        <f t="array" aca="1" ref="GF84" ca="1">IFERROR(IF(AND(OFFSET($E$20,$FJ83,0)="H",OFFSET(AA$19,$FJ83,0)&lt;&gt;"",OFFSET($F29,$FJ83,0)&lt;&gt;"Hybrid - Thrust + 2 connections"),INDEX(Hyb_Tech,MATCH(OFFSET(AA$19,$FJ83,0),Hyb_Code,0)),GF$72),GF$72)</f>
        <v>18</v>
      </c>
      <c r="GG84" s="15">
        <f t="array" aca="1" ref="GG84" ca="1">IFERROR(IF(AND(OFFSET($E$20,$FJ83,0)="H",OFFSET(AB$19,$FJ83,0)&lt;&gt;"",OFFSET($F29,$FJ83,0)&lt;&gt;"Hybrid - Thrust + 2 connections"),INDEX(Hyb_Tech,MATCH(OFFSET(AB$19,$FJ83,0),Hyb_Code,0)),GG$72),GG$72)</f>
        <v>19</v>
      </c>
      <c r="GH84" s="15">
        <f t="array" aca="1" ref="GH84" ca="1">IFERROR(IF(AND(OFFSET($E$20,$FJ83,0)="H",OFFSET(AC$19,$FJ83,0)&lt;&gt;"",OFFSET($F29,$FJ83,0)&lt;&gt;"Hybrid - Thrust + 2 connections"),INDEX(Hyb_Tech,MATCH(OFFSET(AC$19,$FJ83,0),Hyb_Code,0)),GH$72),GH$72)</f>
        <v>20</v>
      </c>
      <c r="GI84" s="15">
        <f t="array" aca="1" ref="GI84" ca="1">IFERROR(IF(AND(OFFSET($E$20,$FJ83,0)="H",OFFSET(AD$19,$FJ83,0)&lt;&gt;"",OFFSET($F29,$FJ83,0)&lt;&gt;"Hybrid - Thrust + 2 connections"),INDEX(Hyb_Tech,MATCH(OFFSET(AD$19,$FJ83,0),Hyb_Code,0)),GI$72),GI$72)</f>
        <v>21</v>
      </c>
      <c r="GJ84" s="15">
        <f t="array" aca="1" ref="GJ84" ca="1">IFERROR(IF(AND(OFFSET($E$20,$FJ83,0)="H",OFFSET(AE$19,$FJ83,0)&lt;&gt;"",OFFSET($F29,$FJ83,0)&lt;&gt;"Hybrid - Thrust + 2 connections"),INDEX(Hyb_Tech,MATCH(OFFSET(AE$19,$FJ83,0),Hyb_Code,0)),GJ$72),GJ$72)</f>
        <v>22</v>
      </c>
      <c r="GK84" s="15">
        <f t="array" aca="1" ref="GK84" ca="1">IFERROR(IF(AND(OFFSET($E$20,$FJ83,0)="H",OFFSET(AF$19,$FJ83,0)&lt;&gt;"",OFFSET($F29,$FJ83,0)&lt;&gt;"Hybrid - Thrust + 2 connections"),INDEX(Hyb_Tech,MATCH(OFFSET(AF$19,$FJ83,0),Hyb_Code,0)),GK$72),GK$72)</f>
        <v>23</v>
      </c>
      <c r="GL84" s="15">
        <f t="array" aca="1" ref="GL84" ca="1">IFERROR(IF(AND(OFFSET($E$20,$FJ83,0)="H",OFFSET(AG$19,$FJ83,0)&lt;&gt;"",OFFSET($F29,$FJ83,0)&lt;&gt;"Hybrid - Thrust + 2 connections"),INDEX(Hyb_Tech,MATCH(OFFSET(AG$19,$FJ83,0),Hyb_Code,0)),GL$72),GL$72)</f>
        <v>24</v>
      </c>
      <c r="GM84" s="15">
        <f t="array" aca="1" ref="GM84" ca="1">IFERROR(IF(AND(OFFSET($E$20,$FJ83,0)="H",OFFSET(AH$19,$FJ83,0)&lt;&gt;"",OFFSET($F29,$FJ83,0)&lt;&gt;"Hybrid - Thrust + 2 connections"),INDEX(Hyb_Tech,MATCH(OFFSET(AH$19,$FJ83,0),Hyb_Code,0)),GM$72),GM$72)</f>
        <v>25</v>
      </c>
      <c r="GN84" s="15">
        <f t="array" aca="1" ref="GN84" ca="1">IFERROR(IF(AND(OFFSET($E$20,$FJ83,0)="H",OFFSET(AI$19,$FJ83,0)&lt;&gt;"",OFFSET($F29,$FJ83,0)&lt;&gt;"Hybrid - Thrust + 2 connections"),INDEX(Hyb_Tech,MATCH(OFFSET(AI$19,$FJ83,0),Hyb_Code,0)),GN$72),GN$72)</f>
        <v>26</v>
      </c>
      <c r="GO84" s="15">
        <f t="array" aca="1" ref="GO84" ca="1">IFERROR(IF(AND(OFFSET($E$20,$FJ83,0)="H",OFFSET(AJ$19,$FJ83,0)&lt;&gt;"",OFFSET($F29,$FJ83,0)&lt;&gt;"Hybrid - Thrust + 2 connections"),INDEX(Hyb_Tech,MATCH(OFFSET(AJ$19,$FJ83,0),Hyb_Code,0)),GO$72),GO$72)</f>
        <v>27</v>
      </c>
      <c r="GP84" s="15">
        <f t="array" aca="1" ref="GP84" ca="1">IFERROR(IF(AND(OFFSET($E$20,$FJ83,0)="H",OFFSET(AK$19,$FJ83,0)&lt;&gt;"",OFFSET($F29,$FJ83,0)&lt;&gt;"Hybrid - Thrust + 2 connections"),INDEX(Hyb_Tech,MATCH(OFFSET(AK$19,$FJ83,0),Hyb_Code,0)),GP$72),GP$72)</f>
        <v>28</v>
      </c>
      <c r="GQ84" s="15">
        <f t="array" aca="1" ref="GQ84" ca="1">IFERROR(IF(AND(OFFSET($E$20,$FJ83,0)="H",OFFSET(AL$19,$FJ83,0)&lt;&gt;"",OFFSET($F29,$FJ83,0)&lt;&gt;"Hybrid - Thrust + 2 connections"),INDEX(Hyb_Tech,MATCH(OFFSET(AL$19,$FJ83,0),Hyb_Code,0)),GQ$72),GQ$72)</f>
        <v>29</v>
      </c>
      <c r="GR84" s="15">
        <f t="array" aca="1" ref="GR84" ca="1">IFERROR(IF(AND(OFFSET($E$20,$FJ83,0)="H",OFFSET(AM$19,$FJ83,0)&lt;&gt;"",OFFSET($F29,$FJ83,0)&lt;&gt;"Hybrid - Thrust + 2 connections"),INDEX(Hyb_Tech,MATCH(OFFSET(AM$19,$FJ83,0),Hyb_Code,0)),GR$72),GR$72)</f>
        <v>30</v>
      </c>
    </row>
    <row r="85" spans="5:200" ht="12.75" customHeight="1" x14ac:dyDescent="0.3">
      <c r="E85" s="57"/>
      <c r="F85" s="16"/>
      <c r="G85" s="57"/>
      <c r="H85" s="57"/>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t="str">
        <f ca="1">IFERROR(IF(SUM($FO85:$GR85)&gt;3,OFFSET($FO$73,$FJ83*5/2,MATCH(1,FO85:GR85,0)),""),"")</f>
        <v/>
      </c>
      <c r="FN85" s="15" t="str">
        <f ca="1">IFERROR(IF(LEFT(FM85,1)="C",IF(RIGHT(FM85,1)="+",LEFT(FM85,LEN(FM85)-1),CONCATENATE(FM85,"+")),IF(SUM($FO85:$GR85)&gt;3,OFFSET($FO$73,$FJ83*5/2,MATCH(0.5,FO85:GR85,0)),"")),"")</f>
        <v/>
      </c>
      <c r="FO85" s="15" t="str">
        <f t="array" aca="1" ref="FO85" ca="1">IF(COUNTIF($FO84:$GR84,FO84)&gt;3,INDEX(Hyb_Tech_Value,MATCH(FO83,Hyb_Code,0)),"")</f>
        <v/>
      </c>
      <c r="FP85" s="15" t="str">
        <f t="array" aca="1" ref="FP85" ca="1">IF(COUNTIF($FO84:$GR84,FP84)&gt;3,INDEX(Hyb_Tech_Value,MATCH(FP83,Hyb_Code,0)),"")</f>
        <v/>
      </c>
      <c r="FQ85" s="15" t="str">
        <f t="array" aca="1" ref="FQ85" ca="1">IF(COUNTIF($FO84:$GR84,FQ84)&gt;3,INDEX(Hyb_Tech_Value,MATCH(FQ83,Hyb_Code,0)),"")</f>
        <v/>
      </c>
      <c r="FR85" s="15" t="str">
        <f t="array" aca="1" ref="FR85" ca="1">IF(COUNTIF($FO84:$GR84,FR84)&gt;3,INDEX(Hyb_Tech_Value,MATCH(FR83,Hyb_Code,0)),"")</f>
        <v/>
      </c>
      <c r="FS85" s="15" t="str">
        <f t="array" aca="1" ref="FS85" ca="1">IF(COUNTIF($FO84:$GR84,FS84)&gt;3,INDEX(Hyb_Tech_Value,MATCH(FS83,Hyb_Code,0)),"")</f>
        <v/>
      </c>
      <c r="FT85" s="15" t="str">
        <f t="array" aca="1" ref="FT85" ca="1">IF(COUNTIF($FO84:$GR84,FT84)&gt;3,INDEX(Hyb_Tech_Value,MATCH(FT83,Hyb_Code,0)),"")</f>
        <v/>
      </c>
      <c r="FU85" s="15" t="str">
        <f t="array" aca="1" ref="FU85" ca="1">IF(COUNTIF($FO84:$GR84,FU84)&gt;3,INDEX(Hyb_Tech_Value,MATCH(FU83,Hyb_Code,0)),"")</f>
        <v/>
      </c>
      <c r="FV85" s="15" t="str">
        <f t="array" aca="1" ref="FV85" ca="1">IF(COUNTIF($FO84:$GR84,FV84)&gt;3,INDEX(Hyb_Tech_Value,MATCH(FV83,Hyb_Code,0)),"")</f>
        <v/>
      </c>
      <c r="FW85" s="15" t="str">
        <f t="array" aca="1" ref="FW85" ca="1">IF(COUNTIF($FO84:$GR84,FW84)&gt;3,INDEX(Hyb_Tech_Value,MATCH(FW83,Hyb_Code,0)),"")</f>
        <v/>
      </c>
      <c r="FX85" s="15" t="str">
        <f t="array" aca="1" ref="FX85" ca="1">IF(COUNTIF($FO84:$GR84,FX84)&gt;3,INDEX(Hyb_Tech_Value,MATCH(FX83,Hyb_Code,0)),"")</f>
        <v/>
      </c>
      <c r="FY85" s="15" t="str">
        <f t="array" aca="1" ref="FY85" ca="1">IF(COUNTIF($FO84:$GR84,FY84)&gt;3,INDEX(Hyb_Tech_Value,MATCH(FY83,Hyb_Code,0)),"")</f>
        <v/>
      </c>
      <c r="FZ85" s="15" t="str">
        <f t="array" aca="1" ref="FZ85" ca="1">IF(COUNTIF($FO84:$GR84,FZ84)&gt;3,INDEX(Hyb_Tech_Value,MATCH(FZ83,Hyb_Code,0)),"")</f>
        <v/>
      </c>
      <c r="GA85" s="15" t="str">
        <f t="array" aca="1" ref="GA85" ca="1">IF(COUNTIF($FO84:$GR84,GA84)&gt;3,INDEX(Hyb_Tech_Value,MATCH(GA83,Hyb_Code,0)),"")</f>
        <v/>
      </c>
      <c r="GB85" s="15" t="str">
        <f t="array" aca="1" ref="GB85" ca="1">IF(COUNTIF($FO84:$GR84,GB84)&gt;3,INDEX(Hyb_Tech_Value,MATCH(GB83,Hyb_Code,0)),"")</f>
        <v/>
      </c>
      <c r="GC85" s="15" t="str">
        <f t="array" aca="1" ref="GC85" ca="1">IF(COUNTIF($FO84:$GR84,GC84)&gt;3,INDEX(Hyb_Tech_Value,MATCH(GC83,Hyb_Code,0)),"")</f>
        <v/>
      </c>
      <c r="GD85" s="15" t="str">
        <f t="array" aca="1" ref="GD85" ca="1">IF(COUNTIF($FO84:$GR84,GD84)&gt;3,INDEX(Hyb_Tech_Value,MATCH(GD83,Hyb_Code,0)),"")</f>
        <v/>
      </c>
      <c r="GE85" s="15" t="str">
        <f t="array" aca="1" ref="GE85" ca="1">IF(COUNTIF($FO84:$GR84,GE84)&gt;3,INDEX(Hyb_Tech_Value,MATCH(GE83,Hyb_Code,0)),"")</f>
        <v/>
      </c>
      <c r="GF85" s="15" t="str">
        <f t="array" aca="1" ref="GF85" ca="1">IF(COUNTIF($FO84:$GR84,GF84)&gt;3,INDEX(Hyb_Tech_Value,MATCH(GF83,Hyb_Code,0)),"")</f>
        <v/>
      </c>
      <c r="GG85" s="15" t="str">
        <f t="array" aca="1" ref="GG85" ca="1">IF(COUNTIF($FO84:$GR84,GG84)&gt;3,INDEX(Hyb_Tech_Value,MATCH(GG83,Hyb_Code,0)),"")</f>
        <v/>
      </c>
      <c r="GH85" s="15" t="str">
        <f t="array" aca="1" ref="GH85" ca="1">IF(COUNTIF($FO84:$GR84,GH84)&gt;3,INDEX(Hyb_Tech_Value,MATCH(GH83,Hyb_Code,0)),"")</f>
        <v/>
      </c>
      <c r="GI85" s="15" t="str">
        <f t="array" aca="1" ref="GI85" ca="1">IF(COUNTIF($FO84:$GR84,GI84)&gt;3,INDEX(Hyb_Tech_Value,MATCH(GI83,Hyb_Code,0)),"")</f>
        <v/>
      </c>
      <c r="GJ85" s="15" t="str">
        <f t="array" aca="1" ref="GJ85" ca="1">IF(COUNTIF($FO84:$GR84,GJ84)&gt;3,INDEX(Hyb_Tech_Value,MATCH(GJ83,Hyb_Code,0)),"")</f>
        <v/>
      </c>
      <c r="GK85" s="15" t="str">
        <f t="array" aca="1" ref="GK85" ca="1">IF(COUNTIF($FO84:$GR84,GK84)&gt;3,INDEX(Hyb_Tech_Value,MATCH(GK83,Hyb_Code,0)),"")</f>
        <v/>
      </c>
      <c r="GL85" s="15" t="str">
        <f t="array" aca="1" ref="GL85" ca="1">IF(COUNTIF($FO84:$GR84,GL84)&gt;3,INDEX(Hyb_Tech_Value,MATCH(GL83,Hyb_Code,0)),"")</f>
        <v/>
      </c>
      <c r="GM85" s="15" t="str">
        <f t="array" aca="1" ref="GM85" ca="1">IF(COUNTIF($FO84:$GR84,GM84)&gt;3,INDEX(Hyb_Tech_Value,MATCH(GM83,Hyb_Code,0)),"")</f>
        <v/>
      </c>
      <c r="GN85" s="15" t="str">
        <f t="array" aca="1" ref="GN85" ca="1">IF(COUNTIF($FO84:$GR84,GN84)&gt;3,INDEX(Hyb_Tech_Value,MATCH(GN83,Hyb_Code,0)),"")</f>
        <v/>
      </c>
      <c r="GO85" s="15" t="str">
        <f t="array" aca="1" ref="GO85" ca="1">IF(COUNTIF($FO84:$GR84,GO84)&gt;3,INDEX(Hyb_Tech_Value,MATCH(GO83,Hyb_Code,0)),"")</f>
        <v/>
      </c>
      <c r="GP85" s="15" t="str">
        <f t="array" aca="1" ref="GP85" ca="1">IF(COUNTIF($FO84:$GR84,GP84)&gt;3,INDEX(Hyb_Tech_Value,MATCH(GP83,Hyb_Code,0)),"")</f>
        <v/>
      </c>
      <c r="GQ85" s="15" t="str">
        <f t="array" aca="1" ref="GQ85" ca="1">IF(COUNTIF($FO84:$GR84,GQ84)&gt;3,INDEX(Hyb_Tech_Value,MATCH(GQ83,Hyb_Code,0)),"")</f>
        <v/>
      </c>
      <c r="GR85" s="15" t="str">
        <f t="array" aca="1" ref="GR85" ca="1">IF(COUNTIF($FO84:$GR84,GR84)&gt;3,INDEX(Hyb_Tech_Value,MATCH(GR83,Hyb_Code,0)),"")</f>
        <v/>
      </c>
    </row>
    <row r="86" spans="5:200" ht="12.75" customHeight="1" x14ac:dyDescent="0.3">
      <c r="E86" s="57"/>
      <c r="F86" s="16"/>
      <c r="G86" s="57"/>
      <c r="H86" s="57"/>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row>
    <row r="87" spans="5:200" ht="12.75" customHeight="1" x14ac:dyDescent="0.3">
      <c r="E87" s="57"/>
      <c r="F87" s="16"/>
      <c r="G87" s="57"/>
      <c r="H87" s="57"/>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row>
    <row r="88" spans="5:200" ht="12.75" customHeight="1" x14ac:dyDescent="0.3">
      <c r="E88" s="57"/>
      <c r="F88" s="16"/>
      <c r="G88" s="57"/>
      <c r="H88" s="57"/>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5"/>
      <c r="EM88" s="5"/>
      <c r="EN88" s="5"/>
      <c r="EO88" s="5"/>
      <c r="EP88" s="5"/>
      <c r="EQ88" s="5"/>
      <c r="ER88" s="5"/>
      <c r="ES88" s="5"/>
      <c r="ET88" s="5"/>
      <c r="EU88" s="5"/>
      <c r="EV88" s="5"/>
      <c r="EW88" s="5"/>
      <c r="EX88" s="5"/>
      <c r="EY88" s="5"/>
      <c r="EZ88" s="5"/>
      <c r="FA88" s="5"/>
      <c r="FB88" s="5"/>
      <c r="FC88" s="5"/>
      <c r="FD88" s="5"/>
      <c r="FE88" s="5"/>
      <c r="FF88" s="5"/>
      <c r="FG88" s="5"/>
      <c r="FH88" s="5"/>
      <c r="FI88" s="5"/>
      <c r="FJ88" s="5">
        <v>6</v>
      </c>
      <c r="FK88" s="5"/>
      <c r="FL88" s="5"/>
      <c r="FM88" s="15"/>
      <c r="FN88" s="15"/>
      <c r="FO88" s="15">
        <f t="shared" ref="FO88:GR88" ca="1" si="339">IFERROR(IF(AND(OFFSET($E$20,$FJ88,0)="H",OFFSET(J$19,$FJ88,0)&lt;&gt;""),UPPER(OFFSET(J$19,$FJ88,0)),FO$18),FO$18)</f>
        <v>1</v>
      </c>
      <c r="FP88" s="15">
        <f t="shared" ca="1" si="339"/>
        <v>2</v>
      </c>
      <c r="FQ88" s="15">
        <f t="shared" ca="1" si="339"/>
        <v>3</v>
      </c>
      <c r="FR88" s="15">
        <f t="shared" ca="1" si="339"/>
        <v>4</v>
      </c>
      <c r="FS88" s="15">
        <f t="shared" ca="1" si="339"/>
        <v>5</v>
      </c>
      <c r="FT88" s="15">
        <f t="shared" ca="1" si="339"/>
        <v>6</v>
      </c>
      <c r="FU88" s="15">
        <f t="shared" ca="1" si="339"/>
        <v>7</v>
      </c>
      <c r="FV88" s="15">
        <f t="shared" ca="1" si="339"/>
        <v>8</v>
      </c>
      <c r="FW88" s="15">
        <f t="shared" ca="1" si="339"/>
        <v>9</v>
      </c>
      <c r="FX88" s="15">
        <f t="shared" ca="1" si="339"/>
        <v>10</v>
      </c>
      <c r="FY88" s="15">
        <f t="shared" ca="1" si="339"/>
        <v>11</v>
      </c>
      <c r="FZ88" s="15">
        <f t="shared" ca="1" si="339"/>
        <v>12</v>
      </c>
      <c r="GA88" s="15">
        <f t="shared" ca="1" si="339"/>
        <v>13</v>
      </c>
      <c r="GB88" s="15">
        <f t="shared" ca="1" si="339"/>
        <v>14</v>
      </c>
      <c r="GC88" s="15">
        <f t="shared" ca="1" si="339"/>
        <v>15</v>
      </c>
      <c r="GD88" s="15">
        <f t="shared" ca="1" si="339"/>
        <v>16</v>
      </c>
      <c r="GE88" s="15">
        <f t="shared" ca="1" si="339"/>
        <v>17</v>
      </c>
      <c r="GF88" s="15">
        <f t="shared" ca="1" si="339"/>
        <v>18</v>
      </c>
      <c r="GG88" s="15">
        <f t="shared" ca="1" si="339"/>
        <v>19</v>
      </c>
      <c r="GH88" s="15">
        <f t="shared" ca="1" si="339"/>
        <v>20</v>
      </c>
      <c r="GI88" s="15">
        <f t="shared" ca="1" si="339"/>
        <v>21</v>
      </c>
      <c r="GJ88" s="15">
        <f t="shared" ca="1" si="339"/>
        <v>22</v>
      </c>
      <c r="GK88" s="15">
        <f t="shared" ca="1" si="339"/>
        <v>23</v>
      </c>
      <c r="GL88" s="15">
        <f t="shared" ca="1" si="339"/>
        <v>24</v>
      </c>
      <c r="GM88" s="15">
        <f t="shared" ca="1" si="339"/>
        <v>25</v>
      </c>
      <c r="GN88" s="15">
        <f t="shared" ca="1" si="339"/>
        <v>26</v>
      </c>
      <c r="GO88" s="15">
        <f t="shared" ca="1" si="339"/>
        <v>27</v>
      </c>
      <c r="GP88" s="15">
        <f t="shared" ca="1" si="339"/>
        <v>28</v>
      </c>
      <c r="GQ88" s="15">
        <f t="shared" ca="1" si="339"/>
        <v>29</v>
      </c>
      <c r="GR88" s="15">
        <f t="shared" ca="1" si="339"/>
        <v>30</v>
      </c>
    </row>
    <row r="89" spans="5:200" ht="12.75" customHeight="1" x14ac:dyDescent="0.3">
      <c r="E89" s="57"/>
      <c r="F89" s="16"/>
      <c r="G89" s="57"/>
      <c r="H89" s="57"/>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15">
        <f t="array" aca="1" ref="FO89" ca="1">IFERROR(IF(AND(OFFSET($E$20,$FJ88,0)="H",OFFSET(J$19,$FJ88,0)&lt;&gt;"",OFFSET($F34,$FJ88,0)&lt;&gt;"Hybrid - Thrust + 2 connections"),INDEX(Hyb_Tech,MATCH(OFFSET(J$19,$FJ88,0),Hyb_Code,0)),FO$72),FO$72)</f>
        <v>1</v>
      </c>
      <c r="FP89" s="15">
        <f t="array" aca="1" ref="FP89" ca="1">IFERROR(IF(AND(OFFSET($E$20,$FJ88,0)="H",OFFSET(K$19,$FJ88,0)&lt;&gt;"",OFFSET($F34,$FJ88,0)&lt;&gt;"Hybrid - Thrust + 2 connections"),INDEX(Hyb_Tech,MATCH(OFFSET(K$19,$FJ88,0),Hyb_Code,0)),FP$72),FP$72)</f>
        <v>2</v>
      </c>
      <c r="FQ89" s="15">
        <f t="array" aca="1" ref="FQ89" ca="1">IFERROR(IF(AND(OFFSET($E$20,$FJ88,0)="H",OFFSET(L$19,$FJ88,0)&lt;&gt;"",OFFSET($F34,$FJ88,0)&lt;&gt;"Hybrid - Thrust + 2 connections"),INDEX(Hyb_Tech,MATCH(OFFSET(L$19,$FJ88,0),Hyb_Code,0)),FQ$72),FQ$72)</f>
        <v>3</v>
      </c>
      <c r="FR89" s="15">
        <f t="array" aca="1" ref="FR89" ca="1">IFERROR(IF(AND(OFFSET($E$20,$FJ88,0)="H",OFFSET(M$19,$FJ88,0)&lt;&gt;"",OFFSET($F34,$FJ88,0)&lt;&gt;"Hybrid - Thrust + 2 connections"),INDEX(Hyb_Tech,MATCH(OFFSET(M$19,$FJ88,0),Hyb_Code,0)),FR$72),FR$72)</f>
        <v>4</v>
      </c>
      <c r="FS89" s="15">
        <f t="array" aca="1" ref="FS89" ca="1">IFERROR(IF(AND(OFFSET($E$20,$FJ88,0)="H",OFFSET(N$19,$FJ88,0)&lt;&gt;"",OFFSET($F34,$FJ88,0)&lt;&gt;"Hybrid - Thrust + 2 connections"),INDEX(Hyb_Tech,MATCH(OFFSET(N$19,$FJ88,0),Hyb_Code,0)),FS$72),FS$72)</f>
        <v>5</v>
      </c>
      <c r="FT89" s="15">
        <f t="array" aca="1" ref="FT89" ca="1">IFERROR(IF(AND(OFFSET($E$20,$FJ88,0)="H",OFFSET(O$19,$FJ88,0)&lt;&gt;"",OFFSET($F34,$FJ88,0)&lt;&gt;"Hybrid - Thrust + 2 connections"),INDEX(Hyb_Tech,MATCH(OFFSET(O$19,$FJ88,0),Hyb_Code,0)),FT$72),FT$72)</f>
        <v>6</v>
      </c>
      <c r="FU89" s="15">
        <f t="array" aca="1" ref="FU89" ca="1">IFERROR(IF(AND(OFFSET($E$20,$FJ88,0)="H",OFFSET(P$19,$FJ88,0)&lt;&gt;"",OFFSET($F34,$FJ88,0)&lt;&gt;"Hybrid - Thrust + 2 connections"),INDEX(Hyb_Tech,MATCH(OFFSET(P$19,$FJ88,0),Hyb_Code,0)),FU$72),FU$72)</f>
        <v>7</v>
      </c>
      <c r="FV89" s="15">
        <f t="array" aca="1" ref="FV89" ca="1">IFERROR(IF(AND(OFFSET($E$20,$FJ88,0)="H",OFFSET(Q$19,$FJ88,0)&lt;&gt;"",OFFSET($F34,$FJ88,0)&lt;&gt;"Hybrid - Thrust + 2 connections"),INDEX(Hyb_Tech,MATCH(OFFSET(Q$19,$FJ88,0),Hyb_Code,0)),FV$72),FV$72)</f>
        <v>8</v>
      </c>
      <c r="FW89" s="15">
        <f t="array" aca="1" ref="FW89" ca="1">IFERROR(IF(AND(OFFSET($E$20,$FJ88,0)="H",OFFSET(R$19,$FJ88,0)&lt;&gt;"",OFFSET($F34,$FJ88,0)&lt;&gt;"Hybrid - Thrust + 2 connections"),INDEX(Hyb_Tech,MATCH(OFFSET(R$19,$FJ88,0),Hyb_Code,0)),FW$72),FW$72)</f>
        <v>9</v>
      </c>
      <c r="FX89" s="15">
        <f t="array" aca="1" ref="FX89" ca="1">IFERROR(IF(AND(OFFSET($E$20,$FJ88,0)="H",OFFSET(S$19,$FJ88,0)&lt;&gt;"",OFFSET($F34,$FJ88,0)&lt;&gt;"Hybrid - Thrust + 2 connections"),INDEX(Hyb_Tech,MATCH(OFFSET(S$19,$FJ88,0),Hyb_Code,0)),FX$72),FX$72)</f>
        <v>10</v>
      </c>
      <c r="FY89" s="15">
        <f t="array" aca="1" ref="FY89" ca="1">IFERROR(IF(AND(OFFSET($E$20,$FJ88,0)="H",OFFSET(T$19,$FJ88,0)&lt;&gt;"",OFFSET($F34,$FJ88,0)&lt;&gt;"Hybrid - Thrust + 2 connections"),INDEX(Hyb_Tech,MATCH(OFFSET(T$19,$FJ88,0),Hyb_Code,0)),FY$72),FY$72)</f>
        <v>11</v>
      </c>
      <c r="FZ89" s="15">
        <f t="array" aca="1" ref="FZ89" ca="1">IFERROR(IF(AND(OFFSET($E$20,$FJ88,0)="H",OFFSET(U$19,$FJ88,0)&lt;&gt;"",OFFSET($F34,$FJ88,0)&lt;&gt;"Hybrid - Thrust + 2 connections"),INDEX(Hyb_Tech,MATCH(OFFSET(U$19,$FJ88,0),Hyb_Code,0)),FZ$72),FZ$72)</f>
        <v>12</v>
      </c>
      <c r="GA89" s="15">
        <f t="array" aca="1" ref="GA89" ca="1">IFERROR(IF(AND(OFFSET($E$20,$FJ88,0)="H",OFFSET(V$19,$FJ88,0)&lt;&gt;"",OFFSET($F34,$FJ88,0)&lt;&gt;"Hybrid - Thrust + 2 connections"),INDEX(Hyb_Tech,MATCH(OFFSET(V$19,$FJ88,0),Hyb_Code,0)),GA$72),GA$72)</f>
        <v>13</v>
      </c>
      <c r="GB89" s="15">
        <f t="array" aca="1" ref="GB89" ca="1">IFERROR(IF(AND(OFFSET($E$20,$FJ88,0)="H",OFFSET(W$19,$FJ88,0)&lt;&gt;"",OFFSET($F34,$FJ88,0)&lt;&gt;"Hybrid - Thrust + 2 connections"),INDEX(Hyb_Tech,MATCH(OFFSET(W$19,$FJ88,0),Hyb_Code,0)),GB$72),GB$72)</f>
        <v>14</v>
      </c>
      <c r="GC89" s="15">
        <f t="array" aca="1" ref="GC89" ca="1">IFERROR(IF(AND(OFFSET($E$20,$FJ88,0)="H",OFFSET(X$19,$FJ88,0)&lt;&gt;"",OFFSET($F34,$FJ88,0)&lt;&gt;"Hybrid - Thrust + 2 connections"),INDEX(Hyb_Tech,MATCH(OFFSET(X$19,$FJ88,0),Hyb_Code,0)),GC$72),GC$72)</f>
        <v>15</v>
      </c>
      <c r="GD89" s="15">
        <f t="array" aca="1" ref="GD89" ca="1">IFERROR(IF(AND(OFFSET($E$20,$FJ88,0)="H",OFFSET(Y$19,$FJ88,0)&lt;&gt;"",OFFSET($F34,$FJ88,0)&lt;&gt;"Hybrid - Thrust + 2 connections"),INDEX(Hyb_Tech,MATCH(OFFSET(Y$19,$FJ88,0),Hyb_Code,0)),GD$72),GD$72)</f>
        <v>16</v>
      </c>
      <c r="GE89" s="15">
        <f t="array" aca="1" ref="GE89" ca="1">IFERROR(IF(AND(OFFSET($E$20,$FJ88,0)="H",OFFSET(Z$19,$FJ88,0)&lt;&gt;"",OFFSET($F34,$FJ88,0)&lt;&gt;"Hybrid - Thrust + 2 connections"),INDEX(Hyb_Tech,MATCH(OFFSET(Z$19,$FJ88,0),Hyb_Code,0)),GE$72),GE$72)</f>
        <v>17</v>
      </c>
      <c r="GF89" s="15">
        <f t="array" aca="1" ref="GF89" ca="1">IFERROR(IF(AND(OFFSET($E$20,$FJ88,0)="H",OFFSET(AA$19,$FJ88,0)&lt;&gt;"",OFFSET($F34,$FJ88,0)&lt;&gt;"Hybrid - Thrust + 2 connections"),INDEX(Hyb_Tech,MATCH(OFFSET(AA$19,$FJ88,0),Hyb_Code,0)),GF$72),GF$72)</f>
        <v>18</v>
      </c>
      <c r="GG89" s="15">
        <f t="array" aca="1" ref="GG89" ca="1">IFERROR(IF(AND(OFFSET($E$20,$FJ88,0)="H",OFFSET(AB$19,$FJ88,0)&lt;&gt;"",OFFSET($F34,$FJ88,0)&lt;&gt;"Hybrid - Thrust + 2 connections"),INDEX(Hyb_Tech,MATCH(OFFSET(AB$19,$FJ88,0),Hyb_Code,0)),GG$72),GG$72)</f>
        <v>19</v>
      </c>
      <c r="GH89" s="15">
        <f t="array" aca="1" ref="GH89" ca="1">IFERROR(IF(AND(OFFSET($E$20,$FJ88,0)="H",OFFSET(AC$19,$FJ88,0)&lt;&gt;"",OFFSET($F34,$FJ88,0)&lt;&gt;"Hybrid - Thrust + 2 connections"),INDEX(Hyb_Tech,MATCH(OFFSET(AC$19,$FJ88,0),Hyb_Code,0)),GH$72),GH$72)</f>
        <v>20</v>
      </c>
      <c r="GI89" s="15">
        <f t="array" aca="1" ref="GI89" ca="1">IFERROR(IF(AND(OFFSET($E$20,$FJ88,0)="H",OFFSET(AD$19,$FJ88,0)&lt;&gt;"",OFFSET($F34,$FJ88,0)&lt;&gt;"Hybrid - Thrust + 2 connections"),INDEX(Hyb_Tech,MATCH(OFFSET(AD$19,$FJ88,0),Hyb_Code,0)),GI$72),GI$72)</f>
        <v>21</v>
      </c>
      <c r="GJ89" s="15">
        <f t="array" aca="1" ref="GJ89" ca="1">IFERROR(IF(AND(OFFSET($E$20,$FJ88,0)="H",OFFSET(AE$19,$FJ88,0)&lt;&gt;"",OFFSET($F34,$FJ88,0)&lt;&gt;"Hybrid - Thrust + 2 connections"),INDEX(Hyb_Tech,MATCH(OFFSET(AE$19,$FJ88,0),Hyb_Code,0)),GJ$72),GJ$72)</f>
        <v>22</v>
      </c>
      <c r="GK89" s="15">
        <f t="array" aca="1" ref="GK89" ca="1">IFERROR(IF(AND(OFFSET($E$20,$FJ88,0)="H",OFFSET(AF$19,$FJ88,0)&lt;&gt;"",OFFSET($F34,$FJ88,0)&lt;&gt;"Hybrid - Thrust + 2 connections"),INDEX(Hyb_Tech,MATCH(OFFSET(AF$19,$FJ88,0),Hyb_Code,0)),GK$72),GK$72)</f>
        <v>23</v>
      </c>
      <c r="GL89" s="15">
        <f t="array" aca="1" ref="GL89" ca="1">IFERROR(IF(AND(OFFSET($E$20,$FJ88,0)="H",OFFSET(AG$19,$FJ88,0)&lt;&gt;"",OFFSET($F34,$FJ88,0)&lt;&gt;"Hybrid - Thrust + 2 connections"),INDEX(Hyb_Tech,MATCH(OFFSET(AG$19,$FJ88,0),Hyb_Code,0)),GL$72),GL$72)</f>
        <v>24</v>
      </c>
      <c r="GM89" s="15">
        <f t="array" aca="1" ref="GM89" ca="1">IFERROR(IF(AND(OFFSET($E$20,$FJ88,0)="H",OFFSET(AH$19,$FJ88,0)&lt;&gt;"",OFFSET($F34,$FJ88,0)&lt;&gt;"Hybrid - Thrust + 2 connections"),INDEX(Hyb_Tech,MATCH(OFFSET(AH$19,$FJ88,0),Hyb_Code,0)),GM$72),GM$72)</f>
        <v>25</v>
      </c>
      <c r="GN89" s="15">
        <f t="array" aca="1" ref="GN89" ca="1">IFERROR(IF(AND(OFFSET($E$20,$FJ88,0)="H",OFFSET(AI$19,$FJ88,0)&lt;&gt;"",OFFSET($F34,$FJ88,0)&lt;&gt;"Hybrid - Thrust + 2 connections"),INDEX(Hyb_Tech,MATCH(OFFSET(AI$19,$FJ88,0),Hyb_Code,0)),GN$72),GN$72)</f>
        <v>26</v>
      </c>
      <c r="GO89" s="15">
        <f t="array" aca="1" ref="GO89" ca="1">IFERROR(IF(AND(OFFSET($E$20,$FJ88,0)="H",OFFSET(AJ$19,$FJ88,0)&lt;&gt;"",OFFSET($F34,$FJ88,0)&lt;&gt;"Hybrid - Thrust + 2 connections"),INDEX(Hyb_Tech,MATCH(OFFSET(AJ$19,$FJ88,0),Hyb_Code,0)),GO$72),GO$72)</f>
        <v>27</v>
      </c>
      <c r="GP89" s="15">
        <f t="array" aca="1" ref="GP89" ca="1">IFERROR(IF(AND(OFFSET($E$20,$FJ88,0)="H",OFFSET(AK$19,$FJ88,0)&lt;&gt;"",OFFSET($F34,$FJ88,0)&lt;&gt;"Hybrid - Thrust + 2 connections"),INDEX(Hyb_Tech,MATCH(OFFSET(AK$19,$FJ88,0),Hyb_Code,0)),GP$72),GP$72)</f>
        <v>28</v>
      </c>
      <c r="GQ89" s="15">
        <f t="array" aca="1" ref="GQ89" ca="1">IFERROR(IF(AND(OFFSET($E$20,$FJ88,0)="H",OFFSET(AL$19,$FJ88,0)&lt;&gt;"",OFFSET($F34,$FJ88,0)&lt;&gt;"Hybrid - Thrust + 2 connections"),INDEX(Hyb_Tech,MATCH(OFFSET(AL$19,$FJ88,0),Hyb_Code,0)),GQ$72),GQ$72)</f>
        <v>29</v>
      </c>
      <c r="GR89" s="15">
        <f t="array" aca="1" ref="GR89" ca="1">IFERROR(IF(AND(OFFSET($E$20,$FJ88,0)="H",OFFSET(AM$19,$FJ88,0)&lt;&gt;"",OFFSET($F34,$FJ88,0)&lt;&gt;"Hybrid - Thrust + 2 connections"),INDEX(Hyb_Tech,MATCH(OFFSET(AM$19,$FJ88,0),Hyb_Code,0)),GR$72),GR$72)</f>
        <v>30</v>
      </c>
    </row>
    <row r="90" spans="5:200" ht="12.75" customHeight="1" x14ac:dyDescent="0.3">
      <c r="E90" s="57"/>
      <c r="F90" s="16"/>
      <c r="G90" s="57"/>
      <c r="H90" s="57"/>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t="str">
        <f ca="1">IFERROR(IF(SUM($FO90:$GR90)&gt;3,OFFSET($FO$73,$FJ88*5/2,MATCH(1,FO90:GR90,0)),""),"")</f>
        <v/>
      </c>
      <c r="FN90" s="15" t="str">
        <f ca="1">IFERROR(IF(LEFT(FM90,1)="C",IF(RIGHT(FM90,1)="+",LEFT(FM90,LEN(FM90)-1),CONCATENATE(FM90,"+")),IF(SUM($FO90:$GR90)&gt;3,OFFSET($FO$73,$FJ88*5/2,MATCH(0.5,FO90:GR90,0)),"")),"")</f>
        <v/>
      </c>
      <c r="FO90" s="15" t="str">
        <f t="array" aca="1" ref="FO90" ca="1">IF(COUNTIF($FO89:$GR89,FO89)&gt;3,INDEX(Hyb_Tech_Value,MATCH(FO88,Hyb_Code,0)),"")</f>
        <v/>
      </c>
      <c r="FP90" s="15" t="str">
        <f t="array" aca="1" ref="FP90" ca="1">IF(COUNTIF($FO89:$GR89,FP89)&gt;3,INDEX(Hyb_Tech_Value,MATCH(FP88,Hyb_Code,0)),"")</f>
        <v/>
      </c>
      <c r="FQ90" s="15" t="str">
        <f t="array" aca="1" ref="FQ90" ca="1">IF(COUNTIF($FO89:$GR89,FQ89)&gt;3,INDEX(Hyb_Tech_Value,MATCH(FQ88,Hyb_Code,0)),"")</f>
        <v/>
      </c>
      <c r="FR90" s="15" t="str">
        <f t="array" aca="1" ref="FR90" ca="1">IF(COUNTIF($FO89:$GR89,FR89)&gt;3,INDEX(Hyb_Tech_Value,MATCH(FR88,Hyb_Code,0)),"")</f>
        <v/>
      </c>
      <c r="FS90" s="15" t="str">
        <f t="array" aca="1" ref="FS90" ca="1">IF(COUNTIF($FO89:$GR89,FS89)&gt;3,INDEX(Hyb_Tech_Value,MATCH(FS88,Hyb_Code,0)),"")</f>
        <v/>
      </c>
      <c r="FT90" s="15" t="str">
        <f t="array" aca="1" ref="FT90" ca="1">IF(COUNTIF($FO89:$GR89,FT89)&gt;3,INDEX(Hyb_Tech_Value,MATCH(FT88,Hyb_Code,0)),"")</f>
        <v/>
      </c>
      <c r="FU90" s="15" t="str">
        <f t="array" aca="1" ref="FU90" ca="1">IF(COUNTIF($FO89:$GR89,FU89)&gt;3,INDEX(Hyb_Tech_Value,MATCH(FU88,Hyb_Code,0)),"")</f>
        <v/>
      </c>
      <c r="FV90" s="15" t="str">
        <f t="array" aca="1" ref="FV90" ca="1">IF(COUNTIF($FO89:$GR89,FV89)&gt;3,INDEX(Hyb_Tech_Value,MATCH(FV88,Hyb_Code,0)),"")</f>
        <v/>
      </c>
      <c r="FW90" s="15" t="str">
        <f t="array" aca="1" ref="FW90" ca="1">IF(COUNTIF($FO89:$GR89,FW89)&gt;3,INDEX(Hyb_Tech_Value,MATCH(FW88,Hyb_Code,0)),"")</f>
        <v/>
      </c>
      <c r="FX90" s="15" t="str">
        <f t="array" aca="1" ref="FX90" ca="1">IF(COUNTIF($FO89:$GR89,FX89)&gt;3,INDEX(Hyb_Tech_Value,MATCH(FX88,Hyb_Code,0)),"")</f>
        <v/>
      </c>
      <c r="FY90" s="15" t="str">
        <f t="array" aca="1" ref="FY90" ca="1">IF(COUNTIF($FO89:$GR89,FY89)&gt;3,INDEX(Hyb_Tech_Value,MATCH(FY88,Hyb_Code,0)),"")</f>
        <v/>
      </c>
      <c r="FZ90" s="15" t="str">
        <f t="array" aca="1" ref="FZ90" ca="1">IF(COUNTIF($FO89:$GR89,FZ89)&gt;3,INDEX(Hyb_Tech_Value,MATCH(FZ88,Hyb_Code,0)),"")</f>
        <v/>
      </c>
      <c r="GA90" s="15" t="str">
        <f t="array" aca="1" ref="GA90" ca="1">IF(COUNTIF($FO89:$GR89,GA89)&gt;3,INDEX(Hyb_Tech_Value,MATCH(GA88,Hyb_Code,0)),"")</f>
        <v/>
      </c>
      <c r="GB90" s="15" t="str">
        <f t="array" aca="1" ref="GB90" ca="1">IF(COUNTIF($FO89:$GR89,GB89)&gt;3,INDEX(Hyb_Tech_Value,MATCH(GB88,Hyb_Code,0)),"")</f>
        <v/>
      </c>
      <c r="GC90" s="15" t="str">
        <f t="array" aca="1" ref="GC90" ca="1">IF(COUNTIF($FO89:$GR89,GC89)&gt;3,INDEX(Hyb_Tech_Value,MATCH(GC88,Hyb_Code,0)),"")</f>
        <v/>
      </c>
      <c r="GD90" s="15" t="str">
        <f t="array" aca="1" ref="GD90" ca="1">IF(COUNTIF($FO89:$GR89,GD89)&gt;3,INDEX(Hyb_Tech_Value,MATCH(GD88,Hyb_Code,0)),"")</f>
        <v/>
      </c>
      <c r="GE90" s="15" t="str">
        <f t="array" aca="1" ref="GE90" ca="1">IF(COUNTIF($FO89:$GR89,GE89)&gt;3,INDEX(Hyb_Tech_Value,MATCH(GE88,Hyb_Code,0)),"")</f>
        <v/>
      </c>
      <c r="GF90" s="15" t="str">
        <f t="array" aca="1" ref="GF90" ca="1">IF(COUNTIF($FO89:$GR89,GF89)&gt;3,INDEX(Hyb_Tech_Value,MATCH(GF88,Hyb_Code,0)),"")</f>
        <v/>
      </c>
      <c r="GG90" s="15" t="str">
        <f t="array" aca="1" ref="GG90" ca="1">IF(COUNTIF($FO89:$GR89,GG89)&gt;3,INDEX(Hyb_Tech_Value,MATCH(GG88,Hyb_Code,0)),"")</f>
        <v/>
      </c>
      <c r="GH90" s="15" t="str">
        <f t="array" aca="1" ref="GH90" ca="1">IF(COUNTIF($FO89:$GR89,GH89)&gt;3,INDEX(Hyb_Tech_Value,MATCH(GH88,Hyb_Code,0)),"")</f>
        <v/>
      </c>
      <c r="GI90" s="15" t="str">
        <f t="array" aca="1" ref="GI90" ca="1">IF(COUNTIF($FO89:$GR89,GI89)&gt;3,INDEX(Hyb_Tech_Value,MATCH(GI88,Hyb_Code,0)),"")</f>
        <v/>
      </c>
      <c r="GJ90" s="15" t="str">
        <f t="array" aca="1" ref="GJ90" ca="1">IF(COUNTIF($FO89:$GR89,GJ89)&gt;3,INDEX(Hyb_Tech_Value,MATCH(GJ88,Hyb_Code,0)),"")</f>
        <v/>
      </c>
      <c r="GK90" s="15" t="str">
        <f t="array" aca="1" ref="GK90" ca="1">IF(COUNTIF($FO89:$GR89,GK89)&gt;3,INDEX(Hyb_Tech_Value,MATCH(GK88,Hyb_Code,0)),"")</f>
        <v/>
      </c>
      <c r="GL90" s="15" t="str">
        <f t="array" aca="1" ref="GL90" ca="1">IF(COUNTIF($FO89:$GR89,GL89)&gt;3,INDEX(Hyb_Tech_Value,MATCH(GL88,Hyb_Code,0)),"")</f>
        <v/>
      </c>
      <c r="GM90" s="15" t="str">
        <f t="array" aca="1" ref="GM90" ca="1">IF(COUNTIF($FO89:$GR89,GM89)&gt;3,INDEX(Hyb_Tech_Value,MATCH(GM88,Hyb_Code,0)),"")</f>
        <v/>
      </c>
      <c r="GN90" s="15" t="str">
        <f t="array" aca="1" ref="GN90" ca="1">IF(COUNTIF($FO89:$GR89,GN89)&gt;3,INDEX(Hyb_Tech_Value,MATCH(GN88,Hyb_Code,0)),"")</f>
        <v/>
      </c>
      <c r="GO90" s="15" t="str">
        <f t="array" aca="1" ref="GO90" ca="1">IF(COUNTIF($FO89:$GR89,GO89)&gt;3,INDEX(Hyb_Tech_Value,MATCH(GO88,Hyb_Code,0)),"")</f>
        <v/>
      </c>
      <c r="GP90" s="15" t="str">
        <f t="array" aca="1" ref="GP90" ca="1">IF(COUNTIF($FO89:$GR89,GP89)&gt;3,INDEX(Hyb_Tech_Value,MATCH(GP88,Hyb_Code,0)),"")</f>
        <v/>
      </c>
      <c r="GQ90" s="15" t="str">
        <f t="array" aca="1" ref="GQ90" ca="1">IF(COUNTIF($FO89:$GR89,GQ89)&gt;3,INDEX(Hyb_Tech_Value,MATCH(GQ88,Hyb_Code,0)),"")</f>
        <v/>
      </c>
      <c r="GR90" s="15" t="str">
        <f t="array" aca="1" ref="GR90" ca="1">IF(COUNTIF($FO89:$GR89,GR89)&gt;3,INDEX(Hyb_Tech_Value,MATCH(GR88,Hyb_Code,0)),"")</f>
        <v/>
      </c>
    </row>
    <row r="91" spans="5:200" ht="12.75" customHeight="1" x14ac:dyDescent="0.3">
      <c r="E91" s="57"/>
      <c r="F91" s="154" t="s">
        <v>169</v>
      </c>
      <c r="G91" s="267">
        <v>45316</v>
      </c>
      <c r="H91" s="245"/>
      <c r="I91" s="158" t="s">
        <v>170</v>
      </c>
      <c r="J91" s="16" t="s">
        <v>171</v>
      </c>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row>
    <row r="92" spans="5:200" ht="12.75" customHeight="1" x14ac:dyDescent="0.3">
      <c r="E92" s="57"/>
      <c r="F92" s="16"/>
      <c r="G92" s="157"/>
      <c r="H92" s="57"/>
      <c r="I92" s="158" t="s">
        <v>172</v>
      </c>
      <c r="J92" s="16" t="s">
        <v>173</v>
      </c>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row>
    <row r="93" spans="5:200" ht="12.75" customHeight="1" x14ac:dyDescent="0.3">
      <c r="E93" s="57"/>
      <c r="F93" s="16"/>
      <c r="G93" s="157"/>
      <c r="H93" s="57"/>
      <c r="I93" s="158" t="s">
        <v>174</v>
      </c>
      <c r="J93" s="16" t="s">
        <v>175</v>
      </c>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5"/>
      <c r="EM93" s="5"/>
      <c r="EN93" s="5"/>
      <c r="EO93" s="5"/>
      <c r="EP93" s="5"/>
      <c r="EQ93" s="5"/>
      <c r="ER93" s="5"/>
      <c r="ES93" s="5"/>
      <c r="ET93" s="5"/>
      <c r="EU93" s="5"/>
      <c r="EV93" s="5"/>
      <c r="EW93" s="5"/>
      <c r="EX93" s="5"/>
      <c r="EY93" s="5"/>
      <c r="EZ93" s="5"/>
      <c r="FA93" s="5"/>
      <c r="FB93" s="5"/>
      <c r="FC93" s="5"/>
      <c r="FD93" s="5"/>
      <c r="FE93" s="5"/>
      <c r="FF93" s="5"/>
      <c r="FG93" s="5"/>
      <c r="FH93" s="5"/>
      <c r="FI93" s="5"/>
      <c r="FJ93" s="5">
        <v>8</v>
      </c>
      <c r="FK93" s="5"/>
      <c r="FL93" s="5"/>
      <c r="FM93" s="15"/>
      <c r="FN93" s="15"/>
      <c r="FO93" s="15">
        <f t="shared" ref="FO93:GR93" ca="1" si="340">IFERROR(IF(AND(OFFSET($E$20,$FJ93,0)="H",OFFSET(J$19,$FJ93,0)&lt;&gt;""),UPPER(OFFSET(J$19,$FJ93,0)),FO$18),FO$18)</f>
        <v>1</v>
      </c>
      <c r="FP93" s="15">
        <f t="shared" ca="1" si="340"/>
        <v>2</v>
      </c>
      <c r="FQ93" s="15">
        <f t="shared" ca="1" si="340"/>
        <v>3</v>
      </c>
      <c r="FR93" s="15">
        <f t="shared" ca="1" si="340"/>
        <v>4</v>
      </c>
      <c r="FS93" s="15">
        <f t="shared" ca="1" si="340"/>
        <v>5</v>
      </c>
      <c r="FT93" s="15">
        <f t="shared" ca="1" si="340"/>
        <v>6</v>
      </c>
      <c r="FU93" s="15">
        <f t="shared" ca="1" si="340"/>
        <v>7</v>
      </c>
      <c r="FV93" s="15">
        <f t="shared" ca="1" si="340"/>
        <v>8</v>
      </c>
      <c r="FW93" s="15">
        <f t="shared" ca="1" si="340"/>
        <v>9</v>
      </c>
      <c r="FX93" s="15">
        <f t="shared" ca="1" si="340"/>
        <v>10</v>
      </c>
      <c r="FY93" s="15">
        <f t="shared" ca="1" si="340"/>
        <v>11</v>
      </c>
      <c r="FZ93" s="15">
        <f t="shared" ca="1" si="340"/>
        <v>12</v>
      </c>
      <c r="GA93" s="15">
        <f t="shared" ca="1" si="340"/>
        <v>13</v>
      </c>
      <c r="GB93" s="15">
        <f t="shared" ca="1" si="340"/>
        <v>14</v>
      </c>
      <c r="GC93" s="15">
        <f t="shared" ca="1" si="340"/>
        <v>15</v>
      </c>
      <c r="GD93" s="15">
        <f t="shared" ca="1" si="340"/>
        <v>16</v>
      </c>
      <c r="GE93" s="15">
        <f t="shared" ca="1" si="340"/>
        <v>17</v>
      </c>
      <c r="GF93" s="15">
        <f t="shared" ca="1" si="340"/>
        <v>18</v>
      </c>
      <c r="GG93" s="15">
        <f t="shared" ca="1" si="340"/>
        <v>19</v>
      </c>
      <c r="GH93" s="15">
        <f t="shared" ca="1" si="340"/>
        <v>20</v>
      </c>
      <c r="GI93" s="15">
        <f t="shared" ca="1" si="340"/>
        <v>21</v>
      </c>
      <c r="GJ93" s="15">
        <f t="shared" ca="1" si="340"/>
        <v>22</v>
      </c>
      <c r="GK93" s="15">
        <f t="shared" ca="1" si="340"/>
        <v>23</v>
      </c>
      <c r="GL93" s="15">
        <f t="shared" ca="1" si="340"/>
        <v>24</v>
      </c>
      <c r="GM93" s="15">
        <f t="shared" ca="1" si="340"/>
        <v>25</v>
      </c>
      <c r="GN93" s="15">
        <f t="shared" ca="1" si="340"/>
        <v>26</v>
      </c>
      <c r="GO93" s="15">
        <f t="shared" ca="1" si="340"/>
        <v>27</v>
      </c>
      <c r="GP93" s="15">
        <f t="shared" ca="1" si="340"/>
        <v>28</v>
      </c>
      <c r="GQ93" s="15">
        <f t="shared" ca="1" si="340"/>
        <v>29</v>
      </c>
      <c r="GR93" s="15">
        <f t="shared" ca="1" si="340"/>
        <v>30</v>
      </c>
    </row>
    <row r="94" spans="5:200" ht="12.75" customHeight="1" x14ac:dyDescent="0.3">
      <c r="E94" s="57"/>
      <c r="F94" s="16"/>
      <c r="G94" s="157"/>
      <c r="H94" s="57"/>
      <c r="I94" s="158" t="s">
        <v>176</v>
      </c>
      <c r="J94" s="16" t="s">
        <v>177</v>
      </c>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15">
        <f t="array" aca="1" ref="FO94" ca="1">IFERROR(IF(AND(OFFSET($E$20,$FJ93,0)="H",OFFSET(J$19,$FJ93,0)&lt;&gt;"",OFFSET($F39,$FJ93,0)&lt;&gt;"Hybrid - Thrust + 2 connections"),INDEX(Hyb_Tech,MATCH(OFFSET(J$19,$FJ93,0),Hyb_Code,0)),FO$72),FO$72)</f>
        <v>1</v>
      </c>
      <c r="FP94" s="15">
        <f t="array" aca="1" ref="FP94" ca="1">IFERROR(IF(AND(OFFSET($E$20,$FJ93,0)="H",OFFSET(K$19,$FJ93,0)&lt;&gt;"",OFFSET($F39,$FJ93,0)&lt;&gt;"Hybrid - Thrust + 2 connections"),INDEX(Hyb_Tech,MATCH(OFFSET(K$19,$FJ93,0),Hyb_Code,0)),FP$72),FP$72)</f>
        <v>2</v>
      </c>
      <c r="FQ94" s="15">
        <f t="array" aca="1" ref="FQ94" ca="1">IFERROR(IF(AND(OFFSET($E$20,$FJ93,0)="H",OFFSET(L$19,$FJ93,0)&lt;&gt;"",OFFSET($F39,$FJ93,0)&lt;&gt;"Hybrid - Thrust + 2 connections"),INDEX(Hyb_Tech,MATCH(OFFSET(L$19,$FJ93,0),Hyb_Code,0)),FQ$72),FQ$72)</f>
        <v>3</v>
      </c>
      <c r="FR94" s="15">
        <f t="array" aca="1" ref="FR94" ca="1">IFERROR(IF(AND(OFFSET($E$20,$FJ93,0)="H",OFFSET(M$19,$FJ93,0)&lt;&gt;"",OFFSET($F39,$FJ93,0)&lt;&gt;"Hybrid - Thrust + 2 connections"),INDEX(Hyb_Tech,MATCH(OFFSET(M$19,$FJ93,0),Hyb_Code,0)),FR$72),FR$72)</f>
        <v>4</v>
      </c>
      <c r="FS94" s="15">
        <f t="array" aca="1" ref="FS94" ca="1">IFERROR(IF(AND(OFFSET($E$20,$FJ93,0)="H",OFFSET(N$19,$FJ93,0)&lt;&gt;"",OFFSET($F39,$FJ93,0)&lt;&gt;"Hybrid - Thrust + 2 connections"),INDEX(Hyb_Tech,MATCH(OFFSET(N$19,$FJ93,0),Hyb_Code,0)),FS$72),FS$72)</f>
        <v>5</v>
      </c>
      <c r="FT94" s="15">
        <f t="array" aca="1" ref="FT94" ca="1">IFERROR(IF(AND(OFFSET($E$20,$FJ93,0)="H",OFFSET(O$19,$FJ93,0)&lt;&gt;"",OFFSET($F39,$FJ93,0)&lt;&gt;"Hybrid - Thrust + 2 connections"),INDEX(Hyb_Tech,MATCH(OFFSET(O$19,$FJ93,0),Hyb_Code,0)),FT$72),FT$72)</f>
        <v>6</v>
      </c>
      <c r="FU94" s="15">
        <f t="array" aca="1" ref="FU94" ca="1">IFERROR(IF(AND(OFFSET($E$20,$FJ93,0)="H",OFFSET(P$19,$FJ93,0)&lt;&gt;"",OFFSET($F39,$FJ93,0)&lt;&gt;"Hybrid - Thrust + 2 connections"),INDEX(Hyb_Tech,MATCH(OFFSET(P$19,$FJ93,0),Hyb_Code,0)),FU$72),FU$72)</f>
        <v>7</v>
      </c>
      <c r="FV94" s="15">
        <f t="array" aca="1" ref="FV94" ca="1">IFERROR(IF(AND(OFFSET($E$20,$FJ93,0)="H",OFFSET(Q$19,$FJ93,0)&lt;&gt;"",OFFSET($F39,$FJ93,0)&lt;&gt;"Hybrid - Thrust + 2 connections"),INDEX(Hyb_Tech,MATCH(OFFSET(Q$19,$FJ93,0),Hyb_Code,0)),FV$72),FV$72)</f>
        <v>8</v>
      </c>
      <c r="FW94" s="15">
        <f t="array" aca="1" ref="FW94" ca="1">IFERROR(IF(AND(OFFSET($E$20,$FJ93,0)="H",OFFSET(R$19,$FJ93,0)&lt;&gt;"",OFFSET($F39,$FJ93,0)&lt;&gt;"Hybrid - Thrust + 2 connections"),INDEX(Hyb_Tech,MATCH(OFFSET(R$19,$FJ93,0),Hyb_Code,0)),FW$72),FW$72)</f>
        <v>9</v>
      </c>
      <c r="FX94" s="15">
        <f t="array" aca="1" ref="FX94" ca="1">IFERROR(IF(AND(OFFSET($E$20,$FJ93,0)="H",OFFSET(S$19,$FJ93,0)&lt;&gt;"",OFFSET($F39,$FJ93,0)&lt;&gt;"Hybrid - Thrust + 2 connections"),INDEX(Hyb_Tech,MATCH(OFFSET(S$19,$FJ93,0),Hyb_Code,0)),FX$72),FX$72)</f>
        <v>10</v>
      </c>
      <c r="FY94" s="15">
        <f t="array" aca="1" ref="FY94" ca="1">IFERROR(IF(AND(OFFSET($E$20,$FJ93,0)="H",OFFSET(T$19,$FJ93,0)&lt;&gt;"",OFFSET($F39,$FJ93,0)&lt;&gt;"Hybrid - Thrust + 2 connections"),INDEX(Hyb_Tech,MATCH(OFFSET(T$19,$FJ93,0),Hyb_Code,0)),FY$72),FY$72)</f>
        <v>11</v>
      </c>
      <c r="FZ94" s="15">
        <f t="array" aca="1" ref="FZ94" ca="1">IFERROR(IF(AND(OFFSET($E$20,$FJ93,0)="H",OFFSET(U$19,$FJ93,0)&lt;&gt;"",OFFSET($F39,$FJ93,0)&lt;&gt;"Hybrid - Thrust + 2 connections"),INDEX(Hyb_Tech,MATCH(OFFSET(U$19,$FJ93,0),Hyb_Code,0)),FZ$72),FZ$72)</f>
        <v>12</v>
      </c>
      <c r="GA94" s="15">
        <f t="array" aca="1" ref="GA94" ca="1">IFERROR(IF(AND(OFFSET($E$20,$FJ93,0)="H",OFFSET(V$19,$FJ93,0)&lt;&gt;"",OFFSET($F39,$FJ93,0)&lt;&gt;"Hybrid - Thrust + 2 connections"),INDEX(Hyb_Tech,MATCH(OFFSET(V$19,$FJ93,0),Hyb_Code,0)),GA$72),GA$72)</f>
        <v>13</v>
      </c>
      <c r="GB94" s="15">
        <f t="array" aca="1" ref="GB94" ca="1">IFERROR(IF(AND(OFFSET($E$20,$FJ93,0)="H",OFFSET(W$19,$FJ93,0)&lt;&gt;"",OFFSET($F39,$FJ93,0)&lt;&gt;"Hybrid - Thrust + 2 connections"),INDEX(Hyb_Tech,MATCH(OFFSET(W$19,$FJ93,0),Hyb_Code,0)),GB$72),GB$72)</f>
        <v>14</v>
      </c>
      <c r="GC94" s="15">
        <f t="array" aca="1" ref="GC94" ca="1">IFERROR(IF(AND(OFFSET($E$20,$FJ93,0)="H",OFFSET(X$19,$FJ93,0)&lt;&gt;"",OFFSET($F39,$FJ93,0)&lt;&gt;"Hybrid - Thrust + 2 connections"),INDEX(Hyb_Tech,MATCH(OFFSET(X$19,$FJ93,0),Hyb_Code,0)),GC$72),GC$72)</f>
        <v>15</v>
      </c>
      <c r="GD94" s="15">
        <f t="array" aca="1" ref="GD94" ca="1">IFERROR(IF(AND(OFFSET($E$20,$FJ93,0)="H",OFFSET(Y$19,$FJ93,0)&lt;&gt;"",OFFSET($F39,$FJ93,0)&lt;&gt;"Hybrid - Thrust + 2 connections"),INDEX(Hyb_Tech,MATCH(OFFSET(Y$19,$FJ93,0),Hyb_Code,0)),GD$72),GD$72)</f>
        <v>16</v>
      </c>
      <c r="GE94" s="15">
        <f t="array" aca="1" ref="GE94" ca="1">IFERROR(IF(AND(OFFSET($E$20,$FJ93,0)="H",OFFSET(Z$19,$FJ93,0)&lt;&gt;"",OFFSET($F39,$FJ93,0)&lt;&gt;"Hybrid - Thrust + 2 connections"),INDEX(Hyb_Tech,MATCH(OFFSET(Z$19,$FJ93,0),Hyb_Code,0)),GE$72),GE$72)</f>
        <v>17</v>
      </c>
      <c r="GF94" s="15">
        <f t="array" aca="1" ref="GF94" ca="1">IFERROR(IF(AND(OFFSET($E$20,$FJ93,0)="H",OFFSET(AA$19,$FJ93,0)&lt;&gt;"",OFFSET($F39,$FJ93,0)&lt;&gt;"Hybrid - Thrust + 2 connections"),INDEX(Hyb_Tech,MATCH(OFFSET(AA$19,$FJ93,0),Hyb_Code,0)),GF$72),GF$72)</f>
        <v>18</v>
      </c>
      <c r="GG94" s="15">
        <f t="array" aca="1" ref="GG94" ca="1">IFERROR(IF(AND(OFFSET($E$20,$FJ93,0)="H",OFFSET(AB$19,$FJ93,0)&lt;&gt;"",OFFSET($F39,$FJ93,0)&lt;&gt;"Hybrid - Thrust + 2 connections"),INDEX(Hyb_Tech,MATCH(OFFSET(AB$19,$FJ93,0),Hyb_Code,0)),GG$72),GG$72)</f>
        <v>19</v>
      </c>
      <c r="GH94" s="15">
        <f t="array" aca="1" ref="GH94" ca="1">IFERROR(IF(AND(OFFSET($E$20,$FJ93,0)="H",OFFSET(AC$19,$FJ93,0)&lt;&gt;"",OFFSET($F39,$FJ93,0)&lt;&gt;"Hybrid - Thrust + 2 connections"),INDEX(Hyb_Tech,MATCH(OFFSET(AC$19,$FJ93,0),Hyb_Code,0)),GH$72),GH$72)</f>
        <v>20</v>
      </c>
      <c r="GI94" s="15">
        <f t="array" aca="1" ref="GI94" ca="1">IFERROR(IF(AND(OFFSET($E$20,$FJ93,0)="H",OFFSET(AD$19,$FJ93,0)&lt;&gt;"",OFFSET($F39,$FJ93,0)&lt;&gt;"Hybrid - Thrust + 2 connections"),INDEX(Hyb_Tech,MATCH(OFFSET(AD$19,$FJ93,0),Hyb_Code,0)),GI$72),GI$72)</f>
        <v>21</v>
      </c>
      <c r="GJ94" s="15">
        <f t="array" aca="1" ref="GJ94" ca="1">IFERROR(IF(AND(OFFSET($E$20,$FJ93,0)="H",OFFSET(AE$19,$FJ93,0)&lt;&gt;"",OFFSET($F39,$FJ93,0)&lt;&gt;"Hybrid - Thrust + 2 connections"),INDEX(Hyb_Tech,MATCH(OFFSET(AE$19,$FJ93,0),Hyb_Code,0)),GJ$72),GJ$72)</f>
        <v>22</v>
      </c>
      <c r="GK94" s="15">
        <f t="array" aca="1" ref="GK94" ca="1">IFERROR(IF(AND(OFFSET($E$20,$FJ93,0)="H",OFFSET(AF$19,$FJ93,0)&lt;&gt;"",OFFSET($F39,$FJ93,0)&lt;&gt;"Hybrid - Thrust + 2 connections"),INDEX(Hyb_Tech,MATCH(OFFSET(AF$19,$FJ93,0),Hyb_Code,0)),GK$72),GK$72)</f>
        <v>23</v>
      </c>
      <c r="GL94" s="15">
        <f t="array" aca="1" ref="GL94" ca="1">IFERROR(IF(AND(OFFSET($E$20,$FJ93,0)="H",OFFSET(AG$19,$FJ93,0)&lt;&gt;"",OFFSET($F39,$FJ93,0)&lt;&gt;"Hybrid - Thrust + 2 connections"),INDEX(Hyb_Tech,MATCH(OFFSET(AG$19,$FJ93,0),Hyb_Code,0)),GL$72),GL$72)</f>
        <v>24</v>
      </c>
      <c r="GM94" s="15">
        <f t="array" aca="1" ref="GM94" ca="1">IFERROR(IF(AND(OFFSET($E$20,$FJ93,0)="H",OFFSET(AH$19,$FJ93,0)&lt;&gt;"",OFFSET($F39,$FJ93,0)&lt;&gt;"Hybrid - Thrust + 2 connections"),INDEX(Hyb_Tech,MATCH(OFFSET(AH$19,$FJ93,0),Hyb_Code,0)),GM$72),GM$72)</f>
        <v>25</v>
      </c>
      <c r="GN94" s="15">
        <f t="array" aca="1" ref="GN94" ca="1">IFERROR(IF(AND(OFFSET($E$20,$FJ93,0)="H",OFFSET(AI$19,$FJ93,0)&lt;&gt;"",OFFSET($F39,$FJ93,0)&lt;&gt;"Hybrid - Thrust + 2 connections"),INDEX(Hyb_Tech,MATCH(OFFSET(AI$19,$FJ93,0),Hyb_Code,0)),GN$72),GN$72)</f>
        <v>26</v>
      </c>
      <c r="GO94" s="15">
        <f t="array" aca="1" ref="GO94" ca="1">IFERROR(IF(AND(OFFSET($E$20,$FJ93,0)="H",OFFSET(AJ$19,$FJ93,0)&lt;&gt;"",OFFSET($F39,$FJ93,0)&lt;&gt;"Hybrid - Thrust + 2 connections"),INDEX(Hyb_Tech,MATCH(OFFSET(AJ$19,$FJ93,0),Hyb_Code,0)),GO$72),GO$72)</f>
        <v>27</v>
      </c>
      <c r="GP94" s="15">
        <f t="array" aca="1" ref="GP94" ca="1">IFERROR(IF(AND(OFFSET($E$20,$FJ93,0)="H",OFFSET(AK$19,$FJ93,0)&lt;&gt;"",OFFSET($F39,$FJ93,0)&lt;&gt;"Hybrid - Thrust + 2 connections"),INDEX(Hyb_Tech,MATCH(OFFSET(AK$19,$FJ93,0),Hyb_Code,0)),GP$72),GP$72)</f>
        <v>28</v>
      </c>
      <c r="GQ94" s="15">
        <f t="array" aca="1" ref="GQ94" ca="1">IFERROR(IF(AND(OFFSET($E$20,$FJ93,0)="H",OFFSET(AL$19,$FJ93,0)&lt;&gt;"",OFFSET($F39,$FJ93,0)&lt;&gt;"Hybrid - Thrust + 2 connections"),INDEX(Hyb_Tech,MATCH(OFFSET(AL$19,$FJ93,0),Hyb_Code,0)),GQ$72),GQ$72)</f>
        <v>29</v>
      </c>
      <c r="GR94" s="15">
        <f t="array" aca="1" ref="GR94" ca="1">IFERROR(IF(AND(OFFSET($E$20,$FJ93,0)="H",OFFSET(AM$19,$FJ93,0)&lt;&gt;"",OFFSET($F39,$FJ93,0)&lt;&gt;"Hybrid - Thrust + 2 connections"),INDEX(Hyb_Tech,MATCH(OFFSET(AM$19,$FJ93,0),Hyb_Code,0)),GR$72),GR$72)</f>
        <v>30</v>
      </c>
    </row>
    <row r="95" spans="5:200" ht="12.75" customHeight="1" x14ac:dyDescent="0.3">
      <c r="E95" s="57"/>
      <c r="F95" s="16"/>
      <c r="G95" s="157"/>
      <c r="H95" s="57"/>
      <c r="I95" s="158" t="s">
        <v>178</v>
      </c>
      <c r="J95" s="16" t="s">
        <v>179</v>
      </c>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t="str">
        <f ca="1">IFERROR(IF(SUM($FO95:$GR95)&gt;3,OFFSET($FO$73,$FJ93*5/2,MATCH(1,FO95:GR95,0)),""),"")</f>
        <v/>
      </c>
      <c r="FN95" s="15" t="str">
        <f ca="1">IFERROR(IF(LEFT(FM95,1)="C",IF(RIGHT(FM95,1)="+",LEFT(FM95,LEN(FM95)-1),CONCATENATE(FM95,"+")),IF(SUM($FO95:$GR95)&gt;3,OFFSET($FO$73,$FJ93*5/2,MATCH(0.5,FO95:GR95,0)),"")),"")</f>
        <v/>
      </c>
      <c r="FO95" s="15" t="str">
        <f t="array" aca="1" ref="FO95" ca="1">IF(COUNTIF($FO94:$GR94,FO94)&gt;3,INDEX(Hyb_Tech_Value,MATCH(FO93,Hyb_Code,0)),"")</f>
        <v/>
      </c>
      <c r="FP95" s="15" t="str">
        <f t="array" aca="1" ref="FP95" ca="1">IF(COUNTIF($FO94:$GR94,FP94)&gt;3,INDEX(Hyb_Tech_Value,MATCH(FP93,Hyb_Code,0)),"")</f>
        <v/>
      </c>
      <c r="FQ95" s="15" t="str">
        <f t="array" aca="1" ref="FQ95" ca="1">IF(COUNTIF($FO94:$GR94,FQ94)&gt;3,INDEX(Hyb_Tech_Value,MATCH(FQ93,Hyb_Code,0)),"")</f>
        <v/>
      </c>
      <c r="FR95" s="15" t="str">
        <f t="array" aca="1" ref="FR95" ca="1">IF(COUNTIF($FO94:$GR94,FR94)&gt;3,INDEX(Hyb_Tech_Value,MATCH(FR93,Hyb_Code,0)),"")</f>
        <v/>
      </c>
      <c r="FS95" s="15" t="str">
        <f t="array" aca="1" ref="FS95" ca="1">IF(COUNTIF($FO94:$GR94,FS94)&gt;3,INDEX(Hyb_Tech_Value,MATCH(FS93,Hyb_Code,0)),"")</f>
        <v/>
      </c>
      <c r="FT95" s="15" t="str">
        <f t="array" aca="1" ref="FT95" ca="1">IF(COUNTIF($FO94:$GR94,FT94)&gt;3,INDEX(Hyb_Tech_Value,MATCH(FT93,Hyb_Code,0)),"")</f>
        <v/>
      </c>
      <c r="FU95" s="15" t="str">
        <f t="array" aca="1" ref="FU95" ca="1">IF(COUNTIF($FO94:$GR94,FU94)&gt;3,INDEX(Hyb_Tech_Value,MATCH(FU93,Hyb_Code,0)),"")</f>
        <v/>
      </c>
      <c r="FV95" s="15" t="str">
        <f t="array" aca="1" ref="FV95" ca="1">IF(COUNTIF($FO94:$GR94,FV94)&gt;3,INDEX(Hyb_Tech_Value,MATCH(FV93,Hyb_Code,0)),"")</f>
        <v/>
      </c>
      <c r="FW95" s="15" t="str">
        <f t="array" aca="1" ref="FW95" ca="1">IF(COUNTIF($FO94:$GR94,FW94)&gt;3,INDEX(Hyb_Tech_Value,MATCH(FW93,Hyb_Code,0)),"")</f>
        <v/>
      </c>
      <c r="FX95" s="15" t="str">
        <f t="array" aca="1" ref="FX95" ca="1">IF(COUNTIF($FO94:$GR94,FX94)&gt;3,INDEX(Hyb_Tech_Value,MATCH(FX93,Hyb_Code,0)),"")</f>
        <v/>
      </c>
      <c r="FY95" s="15" t="str">
        <f t="array" aca="1" ref="FY95" ca="1">IF(COUNTIF($FO94:$GR94,FY94)&gt;3,INDEX(Hyb_Tech_Value,MATCH(FY93,Hyb_Code,0)),"")</f>
        <v/>
      </c>
      <c r="FZ95" s="15" t="str">
        <f t="array" aca="1" ref="FZ95" ca="1">IF(COUNTIF($FO94:$GR94,FZ94)&gt;3,INDEX(Hyb_Tech_Value,MATCH(FZ93,Hyb_Code,0)),"")</f>
        <v/>
      </c>
      <c r="GA95" s="15" t="str">
        <f t="array" aca="1" ref="GA95" ca="1">IF(COUNTIF($FO94:$GR94,GA94)&gt;3,INDEX(Hyb_Tech_Value,MATCH(GA93,Hyb_Code,0)),"")</f>
        <v/>
      </c>
      <c r="GB95" s="15" t="str">
        <f t="array" aca="1" ref="GB95" ca="1">IF(COUNTIF($FO94:$GR94,GB94)&gt;3,INDEX(Hyb_Tech_Value,MATCH(GB93,Hyb_Code,0)),"")</f>
        <v/>
      </c>
      <c r="GC95" s="15" t="str">
        <f t="array" aca="1" ref="GC95" ca="1">IF(COUNTIF($FO94:$GR94,GC94)&gt;3,INDEX(Hyb_Tech_Value,MATCH(GC93,Hyb_Code,0)),"")</f>
        <v/>
      </c>
      <c r="GD95" s="15" t="str">
        <f t="array" aca="1" ref="GD95" ca="1">IF(COUNTIF($FO94:$GR94,GD94)&gt;3,INDEX(Hyb_Tech_Value,MATCH(GD93,Hyb_Code,0)),"")</f>
        <v/>
      </c>
      <c r="GE95" s="15" t="str">
        <f t="array" aca="1" ref="GE95" ca="1">IF(COUNTIF($FO94:$GR94,GE94)&gt;3,INDEX(Hyb_Tech_Value,MATCH(GE93,Hyb_Code,0)),"")</f>
        <v/>
      </c>
      <c r="GF95" s="15" t="str">
        <f t="array" aca="1" ref="GF95" ca="1">IF(COUNTIF($FO94:$GR94,GF94)&gt;3,INDEX(Hyb_Tech_Value,MATCH(GF93,Hyb_Code,0)),"")</f>
        <v/>
      </c>
      <c r="GG95" s="15" t="str">
        <f t="array" aca="1" ref="GG95" ca="1">IF(COUNTIF($FO94:$GR94,GG94)&gt;3,INDEX(Hyb_Tech_Value,MATCH(GG93,Hyb_Code,0)),"")</f>
        <v/>
      </c>
      <c r="GH95" s="15" t="str">
        <f t="array" aca="1" ref="GH95" ca="1">IF(COUNTIF($FO94:$GR94,GH94)&gt;3,INDEX(Hyb_Tech_Value,MATCH(GH93,Hyb_Code,0)),"")</f>
        <v/>
      </c>
      <c r="GI95" s="15" t="str">
        <f t="array" aca="1" ref="GI95" ca="1">IF(COUNTIF($FO94:$GR94,GI94)&gt;3,INDEX(Hyb_Tech_Value,MATCH(GI93,Hyb_Code,0)),"")</f>
        <v/>
      </c>
      <c r="GJ95" s="15" t="str">
        <f t="array" aca="1" ref="GJ95" ca="1">IF(COUNTIF($FO94:$GR94,GJ94)&gt;3,INDEX(Hyb_Tech_Value,MATCH(GJ93,Hyb_Code,0)),"")</f>
        <v/>
      </c>
      <c r="GK95" s="15" t="str">
        <f t="array" aca="1" ref="GK95" ca="1">IF(COUNTIF($FO94:$GR94,GK94)&gt;3,INDEX(Hyb_Tech_Value,MATCH(GK93,Hyb_Code,0)),"")</f>
        <v/>
      </c>
      <c r="GL95" s="15" t="str">
        <f t="array" aca="1" ref="GL95" ca="1">IF(COUNTIF($FO94:$GR94,GL94)&gt;3,INDEX(Hyb_Tech_Value,MATCH(GL93,Hyb_Code,0)),"")</f>
        <v/>
      </c>
      <c r="GM95" s="15" t="str">
        <f t="array" aca="1" ref="GM95" ca="1">IF(COUNTIF($FO94:$GR94,GM94)&gt;3,INDEX(Hyb_Tech_Value,MATCH(GM93,Hyb_Code,0)),"")</f>
        <v/>
      </c>
      <c r="GN95" s="15" t="str">
        <f t="array" aca="1" ref="GN95" ca="1">IF(COUNTIF($FO94:$GR94,GN94)&gt;3,INDEX(Hyb_Tech_Value,MATCH(GN93,Hyb_Code,0)),"")</f>
        <v/>
      </c>
      <c r="GO95" s="15" t="str">
        <f t="array" aca="1" ref="GO95" ca="1">IF(COUNTIF($FO94:$GR94,GO94)&gt;3,INDEX(Hyb_Tech_Value,MATCH(GO93,Hyb_Code,0)),"")</f>
        <v/>
      </c>
      <c r="GP95" s="15" t="str">
        <f t="array" aca="1" ref="GP95" ca="1">IF(COUNTIF($FO94:$GR94,GP94)&gt;3,INDEX(Hyb_Tech_Value,MATCH(GP93,Hyb_Code,0)),"")</f>
        <v/>
      </c>
      <c r="GQ95" s="15" t="str">
        <f t="array" aca="1" ref="GQ95" ca="1">IF(COUNTIF($FO94:$GR94,GQ94)&gt;3,INDEX(Hyb_Tech_Value,MATCH(GQ93,Hyb_Code,0)),"")</f>
        <v/>
      </c>
      <c r="GR95" s="15" t="str">
        <f t="array" aca="1" ref="GR95" ca="1">IF(COUNTIF($FO94:$GR94,GR94)&gt;3,INDEX(Hyb_Tech_Value,MATCH(GR93,Hyb_Code,0)),"")</f>
        <v/>
      </c>
    </row>
    <row r="96" spans="5:200" ht="12.75" customHeight="1" x14ac:dyDescent="0.3">
      <c r="E96" s="57"/>
      <c r="F96" s="16"/>
      <c r="G96" s="157"/>
      <c r="H96" s="57"/>
      <c r="I96" s="158" t="s">
        <v>180</v>
      </c>
      <c r="J96" s="16" t="s">
        <v>181</v>
      </c>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row>
    <row r="97" spans="6:200" ht="12.75" customHeight="1" x14ac:dyDescent="0.3">
      <c r="F97" s="16"/>
      <c r="G97" s="157"/>
      <c r="H97" s="57"/>
      <c r="I97" s="158" t="s">
        <v>182</v>
      </c>
      <c r="J97" s="16" t="s">
        <v>183</v>
      </c>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row>
    <row r="98" spans="6:200" ht="12.75" customHeight="1" x14ac:dyDescent="0.3">
      <c r="F98" s="16"/>
      <c r="G98" s="157"/>
      <c r="H98" s="57"/>
      <c r="I98" s="158" t="s">
        <v>184</v>
      </c>
      <c r="J98" s="16" t="s">
        <v>185</v>
      </c>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5"/>
      <c r="EM98" s="5"/>
      <c r="EN98" s="5"/>
      <c r="EO98" s="5"/>
      <c r="EP98" s="5"/>
      <c r="EQ98" s="5"/>
      <c r="ER98" s="5"/>
      <c r="ES98" s="5"/>
      <c r="ET98" s="5"/>
      <c r="EU98" s="5"/>
      <c r="EV98" s="5"/>
      <c r="EW98" s="5"/>
      <c r="EX98" s="5"/>
      <c r="EY98" s="5"/>
      <c r="EZ98" s="5"/>
      <c r="FA98" s="5"/>
      <c r="FB98" s="5"/>
      <c r="FC98" s="5"/>
      <c r="FD98" s="5"/>
      <c r="FE98" s="5"/>
      <c r="FF98" s="5"/>
      <c r="FG98" s="5"/>
      <c r="FH98" s="5"/>
      <c r="FI98" s="5"/>
      <c r="FJ98" s="5">
        <v>10</v>
      </c>
      <c r="FK98" s="5"/>
      <c r="FL98" s="5"/>
      <c r="FM98" s="15"/>
      <c r="FN98" s="15"/>
      <c r="FO98" s="15">
        <f t="shared" ref="FO98:GR98" ca="1" si="341">IFERROR(IF(AND(OFFSET($E$20,$FJ98,0)="H",OFFSET(J$19,$FJ98,0)&lt;&gt;""),UPPER(OFFSET(J$19,$FJ98,0)),FO$18),FO$18)</f>
        <v>1</v>
      </c>
      <c r="FP98" s="15">
        <f t="shared" ca="1" si="341"/>
        <v>2</v>
      </c>
      <c r="FQ98" s="15">
        <f t="shared" ca="1" si="341"/>
        <v>3</v>
      </c>
      <c r="FR98" s="15">
        <f t="shared" ca="1" si="341"/>
        <v>4</v>
      </c>
      <c r="FS98" s="15">
        <f t="shared" ca="1" si="341"/>
        <v>5</v>
      </c>
      <c r="FT98" s="15">
        <f t="shared" ca="1" si="341"/>
        <v>6</v>
      </c>
      <c r="FU98" s="15">
        <f t="shared" ca="1" si="341"/>
        <v>7</v>
      </c>
      <c r="FV98" s="15">
        <f t="shared" ca="1" si="341"/>
        <v>8</v>
      </c>
      <c r="FW98" s="15">
        <f t="shared" ca="1" si="341"/>
        <v>9</v>
      </c>
      <c r="FX98" s="15">
        <f t="shared" ca="1" si="341"/>
        <v>10</v>
      </c>
      <c r="FY98" s="15">
        <f t="shared" ca="1" si="341"/>
        <v>11</v>
      </c>
      <c r="FZ98" s="15">
        <f t="shared" ca="1" si="341"/>
        <v>12</v>
      </c>
      <c r="GA98" s="15">
        <f t="shared" ca="1" si="341"/>
        <v>13</v>
      </c>
      <c r="GB98" s="15">
        <f t="shared" ca="1" si="341"/>
        <v>14</v>
      </c>
      <c r="GC98" s="15">
        <f t="shared" ca="1" si="341"/>
        <v>15</v>
      </c>
      <c r="GD98" s="15">
        <f t="shared" ca="1" si="341"/>
        <v>16</v>
      </c>
      <c r="GE98" s="15">
        <f t="shared" ca="1" si="341"/>
        <v>17</v>
      </c>
      <c r="GF98" s="15">
        <f t="shared" ca="1" si="341"/>
        <v>18</v>
      </c>
      <c r="GG98" s="15">
        <f t="shared" ca="1" si="341"/>
        <v>19</v>
      </c>
      <c r="GH98" s="15">
        <f t="shared" ca="1" si="341"/>
        <v>20</v>
      </c>
      <c r="GI98" s="15">
        <f t="shared" ca="1" si="341"/>
        <v>21</v>
      </c>
      <c r="GJ98" s="15">
        <f t="shared" ca="1" si="341"/>
        <v>22</v>
      </c>
      <c r="GK98" s="15">
        <f t="shared" ca="1" si="341"/>
        <v>23</v>
      </c>
      <c r="GL98" s="15">
        <f t="shared" ca="1" si="341"/>
        <v>24</v>
      </c>
      <c r="GM98" s="15">
        <f t="shared" ca="1" si="341"/>
        <v>25</v>
      </c>
      <c r="GN98" s="15">
        <f t="shared" ca="1" si="341"/>
        <v>26</v>
      </c>
      <c r="GO98" s="15">
        <f t="shared" ca="1" si="341"/>
        <v>27</v>
      </c>
      <c r="GP98" s="15">
        <f t="shared" ca="1" si="341"/>
        <v>28</v>
      </c>
      <c r="GQ98" s="15">
        <f t="shared" ca="1" si="341"/>
        <v>29</v>
      </c>
      <c r="GR98" s="15">
        <f t="shared" ca="1" si="341"/>
        <v>30</v>
      </c>
    </row>
    <row r="99" spans="6:200" ht="12.75" customHeight="1" x14ac:dyDescent="0.3">
      <c r="F99" s="16"/>
      <c r="G99" s="157"/>
      <c r="H99" s="57"/>
      <c r="I99" s="158" t="s">
        <v>186</v>
      </c>
      <c r="J99" s="16" t="s">
        <v>187</v>
      </c>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15">
        <f t="array" aca="1" ref="FO99" ca="1">IFERROR(IF(AND(OFFSET($E$20,$FJ98,0)="H",OFFSET(J$19,$FJ98,0)&lt;&gt;"",OFFSET($F44,$FJ98,0)&lt;&gt;"Hybrid - Thrust + 2 connections"),INDEX(Hyb_Tech,MATCH(FO98,Hyb_Code,0)),FO$72),FO$72)</f>
        <v>1</v>
      </c>
      <c r="FP99" s="15">
        <f t="array" aca="1" ref="FP99" ca="1">IFERROR(IF(AND(OFFSET($E$20,$FJ98,0)="H",OFFSET(K$19,$FJ98,0)&lt;&gt;"",OFFSET($F44,$FJ98,0)&lt;&gt;"Hybrid - Thrust + 2 connections"),INDEX(Hyb_Tech,MATCH(FP98,Hyb_Code,0)),FP$72),FP$72)</f>
        <v>2</v>
      </c>
      <c r="FQ99" s="15">
        <f t="array" aca="1" ref="FQ99" ca="1">IFERROR(IF(AND(OFFSET($E$20,$FJ98,0)="H",OFFSET(L$19,$FJ98,0)&lt;&gt;"",OFFSET($F44,$FJ98,0)&lt;&gt;"Hybrid - Thrust + 2 connections"),INDEX(Hyb_Tech,MATCH(FQ98,Hyb_Code,0)),FQ$72),FQ$72)</f>
        <v>3</v>
      </c>
      <c r="FR99" s="15">
        <f t="array" aca="1" ref="FR99" ca="1">IFERROR(IF(AND(OFFSET($E$20,$FJ98,0)="H",OFFSET(M$19,$FJ98,0)&lt;&gt;"",OFFSET($F44,$FJ98,0)&lt;&gt;"Hybrid - Thrust + 2 connections"),INDEX(Hyb_Tech,MATCH(FR98,Hyb_Code,0)),FR$72),FR$72)</f>
        <v>4</v>
      </c>
      <c r="FS99" s="15">
        <f t="array" aca="1" ref="FS99" ca="1">IFERROR(IF(AND(OFFSET($E$20,$FJ98,0)="H",OFFSET(N$19,$FJ98,0)&lt;&gt;"",OFFSET($F44,$FJ98,0)&lt;&gt;"Hybrid - Thrust + 2 connections"),INDEX(Hyb_Tech,MATCH(FS98,Hyb_Code,0)),FS$72),FS$72)</f>
        <v>5</v>
      </c>
      <c r="FT99" s="15">
        <f t="array" aca="1" ref="FT99" ca="1">IFERROR(IF(AND(OFFSET($E$20,$FJ98,0)="H",OFFSET(O$19,$FJ98,0)&lt;&gt;"",OFFSET($F44,$FJ98,0)&lt;&gt;"Hybrid - Thrust + 2 connections"),INDEX(Hyb_Tech,MATCH(OFFSET(O$19,$FJ98,0),Hyb_Code,0)),FT$72),FT$72)</f>
        <v>6</v>
      </c>
      <c r="FU99" s="15">
        <f t="array" aca="1" ref="FU99" ca="1">IFERROR(IF(AND(OFFSET($E$20,$FJ98,0)="H",OFFSET(P$19,$FJ98,0)&lt;&gt;"",OFFSET($F44,$FJ98,0)&lt;&gt;"Hybrid - Thrust + 2 connections"),INDEX(Hyb_Tech,MATCH(OFFSET(P$19,$FJ98,0),Hyb_Code,0)),FU$72),FU$72)</f>
        <v>7</v>
      </c>
      <c r="FV99" s="15">
        <f t="array" aca="1" ref="FV99" ca="1">IFERROR(IF(AND(OFFSET($E$20,$FJ98,0)="H",OFFSET(Q$19,$FJ98,0)&lt;&gt;"",OFFSET($F44,$FJ98,0)&lt;&gt;"Hybrid - Thrust + 2 connections"),INDEX(Hyb_Tech,MATCH(OFFSET(Q$19,$FJ98,0),Hyb_Code,0)),FV$72),FV$72)</f>
        <v>8</v>
      </c>
      <c r="FW99" s="15">
        <f t="array" aca="1" ref="FW99" ca="1">IFERROR(IF(AND(OFFSET($E$20,$FJ98,0)="H",OFFSET(R$19,$FJ98,0)&lt;&gt;"",OFFSET($F44,$FJ98,0)&lt;&gt;"Hybrid - Thrust + 2 connections"),INDEX(Hyb_Tech,MATCH(OFFSET(R$19,$FJ98,0),Hyb_Code,0)),FW$72),FW$72)</f>
        <v>9</v>
      </c>
      <c r="FX99" s="15">
        <f t="array" aca="1" ref="FX99" ca="1">IFERROR(IF(AND(OFFSET($E$20,$FJ98,0)="H",OFFSET(S$19,$FJ98,0)&lt;&gt;"",OFFSET($F44,$FJ98,0)&lt;&gt;"Hybrid - Thrust + 2 connections"),INDEX(Hyb_Tech,MATCH(OFFSET(S$19,$FJ98,0),Hyb_Code,0)),FX$72),FX$72)</f>
        <v>10</v>
      </c>
      <c r="FY99" s="15">
        <f t="array" aca="1" ref="FY99" ca="1">IFERROR(IF(AND(OFFSET($E$20,$FJ98,0)="H",OFFSET(T$19,$FJ98,0)&lt;&gt;"",OFFSET($F44,$FJ98,0)&lt;&gt;"Hybrid - Thrust + 2 connections"),INDEX(Hyb_Tech,MATCH(OFFSET(T$19,$FJ98,0),Hyb_Code,0)),FY$72),FY$72)</f>
        <v>11</v>
      </c>
      <c r="FZ99" s="15">
        <f t="array" aca="1" ref="FZ99" ca="1">IFERROR(IF(AND(OFFSET($E$20,$FJ98,0)="H",OFFSET(U$19,$FJ98,0)&lt;&gt;"",OFFSET($F44,$FJ98,0)&lt;&gt;"Hybrid - Thrust + 2 connections"),INDEX(Hyb_Tech,MATCH(OFFSET(U$19,$FJ98,0),Hyb_Code,0)),FZ$72),FZ$72)</f>
        <v>12</v>
      </c>
      <c r="GA99" s="15">
        <f t="array" aca="1" ref="GA99" ca="1">IFERROR(IF(AND(OFFSET($E$20,$FJ98,0)="H",OFFSET(V$19,$FJ98,0)&lt;&gt;"",OFFSET($F44,$FJ98,0)&lt;&gt;"Hybrid - Thrust + 2 connections"),INDEX(Hyb_Tech,MATCH(OFFSET(V$19,$FJ98,0),Hyb_Code,0)),GA$72),GA$72)</f>
        <v>13</v>
      </c>
      <c r="GB99" s="15">
        <f t="array" aca="1" ref="GB99" ca="1">IFERROR(IF(AND(OFFSET($E$20,$FJ98,0)="H",OFFSET(W$19,$FJ98,0)&lt;&gt;"",OFFSET($F44,$FJ98,0)&lt;&gt;"Hybrid - Thrust + 2 connections"),INDEX(Hyb_Tech,MATCH(OFFSET(W$19,$FJ98,0),Hyb_Code,0)),GB$72),GB$72)</f>
        <v>14</v>
      </c>
      <c r="GC99" s="15">
        <f t="array" aca="1" ref="GC99" ca="1">IFERROR(IF(AND(OFFSET($E$20,$FJ98,0)="H",OFFSET(X$19,$FJ98,0)&lt;&gt;"",OFFSET($F44,$FJ98,0)&lt;&gt;"Hybrid - Thrust + 2 connections"),INDEX(Hyb_Tech,MATCH(OFFSET(X$19,$FJ98,0),Hyb_Code,0)),GC$72),GC$72)</f>
        <v>15</v>
      </c>
      <c r="GD99" s="15">
        <f t="array" aca="1" ref="GD99" ca="1">IFERROR(IF(AND(OFFSET($E$20,$FJ98,0)="H",OFFSET(Y$19,$FJ98,0)&lt;&gt;"",OFFSET($F44,$FJ98,0)&lt;&gt;"Hybrid - Thrust + 2 connections"),INDEX(Hyb_Tech,MATCH(OFFSET(Y$19,$FJ98,0),Hyb_Code,0)),GD$72),GD$72)</f>
        <v>16</v>
      </c>
      <c r="GE99" s="15">
        <f t="array" aca="1" ref="GE99" ca="1">IFERROR(IF(AND(OFFSET($E$20,$FJ98,0)="H",OFFSET(Z$19,$FJ98,0)&lt;&gt;"",OFFSET($F44,$FJ98,0)&lt;&gt;"Hybrid - Thrust + 2 connections"),INDEX(Hyb_Tech,MATCH(OFFSET(Z$19,$FJ98,0),Hyb_Code,0)),GE$72),GE$72)</f>
        <v>17</v>
      </c>
      <c r="GF99" s="15">
        <f t="array" aca="1" ref="GF99" ca="1">IFERROR(IF(AND(OFFSET($E$20,$FJ98,0)="H",OFFSET(AA$19,$FJ98,0)&lt;&gt;"",OFFSET($F44,$FJ98,0)&lt;&gt;"Hybrid - Thrust + 2 connections"),INDEX(Hyb_Tech,MATCH(OFFSET(AA$19,$FJ98,0),Hyb_Code,0)),GF$72),GF$72)</f>
        <v>18</v>
      </c>
      <c r="GG99" s="15">
        <f t="array" aca="1" ref="GG99" ca="1">IFERROR(IF(AND(OFFSET($E$20,$FJ98,0)="H",OFFSET(AB$19,$FJ98,0)&lt;&gt;"",OFFSET($F44,$FJ98,0)&lt;&gt;"Hybrid - Thrust + 2 connections"),INDEX(Hyb_Tech,MATCH(OFFSET(AB$19,$FJ98,0),Hyb_Code,0)),GG$72),GG$72)</f>
        <v>19</v>
      </c>
      <c r="GH99" s="15">
        <f t="array" aca="1" ref="GH99" ca="1">IFERROR(IF(AND(OFFSET($E$20,$FJ98,0)="H",OFFSET(AC$19,$FJ98,0)&lt;&gt;"",OFFSET($F44,$FJ98,0)&lt;&gt;"Hybrid - Thrust + 2 connections"),INDEX(Hyb_Tech,MATCH(OFFSET(AC$19,$FJ98,0),Hyb_Code,0)),GH$72),GH$72)</f>
        <v>20</v>
      </c>
      <c r="GI99" s="15">
        <f t="array" aca="1" ref="GI99" ca="1">IFERROR(IF(AND(OFFSET($E$20,$FJ98,0)="H",OFFSET(AD$19,$FJ98,0)&lt;&gt;"",OFFSET($F44,$FJ98,0)&lt;&gt;"Hybrid - Thrust + 2 connections"),INDEX(Hyb_Tech,MATCH(OFFSET(AD$19,$FJ98,0),Hyb_Code,0)),GI$72),GI$72)</f>
        <v>21</v>
      </c>
      <c r="GJ99" s="15">
        <f t="array" aca="1" ref="GJ99" ca="1">IFERROR(IF(AND(OFFSET($E$20,$FJ98,0)="H",OFFSET(AE$19,$FJ98,0)&lt;&gt;"",OFFSET($F44,$FJ98,0)&lt;&gt;"Hybrid - Thrust + 2 connections"),INDEX(Hyb_Tech,MATCH(OFFSET(AE$19,$FJ98,0),Hyb_Code,0)),GJ$72),GJ$72)</f>
        <v>22</v>
      </c>
      <c r="GK99" s="15">
        <f t="array" aca="1" ref="GK99" ca="1">IFERROR(IF(AND(OFFSET($E$20,$FJ98,0)="H",OFFSET(AF$19,$FJ98,0)&lt;&gt;"",OFFSET($F44,$FJ98,0)&lt;&gt;"Hybrid - Thrust + 2 connections"),INDEX(Hyb_Tech,MATCH(OFFSET(AF$19,$FJ98,0),Hyb_Code,0)),GK$72),GK$72)</f>
        <v>23</v>
      </c>
      <c r="GL99" s="15">
        <f t="array" aca="1" ref="GL99" ca="1">IFERROR(IF(AND(OFFSET($E$20,$FJ98,0)="H",OFFSET(AG$19,$FJ98,0)&lt;&gt;"",OFFSET($F44,$FJ98,0)&lt;&gt;"Hybrid - Thrust + 2 connections"),INDEX(Hyb_Tech,MATCH(OFFSET(AG$19,$FJ98,0),Hyb_Code,0)),GL$72),GL$72)</f>
        <v>24</v>
      </c>
      <c r="GM99" s="15">
        <f t="array" aca="1" ref="GM99" ca="1">IFERROR(IF(AND(OFFSET($E$20,$FJ98,0)="H",OFFSET(AH$19,$FJ98,0)&lt;&gt;"",OFFSET($F44,$FJ98,0)&lt;&gt;"Hybrid - Thrust + 2 connections"),INDEX(Hyb_Tech,MATCH(OFFSET(AH$19,$FJ98,0),Hyb_Code,0)),GM$72),GM$72)</f>
        <v>25</v>
      </c>
      <c r="GN99" s="15">
        <f t="array" aca="1" ref="GN99" ca="1">IFERROR(IF(AND(OFFSET($E$20,$FJ98,0)="H",OFFSET(AI$19,$FJ98,0)&lt;&gt;"",OFFSET($F44,$FJ98,0)&lt;&gt;"Hybrid - Thrust + 2 connections"),INDEX(Hyb_Tech,MATCH(OFFSET(AI$19,$FJ98,0),Hyb_Code,0)),GN$72),GN$72)</f>
        <v>26</v>
      </c>
      <c r="GO99" s="15">
        <f t="array" aca="1" ref="GO99" ca="1">IFERROR(IF(AND(OFFSET($E$20,$FJ98,0)="H",OFFSET(AJ$19,$FJ98,0)&lt;&gt;"",OFFSET($F44,$FJ98,0)&lt;&gt;"Hybrid - Thrust + 2 connections"),INDEX(Hyb_Tech,MATCH(OFFSET(AJ$19,$FJ98,0),Hyb_Code,0)),GO$72),GO$72)</f>
        <v>27</v>
      </c>
      <c r="GP99" s="15">
        <f t="array" aca="1" ref="GP99" ca="1">IFERROR(IF(AND(OFFSET($E$20,$FJ98,0)="H",OFFSET(AK$19,$FJ98,0)&lt;&gt;"",OFFSET($F44,$FJ98,0)&lt;&gt;"Hybrid - Thrust + 2 connections"),INDEX(Hyb_Tech,MATCH(OFFSET(AK$19,$FJ98,0),Hyb_Code,0)),GP$72),GP$72)</f>
        <v>28</v>
      </c>
      <c r="GQ99" s="15">
        <f t="array" aca="1" ref="GQ99" ca="1">IFERROR(IF(AND(OFFSET($E$20,$FJ98,0)="H",OFFSET(AL$19,$FJ98,0)&lt;&gt;"",OFFSET($F44,$FJ98,0)&lt;&gt;"Hybrid - Thrust + 2 connections"),INDEX(Hyb_Tech,MATCH(OFFSET(AL$19,$FJ98,0),Hyb_Code,0)),GQ$72),GQ$72)</f>
        <v>29</v>
      </c>
      <c r="GR99" s="15">
        <f t="array" aca="1" ref="GR99" ca="1">IFERROR(IF(AND(OFFSET($E$20,$FJ98,0)="H",OFFSET(AM$19,$FJ98,0)&lt;&gt;"",OFFSET($F44,$FJ98,0)&lt;&gt;"Hybrid - Thrust + 2 connections"),INDEX(Hyb_Tech,MATCH(OFFSET(AM$19,$FJ98,0),Hyb_Code,0)),GR$72),GR$72)</f>
        <v>30</v>
      </c>
    </row>
    <row r="100" spans="6:200" ht="12.75" customHeight="1" x14ac:dyDescent="0.3">
      <c r="F100" s="16"/>
      <c r="G100" s="157"/>
      <c r="H100" s="57"/>
      <c r="I100" s="158" t="s">
        <v>188</v>
      </c>
      <c r="J100" s="16" t="s">
        <v>189</v>
      </c>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t="str">
        <f ca="1">IFERROR(IF(SUM($FO100:$GR100)&gt;3,OFFSET($FO$73,$FJ98*5/2,MATCH(1,FO100:GR100,0)),""),"")</f>
        <v/>
      </c>
      <c r="FN100" s="15" t="str">
        <f ca="1">IFERROR(IF(LEFT(FM100,1)="C",IF(RIGHT(FM100,1)="+",LEFT(FM100,LEN(FM100)-1),CONCATENATE(FM100,"+")),IF(SUM($FO100:$GR100)&gt;3,OFFSET($FO$73,$FJ98*5/2,MATCH(0.5,FO100:GR100,0)),"")),"")</f>
        <v/>
      </c>
      <c r="FO100" s="15" t="str">
        <f t="array" aca="1" ref="FO100" ca="1">IF(COUNTIF($FO99:$GR99,FO99)&gt;3,INDEX(Hyb_Tech_Value,MATCH(FO98,Hyb_Code,0)),"")</f>
        <v/>
      </c>
      <c r="FP100" s="15" t="str">
        <f t="array" aca="1" ref="FP100" ca="1">IF(COUNTIF($FO99:$GR99,FP99)&gt;3,INDEX(Hyb_Tech_Value,MATCH(FP98,Hyb_Code,0)),"")</f>
        <v/>
      </c>
      <c r="FQ100" s="15" t="str">
        <f t="array" aca="1" ref="FQ100" ca="1">IF(COUNTIF($FO99:$GR99,FQ99)&gt;3,INDEX(Hyb_Tech_Value,MATCH(FQ98,Hyb_Code,0)),"")</f>
        <v/>
      </c>
      <c r="FR100" s="15" t="str">
        <f t="array" aca="1" ref="FR100" ca="1">IF(COUNTIF($FO99:$GR99,FR99)&gt;3,INDEX(Hyb_Tech_Value,MATCH(FR98,Hyb_Code,0)),"")</f>
        <v/>
      </c>
      <c r="FS100" s="15" t="str">
        <f t="array" aca="1" ref="FS100" ca="1">IF(COUNTIF($FO99:$GR99,FS99)&gt;3,INDEX(Hyb_Tech_Value,MATCH(FS98,Hyb_Code,0)),"")</f>
        <v/>
      </c>
      <c r="FT100" s="15" t="str">
        <f t="array" aca="1" ref="FT100" ca="1">IF(COUNTIF($FO99:$GR99,FT99)&gt;3,INDEX(Hyb_Tech_Value,MATCH(FT98,Hyb_Code,0)),"")</f>
        <v/>
      </c>
      <c r="FU100" s="15" t="str">
        <f t="array" aca="1" ref="FU100" ca="1">IF(COUNTIF($FO99:$GR99,FU99)&gt;3,INDEX(Hyb_Tech_Value,MATCH(FU98,Hyb_Code,0)),"")</f>
        <v/>
      </c>
      <c r="FV100" s="15" t="str">
        <f t="array" aca="1" ref="FV100" ca="1">IF(COUNTIF($FO99:$GR99,FV99)&gt;3,INDEX(Hyb_Tech_Value,MATCH(FV98,Hyb_Code,0)),"")</f>
        <v/>
      </c>
      <c r="FW100" s="15" t="str">
        <f t="array" aca="1" ref="FW100" ca="1">IF(COUNTIF($FO99:$GR99,FW99)&gt;3,INDEX(Hyb_Tech_Value,MATCH(FW98,Hyb_Code,0)),"")</f>
        <v/>
      </c>
      <c r="FX100" s="15" t="str">
        <f t="array" aca="1" ref="FX100" ca="1">IF(COUNTIF($FO99:$GR99,FX99)&gt;3,INDEX(Hyb_Tech_Value,MATCH(FX98,Hyb_Code,0)),"")</f>
        <v/>
      </c>
      <c r="FY100" s="15" t="str">
        <f t="array" aca="1" ref="FY100" ca="1">IF(COUNTIF($FO99:$GR99,FY99)&gt;3,INDEX(Hyb_Tech_Value,MATCH(FY98,Hyb_Code,0)),"")</f>
        <v/>
      </c>
      <c r="FZ100" s="15" t="str">
        <f t="array" aca="1" ref="FZ100" ca="1">IF(COUNTIF($FO99:$GR99,FZ99)&gt;3,INDEX(Hyb_Tech_Value,MATCH(FZ98,Hyb_Code,0)),"")</f>
        <v/>
      </c>
      <c r="GA100" s="15" t="str">
        <f t="array" aca="1" ref="GA100" ca="1">IF(COUNTIF($FO99:$GR99,GA99)&gt;3,INDEX(Hyb_Tech_Value,MATCH(GA98,Hyb_Code,0)),"")</f>
        <v/>
      </c>
      <c r="GB100" s="15" t="str">
        <f t="array" aca="1" ref="GB100" ca="1">IF(COUNTIF($FO99:$GR99,GB99)&gt;3,INDEX(Hyb_Tech_Value,MATCH(GB98,Hyb_Code,0)),"")</f>
        <v/>
      </c>
      <c r="GC100" s="15" t="str">
        <f t="array" aca="1" ref="GC100" ca="1">IF(COUNTIF($FO99:$GR99,GC99)&gt;3,INDEX(Hyb_Tech_Value,MATCH(GC98,Hyb_Code,0)),"")</f>
        <v/>
      </c>
      <c r="GD100" s="15" t="str">
        <f t="array" aca="1" ref="GD100" ca="1">IF(COUNTIF($FO99:$GR99,GD99)&gt;3,INDEX(Hyb_Tech_Value,MATCH(GD98,Hyb_Code,0)),"")</f>
        <v/>
      </c>
      <c r="GE100" s="15" t="str">
        <f t="array" aca="1" ref="GE100" ca="1">IF(COUNTIF($FO99:$GR99,GE99)&gt;3,INDEX(Hyb_Tech_Value,MATCH(GE98,Hyb_Code,0)),"")</f>
        <v/>
      </c>
      <c r="GF100" s="15" t="str">
        <f t="array" aca="1" ref="GF100" ca="1">IF(COUNTIF($FO99:$GR99,GF99)&gt;3,INDEX(Hyb_Tech_Value,MATCH(GF98,Hyb_Code,0)),"")</f>
        <v/>
      </c>
      <c r="GG100" s="15" t="str">
        <f t="array" aca="1" ref="GG100" ca="1">IF(COUNTIF($FO99:$GR99,GG99)&gt;3,INDEX(Hyb_Tech_Value,MATCH(GG98,Hyb_Code,0)),"")</f>
        <v/>
      </c>
      <c r="GH100" s="15" t="str">
        <f t="array" aca="1" ref="GH100" ca="1">IF(COUNTIF($FO99:$GR99,GH99)&gt;3,INDEX(Hyb_Tech_Value,MATCH(GH98,Hyb_Code,0)),"")</f>
        <v/>
      </c>
      <c r="GI100" s="15" t="str">
        <f t="array" aca="1" ref="GI100" ca="1">IF(COUNTIF($FO99:$GR99,GI99)&gt;3,INDEX(Hyb_Tech_Value,MATCH(GI98,Hyb_Code,0)),"")</f>
        <v/>
      </c>
      <c r="GJ100" s="15" t="str">
        <f t="array" aca="1" ref="GJ100" ca="1">IF(COUNTIF($FO99:$GR99,GJ99)&gt;3,INDEX(Hyb_Tech_Value,MATCH(GJ98,Hyb_Code,0)),"")</f>
        <v/>
      </c>
      <c r="GK100" s="15" t="str">
        <f t="array" aca="1" ref="GK100" ca="1">IF(COUNTIF($FO99:$GR99,GK99)&gt;3,INDEX(Hyb_Tech_Value,MATCH(GK98,Hyb_Code,0)),"")</f>
        <v/>
      </c>
      <c r="GL100" s="15" t="str">
        <f t="array" aca="1" ref="GL100" ca="1">IF(COUNTIF($FO99:$GR99,GL99)&gt;3,INDEX(Hyb_Tech_Value,MATCH(GL98,Hyb_Code,0)),"")</f>
        <v/>
      </c>
      <c r="GM100" s="15" t="str">
        <f t="array" aca="1" ref="GM100" ca="1">IF(COUNTIF($FO99:$GR99,GM99)&gt;3,INDEX(Hyb_Tech_Value,MATCH(GM98,Hyb_Code,0)),"")</f>
        <v/>
      </c>
      <c r="GN100" s="15" t="str">
        <f t="array" aca="1" ref="GN100" ca="1">IF(COUNTIF($FO99:$GR99,GN99)&gt;3,INDEX(Hyb_Tech_Value,MATCH(GN98,Hyb_Code,0)),"")</f>
        <v/>
      </c>
      <c r="GO100" s="15" t="str">
        <f t="array" aca="1" ref="GO100" ca="1">IF(COUNTIF($FO99:$GR99,GO99)&gt;3,INDEX(Hyb_Tech_Value,MATCH(GO98,Hyb_Code,0)),"")</f>
        <v/>
      </c>
      <c r="GP100" s="15" t="str">
        <f t="array" aca="1" ref="GP100" ca="1">IF(COUNTIF($FO99:$GR99,GP99)&gt;3,INDEX(Hyb_Tech_Value,MATCH(GP98,Hyb_Code,0)),"")</f>
        <v/>
      </c>
      <c r="GQ100" s="15" t="str">
        <f t="array" aca="1" ref="GQ100" ca="1">IF(COUNTIF($FO99:$GR99,GQ99)&gt;3,INDEX(Hyb_Tech_Value,MATCH(GQ98,Hyb_Code,0)),"")</f>
        <v/>
      </c>
      <c r="GR100" s="15" t="str">
        <f t="array" aca="1" ref="GR100" ca="1">IF(COUNTIF($FO99:$GR99,GR99)&gt;3,INDEX(Hyb_Tech_Value,MATCH(GR98,Hyb_Code,0)),"")</f>
        <v/>
      </c>
    </row>
    <row r="101" spans="6:200" ht="12.75" customHeight="1" x14ac:dyDescent="0.3">
      <c r="F101" s="16"/>
      <c r="G101" s="267">
        <v>45594</v>
      </c>
      <c r="H101" s="245"/>
      <c r="I101" s="158" t="s">
        <v>190</v>
      </c>
      <c r="J101" s="16" t="s">
        <v>191</v>
      </c>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row>
    <row r="102" spans="6:200" ht="12.75" customHeight="1" x14ac:dyDescent="0.3">
      <c r="F102" s="16"/>
      <c r="G102" s="267">
        <v>45601</v>
      </c>
      <c r="H102" s="245"/>
      <c r="I102" s="158" t="s">
        <v>192</v>
      </c>
      <c r="J102" s="16" t="s">
        <v>193</v>
      </c>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row>
    <row r="103" spans="6:200" ht="12.75" customHeight="1" x14ac:dyDescent="0.3">
      <c r="F103" s="16"/>
      <c r="G103" s="267">
        <v>45602</v>
      </c>
      <c r="H103" s="245"/>
      <c r="I103" s="158" t="s">
        <v>194</v>
      </c>
      <c r="J103" s="16" t="s">
        <v>195</v>
      </c>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v>12</v>
      </c>
      <c r="FK103" s="5"/>
      <c r="FL103" s="5"/>
      <c r="FM103" s="15"/>
      <c r="FN103" s="15"/>
      <c r="FO103" s="15">
        <f t="shared" ref="FO103:GR103" ca="1" si="342">IFERROR(IF(AND(OFFSET($E$20,$FJ103,0)="H",OFFSET(J$19,$FJ103,0)&lt;&gt;""),UPPER(OFFSET(J$19,$FJ103,0)),FO$18),FO$18)</f>
        <v>1</v>
      </c>
      <c r="FP103" s="15">
        <f t="shared" ca="1" si="342"/>
        <v>2</v>
      </c>
      <c r="FQ103" s="15">
        <f t="shared" ca="1" si="342"/>
        <v>3</v>
      </c>
      <c r="FR103" s="15">
        <f t="shared" ca="1" si="342"/>
        <v>4</v>
      </c>
      <c r="FS103" s="15">
        <f t="shared" ca="1" si="342"/>
        <v>5</v>
      </c>
      <c r="FT103" s="15">
        <f t="shared" ca="1" si="342"/>
        <v>6</v>
      </c>
      <c r="FU103" s="15">
        <f t="shared" ca="1" si="342"/>
        <v>7</v>
      </c>
      <c r="FV103" s="15">
        <f t="shared" ca="1" si="342"/>
        <v>8</v>
      </c>
      <c r="FW103" s="15">
        <f t="shared" ca="1" si="342"/>
        <v>9</v>
      </c>
      <c r="FX103" s="15">
        <f t="shared" ca="1" si="342"/>
        <v>10</v>
      </c>
      <c r="FY103" s="15">
        <f t="shared" ca="1" si="342"/>
        <v>11</v>
      </c>
      <c r="FZ103" s="15">
        <f t="shared" ca="1" si="342"/>
        <v>12</v>
      </c>
      <c r="GA103" s="15">
        <f t="shared" ca="1" si="342"/>
        <v>13</v>
      </c>
      <c r="GB103" s="15">
        <f t="shared" ca="1" si="342"/>
        <v>14</v>
      </c>
      <c r="GC103" s="15">
        <f t="shared" ca="1" si="342"/>
        <v>15</v>
      </c>
      <c r="GD103" s="15">
        <f t="shared" ca="1" si="342"/>
        <v>16</v>
      </c>
      <c r="GE103" s="15">
        <f t="shared" ca="1" si="342"/>
        <v>17</v>
      </c>
      <c r="GF103" s="15">
        <f t="shared" ca="1" si="342"/>
        <v>18</v>
      </c>
      <c r="GG103" s="15">
        <f t="shared" ca="1" si="342"/>
        <v>19</v>
      </c>
      <c r="GH103" s="15">
        <f t="shared" ca="1" si="342"/>
        <v>20</v>
      </c>
      <c r="GI103" s="15">
        <f t="shared" ca="1" si="342"/>
        <v>21</v>
      </c>
      <c r="GJ103" s="15">
        <f t="shared" ca="1" si="342"/>
        <v>22</v>
      </c>
      <c r="GK103" s="15">
        <f t="shared" ca="1" si="342"/>
        <v>23</v>
      </c>
      <c r="GL103" s="15">
        <f t="shared" ca="1" si="342"/>
        <v>24</v>
      </c>
      <c r="GM103" s="15">
        <f t="shared" ca="1" si="342"/>
        <v>25</v>
      </c>
      <c r="GN103" s="15">
        <f t="shared" ca="1" si="342"/>
        <v>26</v>
      </c>
      <c r="GO103" s="15">
        <f t="shared" ca="1" si="342"/>
        <v>27</v>
      </c>
      <c r="GP103" s="15">
        <f t="shared" ca="1" si="342"/>
        <v>28</v>
      </c>
      <c r="GQ103" s="15">
        <f t="shared" ca="1" si="342"/>
        <v>29</v>
      </c>
      <c r="GR103" s="15">
        <f t="shared" ca="1" si="342"/>
        <v>30</v>
      </c>
    </row>
    <row r="104" spans="6:200" ht="12.75" customHeight="1" x14ac:dyDescent="0.3">
      <c r="F104" s="16"/>
      <c r="G104" s="267">
        <v>45606</v>
      </c>
      <c r="H104" s="245"/>
      <c r="I104" s="158" t="s">
        <v>196</v>
      </c>
      <c r="J104" s="16" t="s">
        <v>197</v>
      </c>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15">
        <f t="array" aca="1" ref="FO104" ca="1">IFERROR(IF(AND(OFFSET($E$20,$FJ103,0)="H",OFFSET(J$19,$FJ103,0)&lt;&gt;"",OFFSET($F49,$FJ103,0)&lt;&gt;"Hybrid - Thrust + 2 connections"),INDEX(Hyb_Tech,MATCH(OFFSET(J$19,$FJ103,0),Hyb_Code,0)),FO$72),FO$72)</f>
        <v>1</v>
      </c>
      <c r="FP104" s="15">
        <f t="array" aca="1" ref="FP104" ca="1">IFERROR(IF(AND(OFFSET($E$20,$FJ103,0)="H",OFFSET(K$19,$FJ103,0)&lt;&gt;"",OFFSET($F49,$FJ103,0)&lt;&gt;"Hybrid - Thrust + 2 connections"),INDEX(Hyb_Tech,MATCH(OFFSET(K$19,$FJ103,0),Hyb_Code,0)),FP$72),FP$72)</f>
        <v>2</v>
      </c>
      <c r="FQ104" s="15">
        <f t="array" aca="1" ref="FQ104" ca="1">IFERROR(IF(AND(OFFSET($E$20,$FJ103,0)="H",OFFSET(L$19,$FJ103,0)&lt;&gt;"",OFFSET($F49,$FJ103,0)&lt;&gt;"Hybrid - Thrust + 2 connections"),INDEX(Hyb_Tech,MATCH(OFFSET(L$19,$FJ103,0),Hyb_Code,0)),FQ$72),FQ$72)</f>
        <v>3</v>
      </c>
      <c r="FR104" s="15">
        <f t="array" aca="1" ref="FR104" ca="1">IFERROR(IF(AND(OFFSET($E$20,$FJ103,0)="H",OFFSET(M$19,$FJ103,0)&lt;&gt;"",OFFSET($F49,$FJ103,0)&lt;&gt;"Hybrid - Thrust + 2 connections"),INDEX(Hyb_Tech,MATCH(OFFSET(M$19,$FJ103,0),Hyb_Code,0)),FR$72),FR$72)</f>
        <v>4</v>
      </c>
      <c r="FS104" s="15">
        <f t="array" aca="1" ref="FS104" ca="1">IFERROR(IF(AND(OFFSET($E$20,$FJ103,0)="H",OFFSET(N$19,$FJ103,0)&lt;&gt;"",OFFSET($F49,$FJ103,0)&lt;&gt;"Hybrid - Thrust + 2 connections"),INDEX(Hyb_Tech,MATCH(OFFSET(N$19,$FJ103,0),Hyb_Code,0)),FS$72),FS$72)</f>
        <v>5</v>
      </c>
      <c r="FT104" s="15">
        <f t="array" aca="1" ref="FT104" ca="1">IFERROR(IF(AND(OFFSET($E$20,$FJ103,0)="H",OFFSET(O$19,$FJ103,0)&lt;&gt;"",OFFSET($F49,$FJ103,0)&lt;&gt;"Hybrid - Thrust + 2 connections"),INDEX(Hyb_Tech,MATCH(OFFSET(O$19,$FJ103,0),Hyb_Code,0)),FT$72),FT$72)</f>
        <v>6</v>
      </c>
      <c r="FU104" s="15">
        <f t="array" aca="1" ref="FU104" ca="1">IFERROR(IF(AND(OFFSET($E$20,$FJ103,0)="H",OFFSET(P$19,$FJ103,0)&lt;&gt;"",OFFSET($F49,$FJ103,0)&lt;&gt;"Hybrid - Thrust + 2 connections"),INDEX(Hyb_Tech,MATCH(OFFSET(P$19,$FJ103,0),Hyb_Code,0)),FU$72),FU$72)</f>
        <v>7</v>
      </c>
      <c r="FV104" s="15">
        <f t="array" aca="1" ref="FV104" ca="1">IFERROR(IF(AND(OFFSET($E$20,$FJ103,0)="H",OFFSET(Q$19,$FJ103,0)&lt;&gt;"",OFFSET($F49,$FJ103,0)&lt;&gt;"Hybrid - Thrust + 2 connections"),INDEX(Hyb_Tech,MATCH(OFFSET(Q$19,$FJ103,0),Hyb_Code,0)),FV$72),FV$72)</f>
        <v>8</v>
      </c>
      <c r="FW104" s="15">
        <f t="array" aca="1" ref="FW104" ca="1">IFERROR(IF(AND(OFFSET($E$20,$FJ103,0)="H",OFFSET(R$19,$FJ103,0)&lt;&gt;"",OFFSET($F49,$FJ103,0)&lt;&gt;"Hybrid - Thrust + 2 connections"),INDEX(Hyb_Tech,MATCH(OFFSET(R$19,$FJ103,0),Hyb_Code,0)),FW$72),FW$72)</f>
        <v>9</v>
      </c>
      <c r="FX104" s="15">
        <f t="array" aca="1" ref="FX104" ca="1">IFERROR(IF(AND(OFFSET($E$20,$FJ103,0)="H",OFFSET(S$19,$FJ103,0)&lt;&gt;"",OFFSET($F49,$FJ103,0)&lt;&gt;"Hybrid - Thrust + 2 connections"),INDEX(Hyb_Tech,MATCH(OFFSET(S$19,$FJ103,0),Hyb_Code,0)),FX$72),FX$72)</f>
        <v>10</v>
      </c>
      <c r="FY104" s="15">
        <f t="array" aca="1" ref="FY104" ca="1">IFERROR(IF(AND(OFFSET($E$20,$FJ103,0)="H",OFFSET(T$19,$FJ103,0)&lt;&gt;"",OFFSET($F49,$FJ103,0)&lt;&gt;"Hybrid - Thrust + 2 connections"),INDEX(Hyb_Tech,MATCH(OFFSET(T$19,$FJ103,0),Hyb_Code,0)),FY$72),FY$72)</f>
        <v>11</v>
      </c>
      <c r="FZ104" s="15">
        <f t="array" aca="1" ref="FZ104" ca="1">IFERROR(IF(AND(OFFSET($E$20,$FJ103,0)="H",OFFSET(U$19,$FJ103,0)&lt;&gt;"",OFFSET($F49,$FJ103,0)&lt;&gt;"Hybrid - Thrust + 2 connections"),INDEX(Hyb_Tech,MATCH(OFFSET(U$19,$FJ103,0),Hyb_Code,0)),FZ$72),FZ$72)</f>
        <v>12</v>
      </c>
      <c r="GA104" s="15">
        <f t="array" aca="1" ref="GA104" ca="1">IFERROR(IF(AND(OFFSET($E$20,$FJ103,0)="H",OFFSET(V$19,$FJ103,0)&lt;&gt;"",OFFSET($F49,$FJ103,0)&lt;&gt;"Hybrid - Thrust + 2 connections"),INDEX(Hyb_Tech,MATCH(OFFSET(V$19,$FJ103,0),Hyb_Code,0)),GA$72),GA$72)</f>
        <v>13</v>
      </c>
      <c r="GB104" s="15">
        <f t="array" aca="1" ref="GB104" ca="1">IFERROR(IF(AND(OFFSET($E$20,$FJ103,0)="H",OFFSET(W$19,$FJ103,0)&lt;&gt;"",OFFSET($F49,$FJ103,0)&lt;&gt;"Hybrid - Thrust + 2 connections"),INDEX(Hyb_Tech,MATCH(OFFSET(W$19,$FJ103,0),Hyb_Code,0)),GB$72),GB$72)</f>
        <v>14</v>
      </c>
      <c r="GC104" s="15">
        <f t="array" aca="1" ref="GC104" ca="1">IFERROR(IF(AND(OFFSET($E$20,$FJ103,0)="H",OFFSET(X$19,$FJ103,0)&lt;&gt;"",OFFSET($F49,$FJ103,0)&lt;&gt;"Hybrid - Thrust + 2 connections"),INDEX(Hyb_Tech,MATCH(OFFSET(X$19,$FJ103,0),Hyb_Code,0)),GC$72),GC$72)</f>
        <v>15</v>
      </c>
      <c r="GD104" s="15">
        <f t="array" aca="1" ref="GD104" ca="1">IFERROR(IF(AND(OFFSET($E$20,$FJ103,0)="H",OFFSET(Y$19,$FJ103,0)&lt;&gt;"",OFFSET($F49,$FJ103,0)&lt;&gt;"Hybrid - Thrust + 2 connections"),INDEX(Hyb_Tech,MATCH(OFFSET(Y$19,$FJ103,0),Hyb_Code,0)),GD$72),GD$72)</f>
        <v>16</v>
      </c>
      <c r="GE104" s="15">
        <f t="array" aca="1" ref="GE104" ca="1">IFERROR(IF(AND(OFFSET($E$20,$FJ103,0)="H",OFFSET(Z$19,$FJ103,0)&lt;&gt;"",OFFSET($F49,$FJ103,0)&lt;&gt;"Hybrid - Thrust + 2 connections"),INDEX(Hyb_Tech,MATCH(OFFSET(Z$19,$FJ103,0),Hyb_Code,0)),GE$72),GE$72)</f>
        <v>17</v>
      </c>
      <c r="GF104" s="15">
        <f t="array" aca="1" ref="GF104" ca="1">IFERROR(IF(AND(OFFSET($E$20,$FJ103,0)="H",OFFSET(AA$19,$FJ103,0)&lt;&gt;"",OFFSET($F49,$FJ103,0)&lt;&gt;"Hybrid - Thrust + 2 connections"),INDEX(Hyb_Tech,MATCH(OFFSET(AA$19,$FJ103,0),Hyb_Code,0)),GF$72),GF$72)</f>
        <v>18</v>
      </c>
      <c r="GG104" s="15">
        <f t="array" aca="1" ref="GG104" ca="1">IFERROR(IF(AND(OFFSET($E$20,$FJ103,0)="H",OFFSET(AB$19,$FJ103,0)&lt;&gt;"",OFFSET($F49,$FJ103,0)&lt;&gt;"Hybrid - Thrust + 2 connections"),INDEX(Hyb_Tech,MATCH(OFFSET(AB$19,$FJ103,0),Hyb_Code,0)),GG$72),GG$72)</f>
        <v>19</v>
      </c>
      <c r="GH104" s="15">
        <f t="array" aca="1" ref="GH104" ca="1">IFERROR(IF(AND(OFFSET($E$20,$FJ103,0)="H",OFFSET(AC$19,$FJ103,0)&lt;&gt;"",OFFSET($F49,$FJ103,0)&lt;&gt;"Hybrid - Thrust + 2 connections"),INDEX(Hyb_Tech,MATCH(OFFSET(AC$19,$FJ103,0),Hyb_Code,0)),GH$72),GH$72)</f>
        <v>20</v>
      </c>
      <c r="GI104" s="15">
        <f t="array" aca="1" ref="GI104" ca="1">IFERROR(IF(AND(OFFSET($E$20,$FJ103,0)="H",OFFSET(AD$19,$FJ103,0)&lt;&gt;"",OFFSET($F49,$FJ103,0)&lt;&gt;"Hybrid - Thrust + 2 connections"),INDEX(Hyb_Tech,MATCH(OFFSET(AD$19,$FJ103,0),Hyb_Code,0)),GI$72),GI$72)</f>
        <v>21</v>
      </c>
      <c r="GJ104" s="15">
        <f t="array" aca="1" ref="GJ104" ca="1">IFERROR(IF(AND(OFFSET($E$20,$FJ103,0)="H",OFFSET(AE$19,$FJ103,0)&lt;&gt;"",OFFSET($F49,$FJ103,0)&lt;&gt;"Hybrid - Thrust + 2 connections"),INDEX(Hyb_Tech,MATCH(OFFSET(AE$19,$FJ103,0),Hyb_Code,0)),GJ$72),GJ$72)</f>
        <v>22</v>
      </c>
      <c r="GK104" s="15">
        <f t="array" aca="1" ref="GK104" ca="1">IFERROR(IF(AND(OFFSET($E$20,$FJ103,0)="H",OFFSET(AF$19,$FJ103,0)&lt;&gt;"",OFFSET($F49,$FJ103,0)&lt;&gt;"Hybrid - Thrust + 2 connections"),INDEX(Hyb_Tech,MATCH(OFFSET(AF$19,$FJ103,0),Hyb_Code,0)),GK$72),GK$72)</f>
        <v>23</v>
      </c>
      <c r="GL104" s="15">
        <f t="array" aca="1" ref="GL104" ca="1">IFERROR(IF(AND(OFFSET($E$20,$FJ103,0)="H",OFFSET(AG$19,$FJ103,0)&lt;&gt;"",OFFSET($F49,$FJ103,0)&lt;&gt;"Hybrid - Thrust + 2 connections"),INDEX(Hyb_Tech,MATCH(OFFSET(AG$19,$FJ103,0),Hyb_Code,0)),GL$72),GL$72)</f>
        <v>24</v>
      </c>
      <c r="GM104" s="15">
        <f t="array" aca="1" ref="GM104" ca="1">IFERROR(IF(AND(OFFSET($E$20,$FJ103,0)="H",OFFSET(AH$19,$FJ103,0)&lt;&gt;"",OFFSET($F49,$FJ103,0)&lt;&gt;"Hybrid - Thrust + 2 connections"),INDEX(Hyb_Tech,MATCH(OFFSET(AH$19,$FJ103,0),Hyb_Code,0)),GM$72),GM$72)</f>
        <v>25</v>
      </c>
      <c r="GN104" s="15">
        <f t="array" aca="1" ref="GN104" ca="1">IFERROR(IF(AND(OFFSET($E$20,$FJ103,0)="H",OFFSET(AI$19,$FJ103,0)&lt;&gt;"",OFFSET($F49,$FJ103,0)&lt;&gt;"Hybrid - Thrust + 2 connections"),INDEX(Hyb_Tech,MATCH(OFFSET(AI$19,$FJ103,0),Hyb_Code,0)),GN$72),GN$72)</f>
        <v>26</v>
      </c>
      <c r="GO104" s="15">
        <f t="array" aca="1" ref="GO104" ca="1">IFERROR(IF(AND(OFFSET($E$20,$FJ103,0)="H",OFFSET(AJ$19,$FJ103,0)&lt;&gt;"",OFFSET($F49,$FJ103,0)&lt;&gt;"Hybrid - Thrust + 2 connections"),INDEX(Hyb_Tech,MATCH(OFFSET(AJ$19,$FJ103,0),Hyb_Code,0)),GO$72),GO$72)</f>
        <v>27</v>
      </c>
      <c r="GP104" s="15">
        <f t="array" aca="1" ref="GP104" ca="1">IFERROR(IF(AND(OFFSET($E$20,$FJ103,0)="H",OFFSET(AK$19,$FJ103,0)&lt;&gt;"",OFFSET($F49,$FJ103,0)&lt;&gt;"Hybrid - Thrust + 2 connections"),INDEX(Hyb_Tech,MATCH(OFFSET(AK$19,$FJ103,0),Hyb_Code,0)),GP$72),GP$72)</f>
        <v>28</v>
      </c>
      <c r="GQ104" s="15">
        <f t="array" aca="1" ref="GQ104" ca="1">IFERROR(IF(AND(OFFSET($E$20,$FJ103,0)="H",OFFSET(AL$19,$FJ103,0)&lt;&gt;"",OFFSET($F49,$FJ103,0)&lt;&gt;"Hybrid - Thrust + 2 connections"),INDEX(Hyb_Tech,MATCH(OFFSET(AL$19,$FJ103,0),Hyb_Code,0)),GQ$72),GQ$72)</f>
        <v>29</v>
      </c>
      <c r="GR104" s="15">
        <f t="array" aca="1" ref="GR104" ca="1">IFERROR(IF(AND(OFFSET($E$20,$FJ103,0)="H",OFFSET(AM$19,$FJ103,0)&lt;&gt;"",OFFSET($F49,$FJ103,0)&lt;&gt;"Hybrid - Thrust + 2 connections"),INDEX(Hyb_Tech,MATCH(OFFSET(AM$19,$FJ103,0),Hyb_Code,0)),GR$72),GR$72)</f>
        <v>30</v>
      </c>
    </row>
    <row r="105" spans="6:200" ht="12.75" customHeight="1" x14ac:dyDescent="0.3">
      <c r="F105" s="16"/>
      <c r="G105" s="267">
        <v>45607</v>
      </c>
      <c r="H105" s="245"/>
      <c r="I105" s="158" t="s">
        <v>198</v>
      </c>
      <c r="J105" s="16" t="s">
        <v>199</v>
      </c>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t="str">
        <f ca="1">IFERROR(IF(SUM($FO105:$GR105)&gt;3,OFFSET($FO$73,$FJ103*5/2,MATCH(1,FO105:GR105,0)),""),"")</f>
        <v/>
      </c>
      <c r="FN105" s="15" t="str">
        <f ca="1">IFERROR(IF(LEFT(FM105,1)="C",IF(RIGHT(FM105,1)="+",LEFT(FM105,LEN(FM105)-1),CONCATENATE(FM105,"+")),IF(SUM($FO105:$GR105)&gt;3,OFFSET($FO$73,$FJ103*5/2,MATCH(0.5,FO105:GR105,0)),"")),"")</f>
        <v/>
      </c>
      <c r="FO105" s="15" t="str">
        <f t="array" aca="1" ref="FO105" ca="1">IF(COUNTIF($FO104:$GR104,FO104)&gt;3,INDEX(Hyb_Tech_Value,MATCH(FO103,Hyb_Code,0)),"")</f>
        <v/>
      </c>
      <c r="FP105" s="15" t="str">
        <f t="array" aca="1" ref="FP105" ca="1">IF(COUNTIF($FO104:$GR104,FP104)&gt;3,INDEX(Hyb_Tech_Value,MATCH(FP103,Hyb_Code,0)),"")</f>
        <v/>
      </c>
      <c r="FQ105" s="15" t="str">
        <f t="array" aca="1" ref="FQ105" ca="1">IF(COUNTIF($FO104:$GR104,FQ104)&gt;3,INDEX(Hyb_Tech_Value,MATCH(FQ103,Hyb_Code,0)),"")</f>
        <v/>
      </c>
      <c r="FR105" s="15" t="str">
        <f t="array" aca="1" ref="FR105" ca="1">IF(COUNTIF($FO104:$GR104,FR104)&gt;3,INDEX(Hyb_Tech_Value,MATCH(FR103,Hyb_Code,0)),"")</f>
        <v/>
      </c>
      <c r="FS105" s="15" t="str">
        <f t="array" aca="1" ref="FS105" ca="1">IF(COUNTIF($FO104:$GR104,FS104)&gt;3,INDEX(Hyb_Tech_Value,MATCH(FS103,Hyb_Code,0)),"")</f>
        <v/>
      </c>
      <c r="FT105" s="15" t="str">
        <f t="array" aca="1" ref="FT105" ca="1">IF(COUNTIF($FO104:$GR104,FT104)&gt;3,INDEX(Hyb_Tech_Value,MATCH(FT103,Hyb_Code,0)),"")</f>
        <v/>
      </c>
      <c r="FU105" s="15" t="str">
        <f t="array" aca="1" ref="FU105" ca="1">IF(COUNTIF($FO104:$GR104,FU104)&gt;3,INDEX(Hyb_Tech_Value,MATCH(FU103,Hyb_Code,0)),"")</f>
        <v/>
      </c>
      <c r="FV105" s="15" t="str">
        <f t="array" aca="1" ref="FV105" ca="1">IF(COUNTIF($FO104:$GR104,FV104)&gt;3,INDEX(Hyb_Tech_Value,MATCH(FV103,Hyb_Code,0)),"")</f>
        <v/>
      </c>
      <c r="FW105" s="15" t="str">
        <f t="array" aca="1" ref="FW105" ca="1">IF(COUNTIF($FO104:$GR104,FW104)&gt;3,INDEX(Hyb_Tech_Value,MATCH(FW103,Hyb_Code,0)),"")</f>
        <v/>
      </c>
      <c r="FX105" s="15" t="str">
        <f t="array" aca="1" ref="FX105" ca="1">IF(COUNTIF($FO104:$GR104,FX104)&gt;3,INDEX(Hyb_Tech_Value,MATCH(FX103,Hyb_Code,0)),"")</f>
        <v/>
      </c>
      <c r="FY105" s="15" t="str">
        <f t="array" aca="1" ref="FY105" ca="1">IF(COUNTIF($FO104:$GR104,FY104)&gt;3,INDEX(Hyb_Tech_Value,MATCH(FY103,Hyb_Code,0)),"")</f>
        <v/>
      </c>
      <c r="FZ105" s="15" t="str">
        <f t="array" aca="1" ref="FZ105" ca="1">IF(COUNTIF($FO104:$GR104,FZ104)&gt;3,INDEX(Hyb_Tech_Value,MATCH(FZ103,Hyb_Code,0)),"")</f>
        <v/>
      </c>
      <c r="GA105" s="15" t="str">
        <f t="array" aca="1" ref="GA105" ca="1">IF(COUNTIF($FO104:$GR104,GA104)&gt;3,INDEX(Hyb_Tech_Value,MATCH(GA103,Hyb_Code,0)),"")</f>
        <v/>
      </c>
      <c r="GB105" s="15" t="str">
        <f t="array" aca="1" ref="GB105" ca="1">IF(COUNTIF($FO104:$GR104,GB104)&gt;3,INDEX(Hyb_Tech_Value,MATCH(GB103,Hyb_Code,0)),"")</f>
        <v/>
      </c>
      <c r="GC105" s="15" t="str">
        <f t="array" aca="1" ref="GC105" ca="1">IF(COUNTIF($FO104:$GR104,GC104)&gt;3,INDEX(Hyb_Tech_Value,MATCH(GC103,Hyb_Code,0)),"")</f>
        <v/>
      </c>
      <c r="GD105" s="15" t="str">
        <f t="array" aca="1" ref="GD105" ca="1">IF(COUNTIF($FO104:$GR104,GD104)&gt;3,INDEX(Hyb_Tech_Value,MATCH(GD103,Hyb_Code,0)),"")</f>
        <v/>
      </c>
      <c r="GE105" s="15" t="str">
        <f t="array" aca="1" ref="GE105" ca="1">IF(COUNTIF($FO104:$GR104,GE104)&gt;3,INDEX(Hyb_Tech_Value,MATCH(GE103,Hyb_Code,0)),"")</f>
        <v/>
      </c>
      <c r="GF105" s="15" t="str">
        <f t="array" aca="1" ref="GF105" ca="1">IF(COUNTIF($FO104:$GR104,GF104)&gt;3,INDEX(Hyb_Tech_Value,MATCH(GF103,Hyb_Code,0)),"")</f>
        <v/>
      </c>
      <c r="GG105" s="15" t="str">
        <f t="array" aca="1" ref="GG105" ca="1">IF(COUNTIF($FO104:$GR104,GG104)&gt;3,INDEX(Hyb_Tech_Value,MATCH(GG103,Hyb_Code,0)),"")</f>
        <v/>
      </c>
      <c r="GH105" s="15" t="str">
        <f t="array" aca="1" ref="GH105" ca="1">IF(COUNTIF($FO104:$GR104,GH104)&gt;3,INDEX(Hyb_Tech_Value,MATCH(GH103,Hyb_Code,0)),"")</f>
        <v/>
      </c>
      <c r="GI105" s="15" t="str">
        <f t="array" aca="1" ref="GI105" ca="1">IF(COUNTIF($FO104:$GR104,GI104)&gt;3,INDEX(Hyb_Tech_Value,MATCH(GI103,Hyb_Code,0)),"")</f>
        <v/>
      </c>
      <c r="GJ105" s="15" t="str">
        <f t="array" aca="1" ref="GJ105" ca="1">IF(COUNTIF($FO104:$GR104,GJ104)&gt;3,INDEX(Hyb_Tech_Value,MATCH(GJ103,Hyb_Code,0)),"")</f>
        <v/>
      </c>
      <c r="GK105" s="15" t="str">
        <f t="array" aca="1" ref="GK105" ca="1">IF(COUNTIF($FO104:$GR104,GK104)&gt;3,INDEX(Hyb_Tech_Value,MATCH(GK103,Hyb_Code,0)),"")</f>
        <v/>
      </c>
      <c r="GL105" s="15" t="str">
        <f t="array" aca="1" ref="GL105" ca="1">IF(COUNTIF($FO104:$GR104,GL104)&gt;3,INDEX(Hyb_Tech_Value,MATCH(GL103,Hyb_Code,0)),"")</f>
        <v/>
      </c>
      <c r="GM105" s="15" t="str">
        <f t="array" aca="1" ref="GM105" ca="1">IF(COUNTIF($FO104:$GR104,GM104)&gt;3,INDEX(Hyb_Tech_Value,MATCH(GM103,Hyb_Code,0)),"")</f>
        <v/>
      </c>
      <c r="GN105" s="15" t="str">
        <f t="array" aca="1" ref="GN105" ca="1">IF(COUNTIF($FO104:$GR104,GN104)&gt;3,INDEX(Hyb_Tech_Value,MATCH(GN103,Hyb_Code,0)),"")</f>
        <v/>
      </c>
      <c r="GO105" s="15" t="str">
        <f t="array" aca="1" ref="GO105" ca="1">IF(COUNTIF($FO104:$GR104,GO104)&gt;3,INDEX(Hyb_Tech_Value,MATCH(GO103,Hyb_Code,0)),"")</f>
        <v/>
      </c>
      <c r="GP105" s="15" t="str">
        <f t="array" aca="1" ref="GP105" ca="1">IF(COUNTIF($FO104:$GR104,GP104)&gt;3,INDEX(Hyb_Tech_Value,MATCH(GP103,Hyb_Code,0)),"")</f>
        <v/>
      </c>
      <c r="GQ105" s="15" t="str">
        <f t="array" aca="1" ref="GQ105" ca="1">IF(COUNTIF($FO104:$GR104,GQ104)&gt;3,INDEX(Hyb_Tech_Value,MATCH(GQ103,Hyb_Code,0)),"")</f>
        <v/>
      </c>
      <c r="GR105" s="15" t="str">
        <f t="array" aca="1" ref="GR105" ca="1">IF(COUNTIF($FO104:$GR104,GR104)&gt;3,INDEX(Hyb_Tech_Value,MATCH(GR103,Hyb_Code,0)),"")</f>
        <v/>
      </c>
    </row>
    <row r="106" spans="6:200" ht="12.75" customHeight="1" x14ac:dyDescent="0.3">
      <c r="F106" s="16"/>
      <c r="G106" s="267">
        <v>45618</v>
      </c>
      <c r="H106" s="245"/>
      <c r="I106" s="16" t="s">
        <v>200</v>
      </c>
      <c r="J106" s="16" t="s">
        <v>201</v>
      </c>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row>
    <row r="107" spans="6:200" ht="12.75" customHeight="1" x14ac:dyDescent="0.3">
      <c r="F107" s="16"/>
      <c r="G107" s="267">
        <v>45661</v>
      </c>
      <c r="H107" s="245"/>
      <c r="I107" s="16" t="s">
        <v>202</v>
      </c>
      <c r="J107" s="16" t="s">
        <v>203</v>
      </c>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row>
    <row r="108" spans="6:200" ht="12.75" customHeight="1" x14ac:dyDescent="0.3">
      <c r="F108" s="16"/>
      <c r="G108" s="157"/>
      <c r="H108" s="57"/>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v>14</v>
      </c>
      <c r="FK108" s="5"/>
      <c r="FL108" s="5"/>
      <c r="FM108" s="15"/>
      <c r="FN108" s="15"/>
      <c r="FO108" s="15">
        <f t="shared" ref="FO108:GR108" ca="1" si="343">IFERROR(IF(AND(OFFSET($E$20,$FJ108,0)="H",OFFSET(J$19,$FJ108,0)&lt;&gt;""),UPPER(OFFSET(J$19,$FJ108,0)),FO$18),FO$18)</f>
        <v>1</v>
      </c>
      <c r="FP108" s="15">
        <f t="shared" ca="1" si="343"/>
        <v>2</v>
      </c>
      <c r="FQ108" s="15">
        <f t="shared" ca="1" si="343"/>
        <v>3</v>
      </c>
      <c r="FR108" s="15">
        <f t="shared" ca="1" si="343"/>
        <v>4</v>
      </c>
      <c r="FS108" s="15">
        <f t="shared" ca="1" si="343"/>
        <v>5</v>
      </c>
      <c r="FT108" s="15">
        <f t="shared" ca="1" si="343"/>
        <v>6</v>
      </c>
      <c r="FU108" s="15">
        <f t="shared" ca="1" si="343"/>
        <v>7</v>
      </c>
      <c r="FV108" s="15">
        <f t="shared" ca="1" si="343"/>
        <v>8</v>
      </c>
      <c r="FW108" s="15">
        <f t="shared" ca="1" si="343"/>
        <v>9</v>
      </c>
      <c r="FX108" s="15">
        <f t="shared" ca="1" si="343"/>
        <v>10</v>
      </c>
      <c r="FY108" s="15">
        <f t="shared" ca="1" si="343"/>
        <v>11</v>
      </c>
      <c r="FZ108" s="15">
        <f t="shared" ca="1" si="343"/>
        <v>12</v>
      </c>
      <c r="GA108" s="15">
        <f t="shared" ca="1" si="343"/>
        <v>13</v>
      </c>
      <c r="GB108" s="15">
        <f t="shared" ca="1" si="343"/>
        <v>14</v>
      </c>
      <c r="GC108" s="15">
        <f t="shared" ca="1" si="343"/>
        <v>15</v>
      </c>
      <c r="GD108" s="15">
        <f t="shared" ca="1" si="343"/>
        <v>16</v>
      </c>
      <c r="GE108" s="15">
        <f t="shared" ca="1" si="343"/>
        <v>17</v>
      </c>
      <c r="GF108" s="15">
        <f t="shared" ca="1" si="343"/>
        <v>18</v>
      </c>
      <c r="GG108" s="15">
        <f t="shared" ca="1" si="343"/>
        <v>19</v>
      </c>
      <c r="GH108" s="15">
        <f t="shared" ca="1" si="343"/>
        <v>20</v>
      </c>
      <c r="GI108" s="15">
        <f t="shared" ca="1" si="343"/>
        <v>21</v>
      </c>
      <c r="GJ108" s="15">
        <f t="shared" ca="1" si="343"/>
        <v>22</v>
      </c>
      <c r="GK108" s="15">
        <f t="shared" ca="1" si="343"/>
        <v>23</v>
      </c>
      <c r="GL108" s="15">
        <f t="shared" ca="1" si="343"/>
        <v>24</v>
      </c>
      <c r="GM108" s="15">
        <f t="shared" ca="1" si="343"/>
        <v>25</v>
      </c>
      <c r="GN108" s="15">
        <f t="shared" ca="1" si="343"/>
        <v>26</v>
      </c>
      <c r="GO108" s="15">
        <f t="shared" ca="1" si="343"/>
        <v>27</v>
      </c>
      <c r="GP108" s="15">
        <f t="shared" ca="1" si="343"/>
        <v>28</v>
      </c>
      <c r="GQ108" s="15">
        <f t="shared" ca="1" si="343"/>
        <v>29</v>
      </c>
      <c r="GR108" s="15">
        <f t="shared" ca="1" si="343"/>
        <v>30</v>
      </c>
    </row>
    <row r="109" spans="6:200" ht="12.75" customHeight="1" x14ac:dyDescent="0.3">
      <c r="F109" s="16"/>
      <c r="G109" s="157"/>
      <c r="H109" s="57"/>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15">
        <f t="array" aca="1" ref="FO109" ca="1">IFERROR(IF(AND(OFFSET($E$20,$FJ108,0)="H",OFFSET(J$19,$FJ108,0)&lt;&gt;"",OFFSET($F54,$FJ108,0)&lt;&gt;"Hybrid - Thrust + 2 connections"),INDEX(Hyb_Tech,MATCH(OFFSET(J$19,$FJ108,0),Hyb_Code,0)),FO$72),FO$72)</f>
        <v>1</v>
      </c>
      <c r="FP109" s="15">
        <f t="array" aca="1" ref="FP109" ca="1">IFERROR(IF(AND(OFFSET($E$20,$FJ108,0)="H",OFFSET(K$19,$FJ108,0)&lt;&gt;"",OFFSET($F54,$FJ108,0)&lt;&gt;"Hybrid - Thrust + 2 connections"),INDEX(Hyb_Tech,MATCH(OFFSET(K$19,$FJ108,0),Hyb_Code,0)),FP$72),FP$72)</f>
        <v>2</v>
      </c>
      <c r="FQ109" s="15">
        <f t="array" aca="1" ref="FQ109" ca="1">IFERROR(IF(AND(OFFSET($E$20,$FJ108,0)="H",OFFSET(L$19,$FJ108,0)&lt;&gt;"",OFFSET($F54,$FJ108,0)&lt;&gt;"Hybrid - Thrust + 2 connections"),INDEX(Hyb_Tech,MATCH(OFFSET(L$19,$FJ108,0),Hyb_Code,0)),FQ$72),FQ$72)</f>
        <v>3</v>
      </c>
      <c r="FR109" s="15">
        <f t="array" aca="1" ref="FR109" ca="1">IFERROR(IF(AND(OFFSET($E$20,$FJ108,0)="H",OFFSET(M$19,$FJ108,0)&lt;&gt;"",OFFSET($F54,$FJ108,0)&lt;&gt;"Hybrid - Thrust + 2 connections"),INDEX(Hyb_Tech,MATCH(OFFSET(M$19,$FJ108,0),Hyb_Code,0)),FR$72),FR$72)</f>
        <v>4</v>
      </c>
      <c r="FS109" s="15">
        <f t="array" aca="1" ref="FS109" ca="1">IFERROR(IF(AND(OFFSET($E$20,$FJ108,0)="H",OFFSET(N$19,$FJ108,0)&lt;&gt;"",OFFSET($F54,$FJ108,0)&lt;&gt;"Hybrid - Thrust + 2 connections"),INDEX(Hyb_Tech,MATCH(OFFSET(N$19,$FJ108,0),Hyb_Code,0)),FS$72),FS$72)</f>
        <v>5</v>
      </c>
      <c r="FT109" s="15">
        <f t="array" aca="1" ref="FT109" ca="1">IFERROR(IF(AND(OFFSET($E$20,$FJ108,0)="H",OFFSET(O$19,$FJ108,0)&lt;&gt;"",OFFSET($F54,$FJ108,0)&lt;&gt;"Hybrid - Thrust + 2 connections"),INDEX(Hyb_Tech,MATCH(OFFSET(O$19,$FJ108,0),Hyb_Code,0)),FT$72),FT$72)</f>
        <v>6</v>
      </c>
      <c r="FU109" s="15">
        <f t="array" aca="1" ref="FU109" ca="1">IFERROR(IF(AND(OFFSET($E$20,$FJ108,0)="H",OFFSET(P$19,$FJ108,0)&lt;&gt;"",OFFSET($F54,$FJ108,0)&lt;&gt;"Hybrid - Thrust + 2 connections"),INDEX(Hyb_Tech,MATCH(OFFSET(P$19,$FJ108,0),Hyb_Code,0)),FU$72),FU$72)</f>
        <v>7</v>
      </c>
      <c r="FV109" s="15">
        <f t="array" aca="1" ref="FV109" ca="1">IFERROR(IF(AND(OFFSET($E$20,$FJ108,0)="H",OFFSET(Q$19,$FJ108,0)&lt;&gt;"",OFFSET($F54,$FJ108,0)&lt;&gt;"Hybrid - Thrust + 2 connections"),INDEX(Hyb_Tech,MATCH(OFFSET(Q$19,$FJ108,0),Hyb_Code,0)),FV$72),FV$72)</f>
        <v>8</v>
      </c>
      <c r="FW109" s="15">
        <f t="array" aca="1" ref="FW109" ca="1">IFERROR(IF(AND(OFFSET($E$20,$FJ108,0)="H",OFFSET(R$19,$FJ108,0)&lt;&gt;"",OFFSET($F54,$FJ108,0)&lt;&gt;"Hybrid - Thrust + 2 connections"),INDEX(Hyb_Tech,MATCH(OFFSET(R$19,$FJ108,0),Hyb_Code,0)),FW$72),FW$72)</f>
        <v>9</v>
      </c>
      <c r="FX109" s="15">
        <f t="array" aca="1" ref="FX109" ca="1">IFERROR(IF(AND(OFFSET($E$20,$FJ108,0)="H",OFFSET(S$19,$FJ108,0)&lt;&gt;"",OFFSET($F54,$FJ108,0)&lt;&gt;"Hybrid - Thrust + 2 connections"),INDEX(Hyb_Tech,MATCH(OFFSET(S$19,$FJ108,0),Hyb_Code,0)),FX$72),FX$72)</f>
        <v>10</v>
      </c>
      <c r="FY109" s="15">
        <f t="array" aca="1" ref="FY109" ca="1">IFERROR(IF(AND(OFFSET($E$20,$FJ108,0)="H",OFFSET(T$19,$FJ108,0)&lt;&gt;"",OFFSET($F54,$FJ108,0)&lt;&gt;"Hybrid - Thrust + 2 connections"),INDEX(Hyb_Tech,MATCH(OFFSET(T$19,$FJ108,0),Hyb_Code,0)),FY$72),FY$72)</f>
        <v>11</v>
      </c>
      <c r="FZ109" s="15">
        <f t="array" aca="1" ref="FZ109" ca="1">IFERROR(IF(AND(OFFSET($E$20,$FJ108,0)="H",OFFSET(U$19,$FJ108,0)&lt;&gt;"",OFFSET($F54,$FJ108,0)&lt;&gt;"Hybrid - Thrust + 2 connections"),INDEX(Hyb_Tech,MATCH(OFFSET(U$19,$FJ108,0),Hyb_Code,0)),FZ$72),FZ$72)</f>
        <v>12</v>
      </c>
      <c r="GA109" s="15">
        <f t="array" aca="1" ref="GA109" ca="1">IFERROR(IF(AND(OFFSET($E$20,$FJ108,0)="H",OFFSET(V$19,$FJ108,0)&lt;&gt;"",OFFSET($F54,$FJ108,0)&lt;&gt;"Hybrid - Thrust + 2 connections"),INDEX(Hyb_Tech,MATCH(OFFSET(V$19,$FJ108,0),Hyb_Code,0)),GA$72),GA$72)</f>
        <v>13</v>
      </c>
      <c r="GB109" s="15">
        <f t="array" aca="1" ref="GB109" ca="1">IFERROR(IF(AND(OFFSET($E$20,$FJ108,0)="H",OFFSET(W$19,$FJ108,0)&lt;&gt;"",OFFSET($F54,$FJ108,0)&lt;&gt;"Hybrid - Thrust + 2 connections"),INDEX(Hyb_Tech,MATCH(OFFSET(W$19,$FJ108,0),Hyb_Code,0)),GB$72),GB$72)</f>
        <v>14</v>
      </c>
      <c r="GC109" s="15">
        <f t="array" aca="1" ref="GC109" ca="1">IFERROR(IF(AND(OFFSET($E$20,$FJ108,0)="H",OFFSET(X$19,$FJ108,0)&lt;&gt;"",OFFSET($F54,$FJ108,0)&lt;&gt;"Hybrid - Thrust + 2 connections"),INDEX(Hyb_Tech,MATCH(OFFSET(X$19,$FJ108,0),Hyb_Code,0)),GC$72),GC$72)</f>
        <v>15</v>
      </c>
      <c r="GD109" s="15">
        <f t="array" aca="1" ref="GD109" ca="1">IFERROR(IF(AND(OFFSET($E$20,$FJ108,0)="H",OFFSET(Y$19,$FJ108,0)&lt;&gt;"",OFFSET($F54,$FJ108,0)&lt;&gt;"Hybrid - Thrust + 2 connections"),INDEX(Hyb_Tech,MATCH(OFFSET(Y$19,$FJ108,0),Hyb_Code,0)),GD$72),GD$72)</f>
        <v>16</v>
      </c>
      <c r="GE109" s="15">
        <f t="array" aca="1" ref="GE109" ca="1">IFERROR(IF(AND(OFFSET($E$20,$FJ108,0)="H",OFFSET(Z$19,$FJ108,0)&lt;&gt;"",OFFSET($F54,$FJ108,0)&lt;&gt;"Hybrid - Thrust + 2 connections"),INDEX(Hyb_Tech,MATCH(OFFSET(Z$19,$FJ108,0),Hyb_Code,0)),GE$72),GE$72)</f>
        <v>17</v>
      </c>
      <c r="GF109" s="15">
        <f t="array" aca="1" ref="GF109" ca="1">IFERROR(IF(AND(OFFSET($E$20,$FJ108,0)="H",OFFSET(AA$19,$FJ108,0)&lt;&gt;"",OFFSET($F54,$FJ108,0)&lt;&gt;"Hybrid - Thrust + 2 connections"),INDEX(Hyb_Tech,MATCH(OFFSET(AA$19,$FJ108,0),Hyb_Code,0)),GF$72),GF$72)</f>
        <v>18</v>
      </c>
      <c r="GG109" s="15">
        <f t="array" aca="1" ref="GG109" ca="1">IFERROR(IF(AND(OFFSET($E$20,$FJ108,0)="H",OFFSET(AB$19,$FJ108,0)&lt;&gt;"",OFFSET($F54,$FJ108,0)&lt;&gt;"Hybrid - Thrust + 2 connections"),INDEX(Hyb_Tech,MATCH(OFFSET(AB$19,$FJ108,0),Hyb_Code,0)),GG$72),GG$72)</f>
        <v>19</v>
      </c>
      <c r="GH109" s="15">
        <f t="array" aca="1" ref="GH109" ca="1">IFERROR(IF(AND(OFFSET($E$20,$FJ108,0)="H",OFFSET(AC$19,$FJ108,0)&lt;&gt;"",OFFSET($F54,$FJ108,0)&lt;&gt;"Hybrid - Thrust + 2 connections"),INDEX(Hyb_Tech,MATCH(OFFSET(AC$19,$FJ108,0),Hyb_Code,0)),GH$72),GH$72)</f>
        <v>20</v>
      </c>
      <c r="GI109" s="15">
        <f t="array" aca="1" ref="GI109" ca="1">IFERROR(IF(AND(OFFSET($E$20,$FJ108,0)="H",OFFSET(AD$19,$FJ108,0)&lt;&gt;"",OFFSET($F54,$FJ108,0)&lt;&gt;"Hybrid - Thrust + 2 connections"),INDEX(Hyb_Tech,MATCH(OFFSET(AD$19,$FJ108,0),Hyb_Code,0)),GI$72),GI$72)</f>
        <v>21</v>
      </c>
      <c r="GJ109" s="15">
        <f t="array" aca="1" ref="GJ109" ca="1">IFERROR(IF(AND(OFFSET($E$20,$FJ108,0)="H",OFFSET(AE$19,$FJ108,0)&lt;&gt;"",OFFSET($F54,$FJ108,0)&lt;&gt;"Hybrid - Thrust + 2 connections"),INDEX(Hyb_Tech,MATCH(OFFSET(AE$19,$FJ108,0),Hyb_Code,0)),GJ$72),GJ$72)</f>
        <v>22</v>
      </c>
      <c r="GK109" s="15">
        <f t="array" aca="1" ref="GK109" ca="1">IFERROR(IF(AND(OFFSET($E$20,$FJ108,0)="H",OFFSET(AF$19,$FJ108,0)&lt;&gt;"",OFFSET($F54,$FJ108,0)&lt;&gt;"Hybrid - Thrust + 2 connections"),INDEX(Hyb_Tech,MATCH(OFFSET(AF$19,$FJ108,0),Hyb_Code,0)),GK$72),GK$72)</f>
        <v>23</v>
      </c>
      <c r="GL109" s="15">
        <f t="array" aca="1" ref="GL109" ca="1">IFERROR(IF(AND(OFFSET($E$20,$FJ108,0)="H",OFFSET(AG$19,$FJ108,0)&lt;&gt;"",OFFSET($F54,$FJ108,0)&lt;&gt;"Hybrid - Thrust + 2 connections"),INDEX(Hyb_Tech,MATCH(OFFSET(AG$19,$FJ108,0),Hyb_Code,0)),GL$72),GL$72)</f>
        <v>24</v>
      </c>
      <c r="GM109" s="15">
        <f t="array" aca="1" ref="GM109" ca="1">IFERROR(IF(AND(OFFSET($E$20,$FJ108,0)="H",OFFSET(AH$19,$FJ108,0)&lt;&gt;"",OFFSET($F54,$FJ108,0)&lt;&gt;"Hybrid - Thrust + 2 connections"),INDEX(Hyb_Tech,MATCH(OFFSET(AH$19,$FJ108,0),Hyb_Code,0)),GM$72),GM$72)</f>
        <v>25</v>
      </c>
      <c r="GN109" s="15">
        <f t="array" aca="1" ref="GN109" ca="1">IFERROR(IF(AND(OFFSET($E$20,$FJ108,0)="H",OFFSET(AI$19,$FJ108,0)&lt;&gt;"",OFFSET($F54,$FJ108,0)&lt;&gt;"Hybrid - Thrust + 2 connections"),INDEX(Hyb_Tech,MATCH(OFFSET(AI$19,$FJ108,0),Hyb_Code,0)),GN$72),GN$72)</f>
        <v>26</v>
      </c>
      <c r="GO109" s="15">
        <f t="array" aca="1" ref="GO109" ca="1">IFERROR(IF(AND(OFFSET($E$20,$FJ108,0)="H",OFFSET(AJ$19,$FJ108,0)&lt;&gt;"",OFFSET($F54,$FJ108,0)&lt;&gt;"Hybrid - Thrust + 2 connections"),INDEX(Hyb_Tech,MATCH(OFFSET(AJ$19,$FJ108,0),Hyb_Code,0)),GO$72),GO$72)</f>
        <v>27</v>
      </c>
      <c r="GP109" s="15">
        <f t="array" aca="1" ref="GP109" ca="1">IFERROR(IF(AND(OFFSET($E$20,$FJ108,0)="H",OFFSET(AK$19,$FJ108,0)&lt;&gt;"",OFFSET($F54,$FJ108,0)&lt;&gt;"Hybrid - Thrust + 2 connections"),INDEX(Hyb_Tech,MATCH(OFFSET(AK$19,$FJ108,0),Hyb_Code,0)),GP$72),GP$72)</f>
        <v>28</v>
      </c>
      <c r="GQ109" s="15">
        <f t="array" aca="1" ref="GQ109" ca="1">IFERROR(IF(AND(OFFSET($E$20,$FJ108,0)="H",OFFSET(AL$19,$FJ108,0)&lt;&gt;"",OFFSET($F54,$FJ108,0)&lt;&gt;"Hybrid - Thrust + 2 connections"),INDEX(Hyb_Tech,MATCH(OFFSET(AL$19,$FJ108,0),Hyb_Code,0)),GQ$72),GQ$72)</f>
        <v>29</v>
      </c>
      <c r="GR109" s="15">
        <f t="array" aca="1" ref="GR109" ca="1">IFERROR(IF(AND(OFFSET($E$20,$FJ108,0)="H",OFFSET(AM$19,$FJ108,0)&lt;&gt;"",OFFSET($F54,$FJ108,0)&lt;&gt;"Hybrid - Thrust + 2 connections"),INDEX(Hyb_Tech,MATCH(OFFSET(AM$19,$FJ108,0),Hyb_Code,0)),GR$72),GR$72)</f>
        <v>30</v>
      </c>
    </row>
    <row r="110" spans="6:200" ht="12.75" customHeight="1" x14ac:dyDescent="0.3">
      <c r="F110" s="16"/>
      <c r="G110" s="157"/>
      <c r="H110" s="57"/>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t="str">
        <f ca="1">IFERROR(IF(SUM($FO110:$GR110)&gt;3,OFFSET($FO$73,$FJ108*5/2,MATCH(1,FO110:GR110,0)),""),"")</f>
        <v/>
      </c>
      <c r="FN110" s="15" t="str">
        <f ca="1">IFERROR(IF(LEFT(FM110,1)="C",IF(RIGHT(FM110,1)="+",LEFT(FM110,LEN(FM110)-1),CONCATENATE(FM110,"+")),IF(SUM($FO110:$GR110)&gt;3,OFFSET($FO$73,$FJ108*5/2,MATCH(0.5,FO110:GR110,0)),"")),"")</f>
        <v/>
      </c>
      <c r="FO110" s="15" t="str">
        <f t="array" aca="1" ref="FO110" ca="1">IF(COUNTIF($FO109:$GR109,FO109)&gt;3,INDEX(Hyb_Tech_Value,MATCH(FO108,Hyb_Code,0)),"")</f>
        <v/>
      </c>
      <c r="FP110" s="15" t="str">
        <f t="array" aca="1" ref="FP110" ca="1">IF(COUNTIF($FO109:$GR109,FP109)&gt;3,INDEX(Hyb_Tech_Value,MATCH(FP108,Hyb_Code,0)),"")</f>
        <v/>
      </c>
      <c r="FQ110" s="15" t="str">
        <f t="array" aca="1" ref="FQ110" ca="1">IF(COUNTIF($FO109:$GR109,FQ109)&gt;3,INDEX(Hyb_Tech_Value,MATCH(FQ108,Hyb_Code,0)),"")</f>
        <v/>
      </c>
      <c r="FR110" s="15" t="str">
        <f t="array" aca="1" ref="FR110" ca="1">IF(COUNTIF($FO109:$GR109,FR109)&gt;3,INDEX(Hyb_Tech_Value,MATCH(FR108,Hyb_Code,0)),"")</f>
        <v/>
      </c>
      <c r="FS110" s="15" t="str">
        <f t="array" aca="1" ref="FS110" ca="1">IF(COUNTIF($FO109:$GR109,FS109)&gt;3,INDEX(Hyb_Tech_Value,MATCH(FS108,Hyb_Code,0)),"")</f>
        <v/>
      </c>
      <c r="FT110" s="15" t="str">
        <f t="array" aca="1" ref="FT110" ca="1">IF(COUNTIF($FO109:$GR109,FT109)&gt;3,INDEX(Hyb_Tech_Value,MATCH(FT108,Hyb_Code,0)),"")</f>
        <v/>
      </c>
      <c r="FU110" s="15" t="str">
        <f t="array" aca="1" ref="FU110" ca="1">IF(COUNTIF($FO109:$GR109,FU109)&gt;3,INDEX(Hyb_Tech_Value,MATCH(FU108,Hyb_Code,0)),"")</f>
        <v/>
      </c>
      <c r="FV110" s="15" t="str">
        <f t="array" aca="1" ref="FV110" ca="1">IF(COUNTIF($FO109:$GR109,FV109)&gt;3,INDEX(Hyb_Tech_Value,MATCH(FV108,Hyb_Code,0)),"")</f>
        <v/>
      </c>
      <c r="FW110" s="15" t="str">
        <f t="array" aca="1" ref="FW110" ca="1">IF(COUNTIF($FO109:$GR109,FW109)&gt;3,INDEX(Hyb_Tech_Value,MATCH(FW108,Hyb_Code,0)),"")</f>
        <v/>
      </c>
      <c r="FX110" s="15" t="str">
        <f t="array" aca="1" ref="FX110" ca="1">IF(COUNTIF($FO109:$GR109,FX109)&gt;3,INDEX(Hyb_Tech_Value,MATCH(FX108,Hyb_Code,0)),"")</f>
        <v/>
      </c>
      <c r="FY110" s="15" t="str">
        <f t="array" aca="1" ref="FY110" ca="1">IF(COUNTIF($FO109:$GR109,FY109)&gt;3,INDEX(Hyb_Tech_Value,MATCH(FY108,Hyb_Code,0)),"")</f>
        <v/>
      </c>
      <c r="FZ110" s="15" t="str">
        <f t="array" aca="1" ref="FZ110" ca="1">IF(COUNTIF($FO109:$GR109,FZ109)&gt;3,INDEX(Hyb_Tech_Value,MATCH(FZ108,Hyb_Code,0)),"")</f>
        <v/>
      </c>
      <c r="GA110" s="15" t="str">
        <f t="array" aca="1" ref="GA110" ca="1">IF(COUNTIF($FO109:$GR109,GA109)&gt;3,INDEX(Hyb_Tech_Value,MATCH(GA108,Hyb_Code,0)),"")</f>
        <v/>
      </c>
      <c r="GB110" s="15" t="str">
        <f t="array" aca="1" ref="GB110" ca="1">IF(COUNTIF($FO109:$GR109,GB109)&gt;3,INDEX(Hyb_Tech_Value,MATCH(GB108,Hyb_Code,0)),"")</f>
        <v/>
      </c>
      <c r="GC110" s="15" t="str">
        <f t="array" aca="1" ref="GC110" ca="1">IF(COUNTIF($FO109:$GR109,GC109)&gt;3,INDEX(Hyb_Tech_Value,MATCH(GC108,Hyb_Code,0)),"")</f>
        <v/>
      </c>
      <c r="GD110" s="15" t="str">
        <f t="array" aca="1" ref="GD110" ca="1">IF(COUNTIF($FO109:$GR109,GD109)&gt;3,INDEX(Hyb_Tech_Value,MATCH(GD108,Hyb_Code,0)),"")</f>
        <v/>
      </c>
      <c r="GE110" s="15" t="str">
        <f t="array" aca="1" ref="GE110" ca="1">IF(COUNTIF($FO109:$GR109,GE109)&gt;3,INDEX(Hyb_Tech_Value,MATCH(GE108,Hyb_Code,0)),"")</f>
        <v/>
      </c>
      <c r="GF110" s="15" t="str">
        <f t="array" aca="1" ref="GF110" ca="1">IF(COUNTIF($FO109:$GR109,GF109)&gt;3,INDEX(Hyb_Tech_Value,MATCH(GF108,Hyb_Code,0)),"")</f>
        <v/>
      </c>
      <c r="GG110" s="15" t="str">
        <f t="array" aca="1" ref="GG110" ca="1">IF(COUNTIF($FO109:$GR109,GG109)&gt;3,INDEX(Hyb_Tech_Value,MATCH(GG108,Hyb_Code,0)),"")</f>
        <v/>
      </c>
      <c r="GH110" s="15" t="str">
        <f t="array" aca="1" ref="GH110" ca="1">IF(COUNTIF($FO109:$GR109,GH109)&gt;3,INDEX(Hyb_Tech_Value,MATCH(GH108,Hyb_Code,0)),"")</f>
        <v/>
      </c>
      <c r="GI110" s="15" t="str">
        <f t="array" aca="1" ref="GI110" ca="1">IF(COUNTIF($FO109:$GR109,GI109)&gt;3,INDEX(Hyb_Tech_Value,MATCH(GI108,Hyb_Code,0)),"")</f>
        <v/>
      </c>
      <c r="GJ110" s="15" t="str">
        <f t="array" aca="1" ref="GJ110" ca="1">IF(COUNTIF($FO109:$GR109,GJ109)&gt;3,INDEX(Hyb_Tech_Value,MATCH(GJ108,Hyb_Code,0)),"")</f>
        <v/>
      </c>
      <c r="GK110" s="15" t="str">
        <f t="array" aca="1" ref="GK110" ca="1">IF(COUNTIF($FO109:$GR109,GK109)&gt;3,INDEX(Hyb_Tech_Value,MATCH(GK108,Hyb_Code,0)),"")</f>
        <v/>
      </c>
      <c r="GL110" s="15" t="str">
        <f t="array" aca="1" ref="GL110" ca="1">IF(COUNTIF($FO109:$GR109,GL109)&gt;3,INDEX(Hyb_Tech_Value,MATCH(GL108,Hyb_Code,0)),"")</f>
        <v/>
      </c>
      <c r="GM110" s="15" t="str">
        <f t="array" aca="1" ref="GM110" ca="1">IF(COUNTIF($FO109:$GR109,GM109)&gt;3,INDEX(Hyb_Tech_Value,MATCH(GM108,Hyb_Code,0)),"")</f>
        <v/>
      </c>
      <c r="GN110" s="15" t="str">
        <f t="array" aca="1" ref="GN110" ca="1">IF(COUNTIF($FO109:$GR109,GN109)&gt;3,INDEX(Hyb_Tech_Value,MATCH(GN108,Hyb_Code,0)),"")</f>
        <v/>
      </c>
      <c r="GO110" s="15" t="str">
        <f t="array" aca="1" ref="GO110" ca="1">IF(COUNTIF($FO109:$GR109,GO109)&gt;3,INDEX(Hyb_Tech_Value,MATCH(GO108,Hyb_Code,0)),"")</f>
        <v/>
      </c>
      <c r="GP110" s="15" t="str">
        <f t="array" aca="1" ref="GP110" ca="1">IF(COUNTIF($FO109:$GR109,GP109)&gt;3,INDEX(Hyb_Tech_Value,MATCH(GP108,Hyb_Code,0)),"")</f>
        <v/>
      </c>
      <c r="GQ110" s="15" t="str">
        <f t="array" aca="1" ref="GQ110" ca="1">IF(COUNTIF($FO109:$GR109,GQ109)&gt;3,INDEX(Hyb_Tech_Value,MATCH(GQ108,Hyb_Code,0)),"")</f>
        <v/>
      </c>
      <c r="GR110" s="15" t="str">
        <f t="array" aca="1" ref="GR110" ca="1">IF(COUNTIF($FO109:$GR109,GR109)&gt;3,INDEX(Hyb_Tech_Value,MATCH(GR108,Hyb_Code,0)),"")</f>
        <v/>
      </c>
    </row>
    <row r="113" spans="166:200" ht="12.75" customHeight="1" x14ac:dyDescent="0.3">
      <c r="FJ113" s="5">
        <v>16</v>
      </c>
      <c r="FK113" s="5"/>
      <c r="FL113" s="5"/>
      <c r="FM113" s="15"/>
      <c r="FN113" s="15"/>
      <c r="FO113" s="15">
        <f t="shared" ref="FO113:GR113" ca="1" si="344">IFERROR(IF(AND(OFFSET($E$20,$FJ113,0)="H",OFFSET(J$19,$FJ113,0)&lt;&gt;""),UPPER(OFFSET(J$19,$FJ113,0)),FO$18),FO$18)</f>
        <v>1</v>
      </c>
      <c r="FP113" s="15">
        <f t="shared" ca="1" si="344"/>
        <v>2</v>
      </c>
      <c r="FQ113" s="15">
        <f t="shared" ca="1" si="344"/>
        <v>3</v>
      </c>
      <c r="FR113" s="15">
        <f t="shared" ca="1" si="344"/>
        <v>4</v>
      </c>
      <c r="FS113" s="15">
        <f t="shared" ca="1" si="344"/>
        <v>5</v>
      </c>
      <c r="FT113" s="15">
        <f t="shared" ca="1" si="344"/>
        <v>6</v>
      </c>
      <c r="FU113" s="15">
        <f t="shared" ca="1" si="344"/>
        <v>7</v>
      </c>
      <c r="FV113" s="15">
        <f t="shared" ca="1" si="344"/>
        <v>8</v>
      </c>
      <c r="FW113" s="15">
        <f t="shared" ca="1" si="344"/>
        <v>9</v>
      </c>
      <c r="FX113" s="15">
        <f t="shared" ca="1" si="344"/>
        <v>10</v>
      </c>
      <c r="FY113" s="15">
        <f t="shared" ca="1" si="344"/>
        <v>11</v>
      </c>
      <c r="FZ113" s="15">
        <f t="shared" ca="1" si="344"/>
        <v>12</v>
      </c>
      <c r="GA113" s="15">
        <f t="shared" ca="1" si="344"/>
        <v>13</v>
      </c>
      <c r="GB113" s="15">
        <f t="shared" ca="1" si="344"/>
        <v>14</v>
      </c>
      <c r="GC113" s="15">
        <f t="shared" ca="1" si="344"/>
        <v>15</v>
      </c>
      <c r="GD113" s="15">
        <f t="shared" ca="1" si="344"/>
        <v>16</v>
      </c>
      <c r="GE113" s="15">
        <f t="shared" ca="1" si="344"/>
        <v>17</v>
      </c>
      <c r="GF113" s="15">
        <f t="shared" ca="1" si="344"/>
        <v>18</v>
      </c>
      <c r="GG113" s="15">
        <f t="shared" ca="1" si="344"/>
        <v>19</v>
      </c>
      <c r="GH113" s="15">
        <f t="shared" ca="1" si="344"/>
        <v>20</v>
      </c>
      <c r="GI113" s="15">
        <f t="shared" ca="1" si="344"/>
        <v>21</v>
      </c>
      <c r="GJ113" s="15">
        <f t="shared" ca="1" si="344"/>
        <v>22</v>
      </c>
      <c r="GK113" s="15">
        <f t="shared" ca="1" si="344"/>
        <v>23</v>
      </c>
      <c r="GL113" s="15">
        <f t="shared" ca="1" si="344"/>
        <v>24</v>
      </c>
      <c r="GM113" s="15">
        <f t="shared" ca="1" si="344"/>
        <v>25</v>
      </c>
      <c r="GN113" s="15">
        <f t="shared" ca="1" si="344"/>
        <v>26</v>
      </c>
      <c r="GO113" s="15">
        <f t="shared" ca="1" si="344"/>
        <v>27</v>
      </c>
      <c r="GP113" s="15">
        <f t="shared" ca="1" si="344"/>
        <v>28</v>
      </c>
      <c r="GQ113" s="15">
        <f t="shared" ca="1" si="344"/>
        <v>29</v>
      </c>
      <c r="GR113" s="15">
        <f t="shared" ca="1" si="344"/>
        <v>30</v>
      </c>
    </row>
    <row r="114" spans="166:200" ht="12.75" customHeight="1" x14ac:dyDescent="0.3">
      <c r="FJ114" s="5"/>
      <c r="FK114" s="5"/>
      <c r="FL114" s="5"/>
      <c r="FM114" s="5"/>
      <c r="FN114" s="5"/>
      <c r="FO114" s="15">
        <f t="array" aca="1" ref="FO114" ca="1">IFERROR(IF(AND(OFFSET($E$20,$FJ113,0)="H",OFFSET(J$19,$FJ113,0)&lt;&gt;"",OFFSET($F59,$FJ113,0)&lt;&gt;"Hybrid - Thrust + 2 connections"),INDEX(Hyb_Tech,MATCH(OFFSET(J$19,$FJ113,0),Hyb_Code,0)),FO$72),FO$72)</f>
        <v>1</v>
      </c>
      <c r="FP114" s="15">
        <f t="array" aca="1" ref="FP114" ca="1">IFERROR(IF(AND(OFFSET($E$20,$FJ113,0)="H",OFFSET(K$19,$FJ113,0)&lt;&gt;"",OFFSET($F59,$FJ113,0)&lt;&gt;"Hybrid - Thrust + 2 connections"),INDEX(Hyb_Tech,MATCH(OFFSET(K$19,$FJ113,0),Hyb_Code,0)),FP$72),FP$72)</f>
        <v>2</v>
      </c>
      <c r="FQ114" s="15">
        <f t="array" aca="1" ref="FQ114" ca="1">IFERROR(IF(AND(OFFSET($E$20,$FJ113,0)="H",OFFSET(L$19,$FJ113,0)&lt;&gt;"",OFFSET($F59,$FJ113,0)&lt;&gt;"Hybrid - Thrust + 2 connections"),INDEX(Hyb_Tech,MATCH(OFFSET(L$19,$FJ113,0),Hyb_Code,0)),FQ$72),FQ$72)</f>
        <v>3</v>
      </c>
      <c r="FR114" s="15">
        <f t="array" aca="1" ref="FR114" ca="1">IFERROR(IF(AND(OFFSET($E$20,$FJ113,0)="H",OFFSET(M$19,$FJ113,0)&lt;&gt;"",OFFSET($F59,$FJ113,0)&lt;&gt;"Hybrid - Thrust + 2 connections"),INDEX(Hyb_Tech,MATCH(OFFSET(M$19,$FJ113,0),Hyb_Code,0)),FR$72),FR$72)</f>
        <v>4</v>
      </c>
      <c r="FS114" s="15">
        <f t="array" aca="1" ref="FS114" ca="1">IFERROR(IF(AND(OFFSET($E$20,$FJ113,0)="H",OFFSET(N$19,$FJ113,0)&lt;&gt;"",OFFSET($F59,$FJ113,0)&lt;&gt;"Hybrid - Thrust + 2 connections"),INDEX(Hyb_Tech,MATCH(OFFSET(N$19,$FJ113,0),Hyb_Code,0)),FS$72),FS$72)</f>
        <v>5</v>
      </c>
      <c r="FT114" s="15">
        <f t="array" aca="1" ref="FT114" ca="1">IFERROR(IF(AND(OFFSET($E$20,$FJ113,0)="H",OFFSET(O$19,$FJ113,0)&lt;&gt;"",OFFSET($F59,$FJ113,0)&lt;&gt;"Hybrid - Thrust + 2 connections"),INDEX(Hyb_Tech,MATCH(OFFSET(O$19,$FJ113,0),Hyb_Code,0)),FT$72),FT$72)</f>
        <v>6</v>
      </c>
      <c r="FU114" s="15">
        <f t="array" aca="1" ref="FU114" ca="1">IFERROR(IF(AND(OFFSET($E$20,$FJ113,0)="H",OFFSET(P$19,$FJ113,0)&lt;&gt;"",OFFSET($F59,$FJ113,0)&lt;&gt;"Hybrid - Thrust + 2 connections"),INDEX(Hyb_Tech,MATCH(OFFSET(P$19,$FJ113,0),Hyb_Code,0)),FU$72),FU$72)</f>
        <v>7</v>
      </c>
      <c r="FV114" s="15">
        <f t="array" aca="1" ref="FV114" ca="1">IFERROR(IF(AND(OFFSET($E$20,$FJ113,0)="H",OFFSET(Q$19,$FJ113,0)&lt;&gt;"",OFFSET($F59,$FJ113,0)&lt;&gt;"Hybrid - Thrust + 2 connections"),INDEX(Hyb_Tech,MATCH(OFFSET(Q$19,$FJ113,0),Hyb_Code,0)),FV$72),FV$72)</f>
        <v>8</v>
      </c>
      <c r="FW114" s="15">
        <f t="array" aca="1" ref="FW114" ca="1">IFERROR(IF(AND(OFFSET($E$20,$FJ113,0)="H",OFFSET(R$19,$FJ113,0)&lt;&gt;"",OFFSET($F59,$FJ113,0)&lt;&gt;"Hybrid - Thrust + 2 connections"),INDEX(Hyb_Tech,MATCH(OFFSET(R$19,$FJ113,0),Hyb_Code,0)),FW$72),FW$72)</f>
        <v>9</v>
      </c>
      <c r="FX114" s="15">
        <f t="array" aca="1" ref="FX114" ca="1">IFERROR(IF(AND(OFFSET($E$20,$FJ113,0)="H",OFFSET(S$19,$FJ113,0)&lt;&gt;"",OFFSET($F59,$FJ113,0)&lt;&gt;"Hybrid - Thrust + 2 connections"),INDEX(Hyb_Tech,MATCH(OFFSET(S$19,$FJ113,0),Hyb_Code,0)),FX$72),FX$72)</f>
        <v>10</v>
      </c>
      <c r="FY114" s="15">
        <f t="array" aca="1" ref="FY114" ca="1">IFERROR(IF(AND(OFFSET($E$20,$FJ113,0)="H",OFFSET(T$19,$FJ113,0)&lt;&gt;"",OFFSET($F59,$FJ113,0)&lt;&gt;"Hybrid - Thrust + 2 connections"),INDEX(Hyb_Tech,MATCH(OFFSET(T$19,$FJ113,0),Hyb_Code,0)),FY$72),FY$72)</f>
        <v>11</v>
      </c>
      <c r="FZ114" s="15">
        <f t="array" aca="1" ref="FZ114" ca="1">IFERROR(IF(AND(OFFSET($E$20,$FJ113,0)="H",OFFSET(U$19,$FJ113,0)&lt;&gt;"",OFFSET($F59,$FJ113,0)&lt;&gt;"Hybrid - Thrust + 2 connections"),INDEX(Hyb_Tech,MATCH(OFFSET(U$19,$FJ113,0),Hyb_Code,0)),FZ$72),FZ$72)</f>
        <v>12</v>
      </c>
      <c r="GA114" s="15">
        <f t="array" aca="1" ref="GA114" ca="1">IFERROR(IF(AND(OFFSET($E$20,$FJ113,0)="H",OFFSET(V$19,$FJ113,0)&lt;&gt;"",OFFSET($F59,$FJ113,0)&lt;&gt;"Hybrid - Thrust + 2 connections"),INDEX(Hyb_Tech,MATCH(OFFSET(V$19,$FJ113,0),Hyb_Code,0)),GA$72),GA$72)</f>
        <v>13</v>
      </c>
      <c r="GB114" s="15">
        <f t="array" aca="1" ref="GB114" ca="1">IFERROR(IF(AND(OFFSET($E$20,$FJ113,0)="H",OFFSET(W$19,$FJ113,0)&lt;&gt;"",OFFSET($F59,$FJ113,0)&lt;&gt;"Hybrid - Thrust + 2 connections"),INDEX(Hyb_Tech,MATCH(OFFSET(W$19,$FJ113,0),Hyb_Code,0)),GB$72),GB$72)</f>
        <v>14</v>
      </c>
      <c r="GC114" s="15">
        <f t="array" aca="1" ref="GC114" ca="1">IFERROR(IF(AND(OFFSET($E$20,$FJ113,0)="H",OFFSET(X$19,$FJ113,0)&lt;&gt;"",OFFSET($F59,$FJ113,0)&lt;&gt;"Hybrid - Thrust + 2 connections"),INDEX(Hyb_Tech,MATCH(OFFSET(X$19,$FJ113,0),Hyb_Code,0)),GC$72),GC$72)</f>
        <v>15</v>
      </c>
      <c r="GD114" s="15">
        <f t="array" aca="1" ref="GD114" ca="1">IFERROR(IF(AND(OFFSET($E$20,$FJ113,0)="H",OFFSET(Y$19,$FJ113,0)&lt;&gt;"",OFFSET($F59,$FJ113,0)&lt;&gt;"Hybrid - Thrust + 2 connections"),INDEX(Hyb_Tech,MATCH(OFFSET(Y$19,$FJ113,0),Hyb_Code,0)),GD$72),GD$72)</f>
        <v>16</v>
      </c>
      <c r="GE114" s="15">
        <f t="array" aca="1" ref="GE114" ca="1">IFERROR(IF(AND(OFFSET($E$20,$FJ113,0)="H",OFFSET(Z$19,$FJ113,0)&lt;&gt;"",OFFSET($F59,$FJ113,0)&lt;&gt;"Hybrid - Thrust + 2 connections"),INDEX(Hyb_Tech,MATCH(OFFSET(Z$19,$FJ113,0),Hyb_Code,0)),GE$72),GE$72)</f>
        <v>17</v>
      </c>
      <c r="GF114" s="15">
        <f t="array" aca="1" ref="GF114" ca="1">IFERROR(IF(AND(OFFSET($E$20,$FJ113,0)="H",OFFSET(AA$19,$FJ113,0)&lt;&gt;"",OFFSET($F59,$FJ113,0)&lt;&gt;"Hybrid - Thrust + 2 connections"),INDEX(Hyb_Tech,MATCH(OFFSET(AA$19,$FJ113,0),Hyb_Code,0)),GF$72),GF$72)</f>
        <v>18</v>
      </c>
      <c r="GG114" s="15">
        <f t="array" aca="1" ref="GG114" ca="1">IFERROR(IF(AND(OFFSET($E$20,$FJ113,0)="H",OFFSET(AB$19,$FJ113,0)&lt;&gt;"",OFFSET($F59,$FJ113,0)&lt;&gt;"Hybrid - Thrust + 2 connections"),INDEX(Hyb_Tech,MATCH(OFFSET(AB$19,$FJ113,0),Hyb_Code,0)),GG$72),GG$72)</f>
        <v>19</v>
      </c>
      <c r="GH114" s="15">
        <f t="array" aca="1" ref="GH114" ca="1">IFERROR(IF(AND(OFFSET($E$20,$FJ113,0)="H",OFFSET(AC$19,$FJ113,0)&lt;&gt;"",OFFSET($F59,$FJ113,0)&lt;&gt;"Hybrid - Thrust + 2 connections"),INDEX(Hyb_Tech,MATCH(OFFSET(AC$19,$FJ113,0),Hyb_Code,0)),GH$72),GH$72)</f>
        <v>20</v>
      </c>
      <c r="GI114" s="15">
        <f t="array" aca="1" ref="GI114" ca="1">IFERROR(IF(AND(OFFSET($E$20,$FJ113,0)="H",OFFSET(AD$19,$FJ113,0)&lt;&gt;"",OFFSET($F59,$FJ113,0)&lt;&gt;"Hybrid - Thrust + 2 connections"),INDEX(Hyb_Tech,MATCH(OFFSET(AD$19,$FJ113,0),Hyb_Code,0)),GI$72),GI$72)</f>
        <v>21</v>
      </c>
      <c r="GJ114" s="15">
        <f t="array" aca="1" ref="GJ114" ca="1">IFERROR(IF(AND(OFFSET($E$20,$FJ113,0)="H",OFFSET(AE$19,$FJ113,0)&lt;&gt;"",OFFSET($F59,$FJ113,0)&lt;&gt;"Hybrid - Thrust + 2 connections"),INDEX(Hyb_Tech,MATCH(OFFSET(AE$19,$FJ113,0),Hyb_Code,0)),GJ$72),GJ$72)</f>
        <v>22</v>
      </c>
      <c r="GK114" s="15">
        <f t="array" aca="1" ref="GK114" ca="1">IFERROR(IF(AND(OFFSET($E$20,$FJ113,0)="H",OFFSET(AF$19,$FJ113,0)&lt;&gt;"",OFFSET($F59,$FJ113,0)&lt;&gt;"Hybrid - Thrust + 2 connections"),INDEX(Hyb_Tech,MATCH(OFFSET(AF$19,$FJ113,0),Hyb_Code,0)),GK$72),GK$72)</f>
        <v>23</v>
      </c>
      <c r="GL114" s="15">
        <f t="array" aca="1" ref="GL114" ca="1">IFERROR(IF(AND(OFFSET($E$20,$FJ113,0)="H",OFFSET(AG$19,$FJ113,0)&lt;&gt;"",OFFSET($F59,$FJ113,0)&lt;&gt;"Hybrid - Thrust + 2 connections"),INDEX(Hyb_Tech,MATCH(OFFSET(AG$19,$FJ113,0),Hyb_Code,0)),GL$72),GL$72)</f>
        <v>24</v>
      </c>
      <c r="GM114" s="15">
        <f t="array" aca="1" ref="GM114" ca="1">IFERROR(IF(AND(OFFSET($E$20,$FJ113,0)="H",OFFSET(AH$19,$FJ113,0)&lt;&gt;"",OFFSET($F59,$FJ113,0)&lt;&gt;"Hybrid - Thrust + 2 connections"),INDEX(Hyb_Tech,MATCH(OFFSET(AH$19,$FJ113,0),Hyb_Code,0)),GM$72),GM$72)</f>
        <v>25</v>
      </c>
      <c r="GN114" s="15">
        <f t="array" aca="1" ref="GN114" ca="1">IFERROR(IF(AND(OFFSET($E$20,$FJ113,0)="H",OFFSET(AI$19,$FJ113,0)&lt;&gt;"",OFFSET($F59,$FJ113,0)&lt;&gt;"Hybrid - Thrust + 2 connections"),INDEX(Hyb_Tech,MATCH(OFFSET(AI$19,$FJ113,0),Hyb_Code,0)),GN$72),GN$72)</f>
        <v>26</v>
      </c>
      <c r="GO114" s="15">
        <f t="array" aca="1" ref="GO114" ca="1">IFERROR(IF(AND(OFFSET($E$20,$FJ113,0)="H",OFFSET(AJ$19,$FJ113,0)&lt;&gt;"",OFFSET($F59,$FJ113,0)&lt;&gt;"Hybrid - Thrust + 2 connections"),INDEX(Hyb_Tech,MATCH(OFFSET(AJ$19,$FJ113,0),Hyb_Code,0)),GO$72),GO$72)</f>
        <v>27</v>
      </c>
      <c r="GP114" s="15">
        <f t="array" aca="1" ref="GP114" ca="1">IFERROR(IF(AND(OFFSET($E$20,$FJ113,0)="H",OFFSET(AK$19,$FJ113,0)&lt;&gt;"",OFFSET($F59,$FJ113,0)&lt;&gt;"Hybrid - Thrust + 2 connections"),INDEX(Hyb_Tech,MATCH(OFFSET(AK$19,$FJ113,0),Hyb_Code,0)),GP$72),GP$72)</f>
        <v>28</v>
      </c>
      <c r="GQ114" s="15">
        <f t="array" aca="1" ref="GQ114" ca="1">IFERROR(IF(AND(OFFSET($E$20,$FJ113,0)="H",OFFSET(AL$19,$FJ113,0)&lt;&gt;"",OFFSET($F59,$FJ113,0)&lt;&gt;"Hybrid - Thrust + 2 connections"),INDEX(Hyb_Tech,MATCH(OFFSET(AL$19,$FJ113,0),Hyb_Code,0)),GQ$72),GQ$72)</f>
        <v>29</v>
      </c>
      <c r="GR114" s="15">
        <f t="array" aca="1" ref="GR114" ca="1">IFERROR(IF(AND(OFFSET($E$20,$FJ113,0)="H",OFFSET(AM$19,$FJ113,0)&lt;&gt;"",OFFSET($F59,$FJ113,0)&lt;&gt;"Hybrid - Thrust + 2 connections"),INDEX(Hyb_Tech,MATCH(OFFSET(AM$19,$FJ113,0),Hyb_Code,0)),GR$72),GR$72)</f>
        <v>30</v>
      </c>
    </row>
    <row r="115" spans="166:200" ht="12.75" customHeight="1" x14ac:dyDescent="0.3">
      <c r="FJ115" s="5"/>
      <c r="FK115" s="5"/>
      <c r="FL115" s="5"/>
      <c r="FM115" s="5" t="str">
        <f ca="1">IFERROR(IF(SUM($FO115:$GR115)&gt;3,OFFSET($FO$73,$FJ113*5/2,MATCH(1,FO115:GR115,0)),""),"")</f>
        <v/>
      </c>
      <c r="FN115" s="15" t="str">
        <f ca="1">IFERROR(IF(LEFT(FM115,1)="C",IF(RIGHT(FM115,1)="+",LEFT(FM115,LEN(FM115)-1),CONCATENATE(FM115,"+")),IF(SUM($FO115:$GR115)&gt;3,OFFSET($FO$73,$FJ113*5/2,MATCH(0.5,FO115:GR115,0)),"")),"")</f>
        <v/>
      </c>
      <c r="FO115" s="15" t="str">
        <f t="array" aca="1" ref="FO115" ca="1">IF(COUNTIF($FO114:$GR114,FO114)&gt;3,INDEX(Hyb_Tech_Value,MATCH(FO113,Hyb_Code,0)),"")</f>
        <v/>
      </c>
      <c r="FP115" s="15" t="str">
        <f t="array" aca="1" ref="FP115" ca="1">IF(COUNTIF($FO114:$GR114,FP114)&gt;3,INDEX(Hyb_Tech_Value,MATCH(FP113,Hyb_Code,0)),"")</f>
        <v/>
      </c>
      <c r="FQ115" s="15" t="str">
        <f t="array" aca="1" ref="FQ115" ca="1">IF(COUNTIF($FO114:$GR114,FQ114)&gt;3,INDEX(Hyb_Tech_Value,MATCH(FQ113,Hyb_Code,0)),"")</f>
        <v/>
      </c>
      <c r="FR115" s="15" t="str">
        <f t="array" aca="1" ref="FR115" ca="1">IF(COUNTIF($FO114:$GR114,FR114)&gt;3,INDEX(Hyb_Tech_Value,MATCH(FR113,Hyb_Code,0)),"")</f>
        <v/>
      </c>
      <c r="FS115" s="15" t="str">
        <f t="array" aca="1" ref="FS115" ca="1">IF(COUNTIF($FO114:$GR114,FS114)&gt;3,INDEX(Hyb_Tech_Value,MATCH(FS113,Hyb_Code,0)),"")</f>
        <v/>
      </c>
      <c r="FT115" s="15" t="str">
        <f t="array" aca="1" ref="FT115" ca="1">IF(COUNTIF($FO114:$GR114,FT114)&gt;3,INDEX(Hyb_Tech_Value,MATCH(FT113,Hyb_Code,0)),"")</f>
        <v/>
      </c>
      <c r="FU115" s="15" t="str">
        <f t="array" aca="1" ref="FU115" ca="1">IF(COUNTIF($FO114:$GR114,FU114)&gt;3,INDEX(Hyb_Tech_Value,MATCH(FU113,Hyb_Code,0)),"")</f>
        <v/>
      </c>
      <c r="FV115" s="15" t="str">
        <f t="array" aca="1" ref="FV115" ca="1">IF(COUNTIF($FO114:$GR114,FV114)&gt;3,INDEX(Hyb_Tech_Value,MATCH(FV113,Hyb_Code,0)),"")</f>
        <v/>
      </c>
      <c r="FW115" s="15" t="str">
        <f t="array" aca="1" ref="FW115" ca="1">IF(COUNTIF($FO114:$GR114,FW114)&gt;3,INDEX(Hyb_Tech_Value,MATCH(FW113,Hyb_Code,0)),"")</f>
        <v/>
      </c>
      <c r="FX115" s="15" t="str">
        <f t="array" aca="1" ref="FX115" ca="1">IF(COUNTIF($FO114:$GR114,FX114)&gt;3,INDEX(Hyb_Tech_Value,MATCH(FX113,Hyb_Code,0)),"")</f>
        <v/>
      </c>
      <c r="FY115" s="15" t="str">
        <f t="array" aca="1" ref="FY115" ca="1">IF(COUNTIF($FO114:$GR114,FY114)&gt;3,INDEX(Hyb_Tech_Value,MATCH(FY113,Hyb_Code,0)),"")</f>
        <v/>
      </c>
      <c r="FZ115" s="15" t="str">
        <f t="array" aca="1" ref="FZ115" ca="1">IF(COUNTIF($FO114:$GR114,FZ114)&gt;3,INDEX(Hyb_Tech_Value,MATCH(FZ113,Hyb_Code,0)),"")</f>
        <v/>
      </c>
      <c r="GA115" s="15" t="str">
        <f t="array" aca="1" ref="GA115" ca="1">IF(COUNTIF($FO114:$GR114,GA114)&gt;3,INDEX(Hyb_Tech_Value,MATCH(GA113,Hyb_Code,0)),"")</f>
        <v/>
      </c>
      <c r="GB115" s="15" t="str">
        <f t="array" aca="1" ref="GB115" ca="1">IF(COUNTIF($FO114:$GR114,GB114)&gt;3,INDEX(Hyb_Tech_Value,MATCH(GB113,Hyb_Code,0)),"")</f>
        <v/>
      </c>
      <c r="GC115" s="15" t="str">
        <f t="array" aca="1" ref="GC115" ca="1">IF(COUNTIF($FO114:$GR114,GC114)&gt;3,INDEX(Hyb_Tech_Value,MATCH(GC113,Hyb_Code,0)),"")</f>
        <v/>
      </c>
      <c r="GD115" s="15" t="str">
        <f t="array" aca="1" ref="GD115" ca="1">IF(COUNTIF($FO114:$GR114,GD114)&gt;3,INDEX(Hyb_Tech_Value,MATCH(GD113,Hyb_Code,0)),"")</f>
        <v/>
      </c>
      <c r="GE115" s="15" t="str">
        <f t="array" aca="1" ref="GE115" ca="1">IF(COUNTIF($FO114:$GR114,GE114)&gt;3,INDEX(Hyb_Tech_Value,MATCH(GE113,Hyb_Code,0)),"")</f>
        <v/>
      </c>
      <c r="GF115" s="15" t="str">
        <f t="array" aca="1" ref="GF115" ca="1">IF(COUNTIF($FO114:$GR114,GF114)&gt;3,INDEX(Hyb_Tech_Value,MATCH(GF113,Hyb_Code,0)),"")</f>
        <v/>
      </c>
      <c r="GG115" s="15" t="str">
        <f t="array" aca="1" ref="GG115" ca="1">IF(COUNTIF($FO114:$GR114,GG114)&gt;3,INDEX(Hyb_Tech_Value,MATCH(GG113,Hyb_Code,0)),"")</f>
        <v/>
      </c>
      <c r="GH115" s="15" t="str">
        <f t="array" aca="1" ref="GH115" ca="1">IF(COUNTIF($FO114:$GR114,GH114)&gt;3,INDEX(Hyb_Tech_Value,MATCH(GH113,Hyb_Code,0)),"")</f>
        <v/>
      </c>
      <c r="GI115" s="15" t="str">
        <f t="array" aca="1" ref="GI115" ca="1">IF(COUNTIF($FO114:$GR114,GI114)&gt;3,INDEX(Hyb_Tech_Value,MATCH(GI113,Hyb_Code,0)),"")</f>
        <v/>
      </c>
      <c r="GJ115" s="15" t="str">
        <f t="array" aca="1" ref="GJ115" ca="1">IF(COUNTIF($FO114:$GR114,GJ114)&gt;3,INDEX(Hyb_Tech_Value,MATCH(GJ113,Hyb_Code,0)),"")</f>
        <v/>
      </c>
      <c r="GK115" s="15" t="str">
        <f t="array" aca="1" ref="GK115" ca="1">IF(COUNTIF($FO114:$GR114,GK114)&gt;3,INDEX(Hyb_Tech_Value,MATCH(GK113,Hyb_Code,0)),"")</f>
        <v/>
      </c>
      <c r="GL115" s="15" t="str">
        <f t="array" aca="1" ref="GL115" ca="1">IF(COUNTIF($FO114:$GR114,GL114)&gt;3,INDEX(Hyb_Tech_Value,MATCH(GL113,Hyb_Code,0)),"")</f>
        <v/>
      </c>
      <c r="GM115" s="15" t="str">
        <f t="array" aca="1" ref="GM115" ca="1">IF(COUNTIF($FO114:$GR114,GM114)&gt;3,INDEX(Hyb_Tech_Value,MATCH(GM113,Hyb_Code,0)),"")</f>
        <v/>
      </c>
      <c r="GN115" s="15" t="str">
        <f t="array" aca="1" ref="GN115" ca="1">IF(COUNTIF($FO114:$GR114,GN114)&gt;3,INDEX(Hyb_Tech_Value,MATCH(GN113,Hyb_Code,0)),"")</f>
        <v/>
      </c>
      <c r="GO115" s="15" t="str">
        <f t="array" aca="1" ref="GO115" ca="1">IF(COUNTIF($FO114:$GR114,GO114)&gt;3,INDEX(Hyb_Tech_Value,MATCH(GO113,Hyb_Code,0)),"")</f>
        <v/>
      </c>
      <c r="GP115" s="15" t="str">
        <f t="array" aca="1" ref="GP115" ca="1">IF(COUNTIF($FO114:$GR114,GP114)&gt;3,INDEX(Hyb_Tech_Value,MATCH(GP113,Hyb_Code,0)),"")</f>
        <v/>
      </c>
      <c r="GQ115" s="15" t="str">
        <f t="array" aca="1" ref="GQ115" ca="1">IF(COUNTIF($FO114:$GR114,GQ114)&gt;3,INDEX(Hyb_Tech_Value,MATCH(GQ113,Hyb_Code,0)),"")</f>
        <v/>
      </c>
      <c r="GR115" s="15" t="str">
        <f t="array" aca="1" ref="GR115" ca="1">IF(COUNTIF($FO114:$GR114,GR114)&gt;3,INDEX(Hyb_Tech_Value,MATCH(GR113,Hyb_Code,0)),"")</f>
        <v/>
      </c>
    </row>
    <row r="116" spans="166:200" ht="12.75" customHeight="1" x14ac:dyDescent="0.3">
      <c r="FJ116" s="5"/>
      <c r="FK116" s="5"/>
      <c r="FL116" s="5"/>
      <c r="FM116" s="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row>
    <row r="117" spans="166:200" ht="12.75" customHeight="1" x14ac:dyDescent="0.3">
      <c r="FJ117" s="5"/>
      <c r="FK117" s="5"/>
      <c r="FL117" s="5"/>
      <c r="FM117" s="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row>
    <row r="118" spans="166:200" ht="12.75" customHeight="1" x14ac:dyDescent="0.3">
      <c r="FJ118" s="5">
        <v>18</v>
      </c>
      <c r="FK118" s="5"/>
      <c r="FL118" s="5"/>
      <c r="FM118" s="15"/>
      <c r="FN118" s="15"/>
      <c r="FO118" s="15">
        <f t="shared" ref="FO118:GR118" ca="1" si="345">IFERROR(IF(AND(OFFSET($E$20,$FJ118,0)="H",OFFSET(J$19,$FJ118,0)&lt;&gt;""),UPPER(OFFSET(J$19,$FJ118,0)),FO$18),FO$18)</f>
        <v>1</v>
      </c>
      <c r="FP118" s="15">
        <f t="shared" ca="1" si="345"/>
        <v>2</v>
      </c>
      <c r="FQ118" s="15">
        <f t="shared" ca="1" si="345"/>
        <v>3</v>
      </c>
      <c r="FR118" s="15">
        <f t="shared" ca="1" si="345"/>
        <v>4</v>
      </c>
      <c r="FS118" s="15">
        <f t="shared" ca="1" si="345"/>
        <v>5</v>
      </c>
      <c r="FT118" s="15">
        <f t="shared" ca="1" si="345"/>
        <v>6</v>
      </c>
      <c r="FU118" s="15">
        <f t="shared" ca="1" si="345"/>
        <v>7</v>
      </c>
      <c r="FV118" s="15">
        <f t="shared" ca="1" si="345"/>
        <v>8</v>
      </c>
      <c r="FW118" s="15">
        <f t="shared" ca="1" si="345"/>
        <v>9</v>
      </c>
      <c r="FX118" s="15">
        <f t="shared" ca="1" si="345"/>
        <v>10</v>
      </c>
      <c r="FY118" s="15">
        <f t="shared" ca="1" si="345"/>
        <v>11</v>
      </c>
      <c r="FZ118" s="15">
        <f t="shared" ca="1" si="345"/>
        <v>12</v>
      </c>
      <c r="GA118" s="15">
        <f t="shared" ca="1" si="345"/>
        <v>13</v>
      </c>
      <c r="GB118" s="15">
        <f t="shared" ca="1" si="345"/>
        <v>14</v>
      </c>
      <c r="GC118" s="15">
        <f t="shared" ca="1" si="345"/>
        <v>15</v>
      </c>
      <c r="GD118" s="15">
        <f t="shared" ca="1" si="345"/>
        <v>16</v>
      </c>
      <c r="GE118" s="15">
        <f t="shared" ca="1" si="345"/>
        <v>17</v>
      </c>
      <c r="GF118" s="15">
        <f t="shared" ca="1" si="345"/>
        <v>18</v>
      </c>
      <c r="GG118" s="15">
        <f t="shared" ca="1" si="345"/>
        <v>19</v>
      </c>
      <c r="GH118" s="15">
        <f t="shared" ca="1" si="345"/>
        <v>20</v>
      </c>
      <c r="GI118" s="15">
        <f t="shared" ca="1" si="345"/>
        <v>21</v>
      </c>
      <c r="GJ118" s="15">
        <f t="shared" ca="1" si="345"/>
        <v>22</v>
      </c>
      <c r="GK118" s="15">
        <f t="shared" ca="1" si="345"/>
        <v>23</v>
      </c>
      <c r="GL118" s="15">
        <f t="shared" ca="1" si="345"/>
        <v>24</v>
      </c>
      <c r="GM118" s="15">
        <f t="shared" ca="1" si="345"/>
        <v>25</v>
      </c>
      <c r="GN118" s="15">
        <f t="shared" ca="1" si="345"/>
        <v>26</v>
      </c>
      <c r="GO118" s="15">
        <f t="shared" ca="1" si="345"/>
        <v>27</v>
      </c>
      <c r="GP118" s="15">
        <f t="shared" ca="1" si="345"/>
        <v>28</v>
      </c>
      <c r="GQ118" s="15">
        <f t="shared" ca="1" si="345"/>
        <v>29</v>
      </c>
      <c r="GR118" s="15">
        <f t="shared" ca="1" si="345"/>
        <v>30</v>
      </c>
    </row>
    <row r="119" spans="166:200" ht="12.75" customHeight="1" x14ac:dyDescent="0.3">
      <c r="FJ119" s="5"/>
      <c r="FK119" s="5"/>
      <c r="FL119" s="5"/>
      <c r="FM119" s="5"/>
      <c r="FN119" s="5"/>
      <c r="FO119" s="15">
        <f t="array" aca="1" ref="FO119" ca="1">IFERROR(IF(AND(OFFSET($E$20,$FJ118,0)="H",OFFSET(J$19,$FJ118,0)&lt;&gt;"",OFFSET($F64,$FJ118,0)&lt;&gt;"Hybrid - Thrust + 2 connections"),INDEX(Hyb_Tech,MATCH(OFFSET(J$19,$FJ118,0),Hyb_Code,0)),FO$72),FO$72)</f>
        <v>1</v>
      </c>
      <c r="FP119" s="15">
        <f t="array" aca="1" ref="FP119" ca="1">IFERROR(IF(AND(OFFSET($E$20,$FJ118,0)="H",OFFSET(K$19,$FJ118,0)&lt;&gt;"",OFFSET($F64,$FJ118,0)&lt;&gt;"Hybrid - Thrust + 2 connections"),INDEX(Hyb_Tech,MATCH(OFFSET(K$19,$FJ118,0),Hyb_Code,0)),FP$72),FP$72)</f>
        <v>2</v>
      </c>
      <c r="FQ119" s="15">
        <f t="array" aca="1" ref="FQ119" ca="1">IFERROR(IF(AND(OFFSET($E$20,$FJ118,0)="H",OFFSET(L$19,$FJ118,0)&lt;&gt;"",OFFSET($F64,$FJ118,0)&lt;&gt;"Hybrid - Thrust + 2 connections"),INDEX(Hyb_Tech,MATCH(OFFSET(L$19,$FJ118,0),Hyb_Code,0)),FQ$72),FQ$72)</f>
        <v>3</v>
      </c>
      <c r="FR119" s="15">
        <f t="array" aca="1" ref="FR119" ca="1">IFERROR(IF(AND(OFFSET($E$20,$FJ118,0)="H",OFFSET(M$19,$FJ118,0)&lt;&gt;"",OFFSET($F64,$FJ118,0)&lt;&gt;"Hybrid - Thrust + 2 connections"),INDEX(Hyb_Tech,MATCH(OFFSET(M$19,$FJ118,0),Hyb_Code,0)),FR$72),FR$72)</f>
        <v>4</v>
      </c>
      <c r="FS119" s="15">
        <f t="array" aca="1" ref="FS119" ca="1">IFERROR(IF(AND(OFFSET($E$20,$FJ118,0)="H",OFFSET(N$19,$FJ118,0)&lt;&gt;"",OFFSET($F64,$FJ118,0)&lt;&gt;"Hybrid - Thrust + 2 connections"),INDEX(Hyb_Tech,MATCH(OFFSET(N$19,$FJ118,0),Hyb_Code,0)),FS$72),FS$72)</f>
        <v>5</v>
      </c>
      <c r="FT119" s="15">
        <f t="array" aca="1" ref="FT119" ca="1">IFERROR(IF(AND(OFFSET($E$20,$FJ118,0)="H",OFFSET(O$19,$FJ118,0)&lt;&gt;"",OFFSET($F64,$FJ118,0)&lt;&gt;"Hybrid - Thrust + 2 connections"),INDEX(Hyb_Tech,MATCH(OFFSET(O$19,$FJ118,0),Hyb_Code,0)),FT$72),FT$72)</f>
        <v>6</v>
      </c>
      <c r="FU119" s="15">
        <f t="array" aca="1" ref="FU119" ca="1">IFERROR(IF(AND(OFFSET($E$20,$FJ118,0)="H",OFFSET(P$19,$FJ118,0)&lt;&gt;"",OFFSET($F64,$FJ118,0)&lt;&gt;"Hybrid - Thrust + 2 connections"),INDEX(Hyb_Tech,MATCH(OFFSET(P$19,$FJ118,0),Hyb_Code,0)),FU$72),FU$72)</f>
        <v>7</v>
      </c>
      <c r="FV119" s="15">
        <f t="array" aca="1" ref="FV119" ca="1">IFERROR(IF(AND(OFFSET($E$20,$FJ118,0)="H",OFFSET(Q$19,$FJ118,0)&lt;&gt;"",OFFSET($F64,$FJ118,0)&lt;&gt;"Hybrid - Thrust + 2 connections"),INDEX(Hyb_Tech,MATCH(OFFSET(Q$19,$FJ118,0),Hyb_Code,0)),FV$72),FV$72)</f>
        <v>8</v>
      </c>
      <c r="FW119" s="15">
        <f t="array" aca="1" ref="FW119" ca="1">IFERROR(IF(AND(OFFSET($E$20,$FJ118,0)="H",OFFSET(R$19,$FJ118,0)&lt;&gt;"",OFFSET($F64,$FJ118,0)&lt;&gt;"Hybrid - Thrust + 2 connections"),INDEX(Hyb_Tech,MATCH(OFFSET(R$19,$FJ118,0),Hyb_Code,0)),FW$72),FW$72)</f>
        <v>9</v>
      </c>
      <c r="FX119" s="15">
        <f t="array" aca="1" ref="FX119" ca="1">IFERROR(IF(AND(OFFSET($E$20,$FJ118,0)="H",OFFSET(S$19,$FJ118,0)&lt;&gt;"",OFFSET($F64,$FJ118,0)&lt;&gt;"Hybrid - Thrust + 2 connections"),INDEX(Hyb_Tech,MATCH(OFFSET(S$19,$FJ118,0),Hyb_Code,0)),FX$72),FX$72)</f>
        <v>10</v>
      </c>
      <c r="FY119" s="15">
        <f t="array" aca="1" ref="FY119" ca="1">IFERROR(IF(AND(OFFSET($E$20,$FJ118,0)="H",OFFSET(T$19,$FJ118,0)&lt;&gt;"",OFFSET($F64,$FJ118,0)&lt;&gt;"Hybrid - Thrust + 2 connections"),INDEX(Hyb_Tech,MATCH(OFFSET(T$19,$FJ118,0),Hyb_Code,0)),FY$72),FY$72)</f>
        <v>11</v>
      </c>
      <c r="FZ119" s="15">
        <f t="array" aca="1" ref="FZ119" ca="1">IFERROR(IF(AND(OFFSET($E$20,$FJ118,0)="H",OFFSET(U$19,$FJ118,0)&lt;&gt;"",OFFSET($F64,$FJ118,0)&lt;&gt;"Hybrid - Thrust + 2 connections"),INDEX(Hyb_Tech,MATCH(OFFSET(U$19,$FJ118,0),Hyb_Code,0)),FZ$72),FZ$72)</f>
        <v>12</v>
      </c>
      <c r="GA119" s="15">
        <f t="array" aca="1" ref="GA119" ca="1">IFERROR(IF(AND(OFFSET($E$20,$FJ118,0)="H",OFFSET(V$19,$FJ118,0)&lt;&gt;"",OFFSET($F64,$FJ118,0)&lt;&gt;"Hybrid - Thrust + 2 connections"),INDEX(Hyb_Tech,MATCH(OFFSET(V$19,$FJ118,0),Hyb_Code,0)),GA$72),GA$72)</f>
        <v>13</v>
      </c>
      <c r="GB119" s="15">
        <f t="array" aca="1" ref="GB119" ca="1">IFERROR(IF(AND(OFFSET($E$20,$FJ118,0)="H",OFFSET(W$19,$FJ118,0)&lt;&gt;"",OFFSET($F64,$FJ118,0)&lt;&gt;"Hybrid - Thrust + 2 connections"),INDEX(Hyb_Tech,MATCH(OFFSET(W$19,$FJ118,0),Hyb_Code,0)),GB$72),GB$72)</f>
        <v>14</v>
      </c>
      <c r="GC119" s="15">
        <f t="array" aca="1" ref="GC119" ca="1">IFERROR(IF(AND(OFFSET($E$20,$FJ118,0)="H",OFFSET(X$19,$FJ118,0)&lt;&gt;"",OFFSET($F64,$FJ118,0)&lt;&gt;"Hybrid - Thrust + 2 connections"),INDEX(Hyb_Tech,MATCH(OFFSET(X$19,$FJ118,0),Hyb_Code,0)),GC$72),GC$72)</f>
        <v>15</v>
      </c>
      <c r="GD119" s="15">
        <f t="array" aca="1" ref="GD119" ca="1">IFERROR(IF(AND(OFFSET($E$20,$FJ118,0)="H",OFFSET(Y$19,$FJ118,0)&lt;&gt;"",OFFSET($F64,$FJ118,0)&lt;&gt;"Hybrid - Thrust + 2 connections"),INDEX(Hyb_Tech,MATCH(OFFSET(Y$19,$FJ118,0),Hyb_Code,0)),GD$72),GD$72)</f>
        <v>16</v>
      </c>
      <c r="GE119" s="15">
        <f t="array" aca="1" ref="GE119" ca="1">IFERROR(IF(AND(OFFSET($E$20,$FJ118,0)="H",OFFSET(Z$19,$FJ118,0)&lt;&gt;"",OFFSET($F64,$FJ118,0)&lt;&gt;"Hybrid - Thrust + 2 connections"),INDEX(Hyb_Tech,MATCH(OFFSET(Z$19,$FJ118,0),Hyb_Code,0)),GE$72),GE$72)</f>
        <v>17</v>
      </c>
      <c r="GF119" s="15">
        <f t="array" aca="1" ref="GF119" ca="1">IFERROR(IF(AND(OFFSET($E$20,$FJ118,0)="H",OFFSET(AA$19,$FJ118,0)&lt;&gt;"",OFFSET($F64,$FJ118,0)&lt;&gt;"Hybrid - Thrust + 2 connections"),INDEX(Hyb_Tech,MATCH(OFFSET(AA$19,$FJ118,0),Hyb_Code,0)),GF$72),GF$72)</f>
        <v>18</v>
      </c>
      <c r="GG119" s="15">
        <f t="array" aca="1" ref="GG119" ca="1">IFERROR(IF(AND(OFFSET($E$20,$FJ118,0)="H",OFFSET(AB$19,$FJ118,0)&lt;&gt;"",OFFSET($F64,$FJ118,0)&lt;&gt;"Hybrid - Thrust + 2 connections"),INDEX(Hyb_Tech,MATCH(OFFSET(AB$19,$FJ118,0),Hyb_Code,0)),GG$72),GG$72)</f>
        <v>19</v>
      </c>
      <c r="GH119" s="15">
        <f t="array" aca="1" ref="GH119" ca="1">IFERROR(IF(AND(OFFSET($E$20,$FJ118,0)="H",OFFSET(AC$19,$FJ118,0)&lt;&gt;"",OFFSET($F64,$FJ118,0)&lt;&gt;"Hybrid - Thrust + 2 connections"),INDEX(Hyb_Tech,MATCH(OFFSET(AC$19,$FJ118,0),Hyb_Code,0)),GH$72),GH$72)</f>
        <v>20</v>
      </c>
      <c r="GI119" s="15">
        <f t="array" aca="1" ref="GI119" ca="1">IFERROR(IF(AND(OFFSET($E$20,$FJ118,0)="H",OFFSET(AD$19,$FJ118,0)&lt;&gt;"",OFFSET($F64,$FJ118,0)&lt;&gt;"Hybrid - Thrust + 2 connections"),INDEX(Hyb_Tech,MATCH(OFFSET(AD$19,$FJ118,0),Hyb_Code,0)),GI$72),GI$72)</f>
        <v>21</v>
      </c>
      <c r="GJ119" s="15">
        <f t="array" aca="1" ref="GJ119" ca="1">IFERROR(IF(AND(OFFSET($E$20,$FJ118,0)="H",OFFSET(AE$19,$FJ118,0)&lt;&gt;"",OFFSET($F64,$FJ118,0)&lt;&gt;"Hybrid - Thrust + 2 connections"),INDEX(Hyb_Tech,MATCH(OFFSET(AE$19,$FJ118,0),Hyb_Code,0)),GJ$72),GJ$72)</f>
        <v>22</v>
      </c>
      <c r="GK119" s="15">
        <f t="array" aca="1" ref="GK119" ca="1">IFERROR(IF(AND(OFFSET($E$20,$FJ118,0)="H",OFFSET(AF$19,$FJ118,0)&lt;&gt;"",OFFSET($F64,$FJ118,0)&lt;&gt;"Hybrid - Thrust + 2 connections"),INDEX(Hyb_Tech,MATCH(OFFSET(AF$19,$FJ118,0),Hyb_Code,0)),GK$72),GK$72)</f>
        <v>23</v>
      </c>
      <c r="GL119" s="15">
        <f t="array" aca="1" ref="GL119" ca="1">IFERROR(IF(AND(OFFSET($E$20,$FJ118,0)="H",OFFSET(AG$19,$FJ118,0)&lt;&gt;"",OFFSET($F64,$FJ118,0)&lt;&gt;"Hybrid - Thrust + 2 connections"),INDEX(Hyb_Tech,MATCH(OFFSET(AG$19,$FJ118,0),Hyb_Code,0)),GL$72),GL$72)</f>
        <v>24</v>
      </c>
      <c r="GM119" s="15">
        <f t="array" aca="1" ref="GM119" ca="1">IFERROR(IF(AND(OFFSET($E$20,$FJ118,0)="H",OFFSET(AH$19,$FJ118,0)&lt;&gt;"",OFFSET($F64,$FJ118,0)&lt;&gt;"Hybrid - Thrust + 2 connections"),INDEX(Hyb_Tech,MATCH(OFFSET(AH$19,$FJ118,0),Hyb_Code,0)),GM$72),GM$72)</f>
        <v>25</v>
      </c>
      <c r="GN119" s="15">
        <f t="array" aca="1" ref="GN119" ca="1">IFERROR(IF(AND(OFFSET($E$20,$FJ118,0)="H",OFFSET(AI$19,$FJ118,0)&lt;&gt;"",OFFSET($F64,$FJ118,0)&lt;&gt;"Hybrid - Thrust + 2 connections"),INDEX(Hyb_Tech,MATCH(OFFSET(AI$19,$FJ118,0),Hyb_Code,0)),GN$72),GN$72)</f>
        <v>26</v>
      </c>
      <c r="GO119" s="15">
        <f t="array" aca="1" ref="GO119" ca="1">IFERROR(IF(AND(OFFSET($E$20,$FJ118,0)="H",OFFSET(AJ$19,$FJ118,0)&lt;&gt;"",OFFSET($F64,$FJ118,0)&lt;&gt;"Hybrid - Thrust + 2 connections"),INDEX(Hyb_Tech,MATCH(OFFSET(AJ$19,$FJ118,0),Hyb_Code,0)),GO$72),GO$72)</f>
        <v>27</v>
      </c>
      <c r="GP119" s="15">
        <f t="array" aca="1" ref="GP119" ca="1">IFERROR(IF(AND(OFFSET($E$20,$FJ118,0)="H",OFFSET(AK$19,$FJ118,0)&lt;&gt;"",OFFSET($F64,$FJ118,0)&lt;&gt;"Hybrid - Thrust + 2 connections"),INDEX(Hyb_Tech,MATCH(OFFSET(AK$19,$FJ118,0),Hyb_Code,0)),GP$72),GP$72)</f>
        <v>28</v>
      </c>
      <c r="GQ119" s="15">
        <f t="array" aca="1" ref="GQ119" ca="1">IFERROR(IF(AND(OFFSET($E$20,$FJ118,0)="H",OFFSET(AL$19,$FJ118,0)&lt;&gt;"",OFFSET($F64,$FJ118,0)&lt;&gt;"Hybrid - Thrust + 2 connections"),INDEX(Hyb_Tech,MATCH(OFFSET(AL$19,$FJ118,0),Hyb_Code,0)),GQ$72),GQ$72)</f>
        <v>29</v>
      </c>
      <c r="GR119" s="15">
        <f t="array" aca="1" ref="GR119" ca="1">IFERROR(IF(AND(OFFSET($E$20,$FJ118,0)="H",OFFSET(AM$19,$FJ118,0)&lt;&gt;"",OFFSET($F64,$FJ118,0)&lt;&gt;"Hybrid - Thrust + 2 connections"),INDEX(Hyb_Tech,MATCH(OFFSET(AM$19,$FJ118,0),Hyb_Code,0)),GR$72),GR$72)</f>
        <v>30</v>
      </c>
    </row>
    <row r="120" spans="166:200" ht="12.75" customHeight="1" x14ac:dyDescent="0.3">
      <c r="FJ120" s="5"/>
      <c r="FK120" s="5"/>
      <c r="FL120" s="5"/>
      <c r="FM120" s="5" t="str">
        <f ca="1">IFERROR(IF(SUM($FO120:$GR120)&gt;3,OFFSET($FO$73,$FJ118*5/2,MATCH(1,FO120:GR120,0)),""),"")</f>
        <v/>
      </c>
      <c r="FN120" s="15" t="str">
        <f ca="1">IFERROR(IF(LEFT(FM120,1)="C",IF(RIGHT(FM120,1)="+",LEFT(FM120,LEN(FM120)-1),CONCATENATE(FM120,"+")),IF(SUM($FO120:$GR120)&gt;3,OFFSET($FO$73,$FJ118*5/2,MATCH(0.5,FO120:GR120,0)),"")),"")</f>
        <v/>
      </c>
      <c r="FO120" s="15" t="str">
        <f t="array" aca="1" ref="FO120" ca="1">IF(COUNTIF($FO119:$GR119,FO119)&gt;3,INDEX(Hyb_Tech_Value,MATCH(FO118,Hyb_Code,0)),"")</f>
        <v/>
      </c>
      <c r="FP120" s="15" t="str">
        <f t="array" aca="1" ref="FP120" ca="1">IF(COUNTIF($FO119:$GR119,FP119)&gt;3,INDEX(Hyb_Tech_Value,MATCH(FP118,Hyb_Code,0)),"")</f>
        <v/>
      </c>
      <c r="FQ120" s="15" t="str">
        <f t="array" aca="1" ref="FQ120" ca="1">IF(COUNTIF($FO119:$GR119,FQ119)&gt;3,INDEX(Hyb_Tech_Value,MATCH(FQ118,Hyb_Code,0)),"")</f>
        <v/>
      </c>
      <c r="FR120" s="15" t="str">
        <f t="array" aca="1" ref="FR120" ca="1">IF(COUNTIF($FO119:$GR119,FR119)&gt;3,INDEX(Hyb_Tech_Value,MATCH(FR118,Hyb_Code,0)),"")</f>
        <v/>
      </c>
      <c r="FS120" s="15" t="str">
        <f t="array" aca="1" ref="FS120" ca="1">IF(COUNTIF($FO119:$GR119,FS119)&gt;3,INDEX(Hyb_Tech_Value,MATCH(FS118,Hyb_Code,0)),"")</f>
        <v/>
      </c>
      <c r="FT120" s="15" t="str">
        <f t="array" aca="1" ref="FT120" ca="1">IF(COUNTIF($FO119:$GR119,FT119)&gt;3,INDEX(Hyb_Tech_Value,MATCH(FT118,Hyb_Code,0)),"")</f>
        <v/>
      </c>
      <c r="FU120" s="15" t="str">
        <f t="array" aca="1" ref="FU120" ca="1">IF(COUNTIF($FO119:$GR119,FU119)&gt;3,INDEX(Hyb_Tech_Value,MATCH(FU118,Hyb_Code,0)),"")</f>
        <v/>
      </c>
      <c r="FV120" s="15" t="str">
        <f t="array" aca="1" ref="FV120" ca="1">IF(COUNTIF($FO119:$GR119,FV119)&gt;3,INDEX(Hyb_Tech_Value,MATCH(FV118,Hyb_Code,0)),"")</f>
        <v/>
      </c>
      <c r="FW120" s="15" t="str">
        <f t="array" aca="1" ref="FW120" ca="1">IF(COUNTIF($FO119:$GR119,FW119)&gt;3,INDEX(Hyb_Tech_Value,MATCH(FW118,Hyb_Code,0)),"")</f>
        <v/>
      </c>
      <c r="FX120" s="15" t="str">
        <f t="array" aca="1" ref="FX120" ca="1">IF(COUNTIF($FO119:$GR119,FX119)&gt;3,INDEX(Hyb_Tech_Value,MATCH(FX118,Hyb_Code,0)),"")</f>
        <v/>
      </c>
      <c r="FY120" s="15" t="str">
        <f t="array" aca="1" ref="FY120" ca="1">IF(COUNTIF($FO119:$GR119,FY119)&gt;3,INDEX(Hyb_Tech_Value,MATCH(FY118,Hyb_Code,0)),"")</f>
        <v/>
      </c>
      <c r="FZ120" s="15" t="str">
        <f t="array" aca="1" ref="FZ120" ca="1">IF(COUNTIF($FO119:$GR119,FZ119)&gt;3,INDEX(Hyb_Tech_Value,MATCH(FZ118,Hyb_Code,0)),"")</f>
        <v/>
      </c>
      <c r="GA120" s="15" t="str">
        <f t="array" aca="1" ref="GA120" ca="1">IF(COUNTIF($FO119:$GR119,GA119)&gt;3,INDEX(Hyb_Tech_Value,MATCH(GA118,Hyb_Code,0)),"")</f>
        <v/>
      </c>
      <c r="GB120" s="15" t="str">
        <f t="array" aca="1" ref="GB120" ca="1">IF(COUNTIF($FO119:$GR119,GB119)&gt;3,INDEX(Hyb_Tech_Value,MATCH(GB118,Hyb_Code,0)),"")</f>
        <v/>
      </c>
      <c r="GC120" s="15" t="str">
        <f t="array" aca="1" ref="GC120" ca="1">IF(COUNTIF($FO119:$GR119,GC119)&gt;3,INDEX(Hyb_Tech_Value,MATCH(GC118,Hyb_Code,0)),"")</f>
        <v/>
      </c>
      <c r="GD120" s="15" t="str">
        <f t="array" aca="1" ref="GD120" ca="1">IF(COUNTIF($FO119:$GR119,GD119)&gt;3,INDEX(Hyb_Tech_Value,MATCH(GD118,Hyb_Code,0)),"")</f>
        <v/>
      </c>
      <c r="GE120" s="15" t="str">
        <f t="array" aca="1" ref="GE120" ca="1">IF(COUNTIF($FO119:$GR119,GE119)&gt;3,INDEX(Hyb_Tech_Value,MATCH(GE118,Hyb_Code,0)),"")</f>
        <v/>
      </c>
      <c r="GF120" s="15" t="str">
        <f t="array" aca="1" ref="GF120" ca="1">IF(COUNTIF($FO119:$GR119,GF119)&gt;3,INDEX(Hyb_Tech_Value,MATCH(GF118,Hyb_Code,0)),"")</f>
        <v/>
      </c>
      <c r="GG120" s="15" t="str">
        <f t="array" aca="1" ref="GG120" ca="1">IF(COUNTIF($FO119:$GR119,GG119)&gt;3,INDEX(Hyb_Tech_Value,MATCH(GG118,Hyb_Code,0)),"")</f>
        <v/>
      </c>
      <c r="GH120" s="15" t="str">
        <f t="array" aca="1" ref="GH120" ca="1">IF(COUNTIF($FO119:$GR119,GH119)&gt;3,INDEX(Hyb_Tech_Value,MATCH(GH118,Hyb_Code,0)),"")</f>
        <v/>
      </c>
      <c r="GI120" s="15" t="str">
        <f t="array" aca="1" ref="GI120" ca="1">IF(COUNTIF($FO119:$GR119,GI119)&gt;3,INDEX(Hyb_Tech_Value,MATCH(GI118,Hyb_Code,0)),"")</f>
        <v/>
      </c>
      <c r="GJ120" s="15" t="str">
        <f t="array" aca="1" ref="GJ120" ca="1">IF(COUNTIF($FO119:$GR119,GJ119)&gt;3,INDEX(Hyb_Tech_Value,MATCH(GJ118,Hyb_Code,0)),"")</f>
        <v/>
      </c>
      <c r="GK120" s="15" t="str">
        <f t="array" aca="1" ref="GK120" ca="1">IF(COUNTIF($FO119:$GR119,GK119)&gt;3,INDEX(Hyb_Tech_Value,MATCH(GK118,Hyb_Code,0)),"")</f>
        <v/>
      </c>
      <c r="GL120" s="15" t="str">
        <f t="array" aca="1" ref="GL120" ca="1">IF(COUNTIF($FO119:$GR119,GL119)&gt;3,INDEX(Hyb_Tech_Value,MATCH(GL118,Hyb_Code,0)),"")</f>
        <v/>
      </c>
      <c r="GM120" s="15" t="str">
        <f t="array" aca="1" ref="GM120" ca="1">IF(COUNTIF($FO119:$GR119,GM119)&gt;3,INDEX(Hyb_Tech_Value,MATCH(GM118,Hyb_Code,0)),"")</f>
        <v/>
      </c>
      <c r="GN120" s="15" t="str">
        <f t="array" aca="1" ref="GN120" ca="1">IF(COUNTIF($FO119:$GR119,GN119)&gt;3,INDEX(Hyb_Tech_Value,MATCH(GN118,Hyb_Code,0)),"")</f>
        <v/>
      </c>
      <c r="GO120" s="15" t="str">
        <f t="array" aca="1" ref="GO120" ca="1">IF(COUNTIF($FO119:$GR119,GO119)&gt;3,INDEX(Hyb_Tech_Value,MATCH(GO118,Hyb_Code,0)),"")</f>
        <v/>
      </c>
      <c r="GP120" s="15" t="str">
        <f t="array" aca="1" ref="GP120" ca="1">IF(COUNTIF($FO119:$GR119,GP119)&gt;3,INDEX(Hyb_Tech_Value,MATCH(GP118,Hyb_Code,0)),"")</f>
        <v/>
      </c>
      <c r="GQ120" s="15" t="str">
        <f t="array" aca="1" ref="GQ120" ca="1">IF(COUNTIF($FO119:$GR119,GQ119)&gt;3,INDEX(Hyb_Tech_Value,MATCH(GQ118,Hyb_Code,0)),"")</f>
        <v/>
      </c>
      <c r="GR120" s="15" t="str">
        <f t="array" aca="1" ref="GR120" ca="1">IF(COUNTIF($FO119:$GR119,GR119)&gt;3,INDEX(Hyb_Tech_Value,MATCH(GR118,Hyb_Code,0)),"")</f>
        <v/>
      </c>
    </row>
    <row r="121" spans="166:200" ht="12.75" customHeight="1" x14ac:dyDescent="0.3">
      <c r="FJ121" s="5"/>
      <c r="FK121" s="5"/>
      <c r="FL121" s="5"/>
      <c r="FM121" s="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row>
    <row r="122" spans="166:200" ht="12.75" customHeight="1" x14ac:dyDescent="0.3">
      <c r="FJ122" s="5"/>
      <c r="FK122" s="5"/>
      <c r="FL122" s="5"/>
      <c r="FM122" s="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row>
    <row r="123" spans="166:200" ht="12.75" customHeight="1" x14ac:dyDescent="0.3">
      <c r="FJ123" s="5">
        <v>20</v>
      </c>
      <c r="FK123" s="5"/>
      <c r="FL123" s="5"/>
      <c r="FM123" s="15"/>
      <c r="FN123" s="15"/>
      <c r="FO123" s="15">
        <f t="shared" ref="FO123:GR123" ca="1" si="346">IFERROR(IF(AND(OFFSET($E$20,$FJ123,0)="H",OFFSET(J$19,$FJ123,0)&lt;&gt;""),UPPER(OFFSET(J$19,$FJ123,0)),FO$18),FO$18)</f>
        <v>1</v>
      </c>
      <c r="FP123" s="15">
        <f t="shared" ca="1" si="346"/>
        <v>2</v>
      </c>
      <c r="FQ123" s="15">
        <f t="shared" ca="1" si="346"/>
        <v>3</v>
      </c>
      <c r="FR123" s="15">
        <f t="shared" ca="1" si="346"/>
        <v>4</v>
      </c>
      <c r="FS123" s="15">
        <f t="shared" ca="1" si="346"/>
        <v>5</v>
      </c>
      <c r="FT123" s="15">
        <f t="shared" ca="1" si="346"/>
        <v>6</v>
      </c>
      <c r="FU123" s="15">
        <f t="shared" ca="1" si="346"/>
        <v>7</v>
      </c>
      <c r="FV123" s="15">
        <f t="shared" ca="1" si="346"/>
        <v>8</v>
      </c>
      <c r="FW123" s="15">
        <f t="shared" ca="1" si="346"/>
        <v>9</v>
      </c>
      <c r="FX123" s="15">
        <f t="shared" ca="1" si="346"/>
        <v>10</v>
      </c>
      <c r="FY123" s="15">
        <f t="shared" ca="1" si="346"/>
        <v>11</v>
      </c>
      <c r="FZ123" s="15">
        <f t="shared" ca="1" si="346"/>
        <v>12</v>
      </c>
      <c r="GA123" s="15">
        <f t="shared" ca="1" si="346"/>
        <v>13</v>
      </c>
      <c r="GB123" s="15">
        <f t="shared" ca="1" si="346"/>
        <v>14</v>
      </c>
      <c r="GC123" s="15">
        <f t="shared" ca="1" si="346"/>
        <v>15</v>
      </c>
      <c r="GD123" s="15">
        <f t="shared" ca="1" si="346"/>
        <v>16</v>
      </c>
      <c r="GE123" s="15">
        <f t="shared" ca="1" si="346"/>
        <v>17</v>
      </c>
      <c r="GF123" s="15">
        <f t="shared" ca="1" si="346"/>
        <v>18</v>
      </c>
      <c r="GG123" s="15">
        <f t="shared" ca="1" si="346"/>
        <v>19</v>
      </c>
      <c r="GH123" s="15">
        <f t="shared" ca="1" si="346"/>
        <v>20</v>
      </c>
      <c r="GI123" s="15">
        <f t="shared" ca="1" si="346"/>
        <v>21</v>
      </c>
      <c r="GJ123" s="15">
        <f t="shared" ca="1" si="346"/>
        <v>22</v>
      </c>
      <c r="GK123" s="15">
        <f t="shared" ca="1" si="346"/>
        <v>23</v>
      </c>
      <c r="GL123" s="15">
        <f t="shared" ca="1" si="346"/>
        <v>24</v>
      </c>
      <c r="GM123" s="15">
        <f t="shared" ca="1" si="346"/>
        <v>25</v>
      </c>
      <c r="GN123" s="15">
        <f t="shared" ca="1" si="346"/>
        <v>26</v>
      </c>
      <c r="GO123" s="15">
        <f t="shared" ca="1" si="346"/>
        <v>27</v>
      </c>
      <c r="GP123" s="15">
        <f t="shared" ca="1" si="346"/>
        <v>28</v>
      </c>
      <c r="GQ123" s="15">
        <f t="shared" ca="1" si="346"/>
        <v>29</v>
      </c>
      <c r="GR123" s="15">
        <f t="shared" ca="1" si="346"/>
        <v>30</v>
      </c>
    </row>
    <row r="124" spans="166:200" ht="12.75" customHeight="1" x14ac:dyDescent="0.3">
      <c r="FJ124" s="5"/>
      <c r="FK124" s="5"/>
      <c r="FL124" s="5"/>
      <c r="FM124" s="5"/>
      <c r="FN124" s="5"/>
      <c r="FO124" s="15">
        <f t="array" aca="1" ref="FO124" ca="1">IFERROR(IF(AND(OFFSET($E$20,$FJ123,0)="H",OFFSET(J$19,$FJ123,0)&lt;&gt;"",OFFSET($F69,$FJ123,0)&lt;&gt;"Hybrid - Thrust + 2 connections"),INDEX(Hyb_Tech,MATCH(OFFSET(J$19,$FJ123,0),Hyb_Code,0)),FO$72),FO$72)</f>
        <v>1</v>
      </c>
      <c r="FP124" s="15">
        <f t="array" aca="1" ref="FP124" ca="1">IFERROR(IF(AND(OFFSET($E$20,$FJ123,0)="H",OFFSET(K$19,$FJ123,0)&lt;&gt;"",OFFSET($F69,$FJ123,0)&lt;&gt;"Hybrid - Thrust + 2 connections"),INDEX(Hyb_Tech,MATCH(OFFSET(K$19,$FJ123,0),Hyb_Code,0)),FP$72),FP$72)</f>
        <v>2</v>
      </c>
      <c r="FQ124" s="15">
        <f t="array" aca="1" ref="FQ124" ca="1">IFERROR(IF(AND(OFFSET($E$20,$FJ123,0)="H",OFFSET(L$19,$FJ123,0)&lt;&gt;"",OFFSET($F69,$FJ123,0)&lt;&gt;"Hybrid - Thrust + 2 connections"),INDEX(Hyb_Tech,MATCH(OFFSET(L$19,$FJ123,0),Hyb_Code,0)),FQ$72),FQ$72)</f>
        <v>3</v>
      </c>
      <c r="FR124" s="15">
        <f t="array" aca="1" ref="FR124" ca="1">IFERROR(IF(AND(OFFSET($E$20,$FJ123,0)="H",OFFSET(M$19,$FJ123,0)&lt;&gt;"",OFFSET($F69,$FJ123,0)&lt;&gt;"Hybrid - Thrust + 2 connections"),INDEX(Hyb_Tech,MATCH(OFFSET(M$19,$FJ123,0),Hyb_Code,0)),FR$72),FR$72)</f>
        <v>4</v>
      </c>
      <c r="FS124" s="15">
        <f t="array" aca="1" ref="FS124" ca="1">IFERROR(IF(AND(OFFSET($E$20,$FJ123,0)="H",OFFSET(N$19,$FJ123,0)&lt;&gt;"",OFFSET($F69,$FJ123,0)&lt;&gt;"Hybrid - Thrust + 2 connections"),INDEX(Hyb_Tech,MATCH(OFFSET(N$19,$FJ123,0),Hyb_Code,0)),FS$72),FS$72)</f>
        <v>5</v>
      </c>
      <c r="FT124" s="15">
        <f t="array" aca="1" ref="FT124" ca="1">IFERROR(IF(AND(OFFSET($E$20,$FJ123,0)="H",OFFSET(O$19,$FJ123,0)&lt;&gt;"",OFFSET($F69,$FJ123,0)&lt;&gt;"Hybrid - Thrust + 2 connections"),INDEX(Hyb_Tech,MATCH(OFFSET(O$19,$FJ123,0),Hyb_Code,0)),FT$72),FT$72)</f>
        <v>6</v>
      </c>
      <c r="FU124" s="15">
        <f t="array" aca="1" ref="FU124" ca="1">IFERROR(IF(AND(OFFSET($E$20,$FJ123,0)="H",OFFSET(P$19,$FJ123,0)&lt;&gt;"",OFFSET($F69,$FJ123,0)&lt;&gt;"Hybrid - Thrust + 2 connections"),INDEX(Hyb_Tech,MATCH(OFFSET(P$19,$FJ123,0),Hyb_Code,0)),FU$72),FU$72)</f>
        <v>7</v>
      </c>
      <c r="FV124" s="15">
        <f t="array" aca="1" ref="FV124" ca="1">IFERROR(IF(AND(OFFSET($E$20,$FJ123,0)="H",OFFSET(Q$19,$FJ123,0)&lt;&gt;"",OFFSET($F69,$FJ123,0)&lt;&gt;"Hybrid - Thrust + 2 connections"),INDEX(Hyb_Tech,MATCH(OFFSET(Q$19,$FJ123,0),Hyb_Code,0)),FV$72),FV$72)</f>
        <v>8</v>
      </c>
      <c r="FW124" s="15">
        <f t="array" aca="1" ref="FW124" ca="1">IFERROR(IF(AND(OFFSET($E$20,$FJ123,0)="H",OFFSET(R$19,$FJ123,0)&lt;&gt;"",OFFSET($F69,$FJ123,0)&lt;&gt;"Hybrid - Thrust + 2 connections"),INDEX(Hyb_Tech,MATCH(OFFSET(R$19,$FJ123,0),Hyb_Code,0)),FW$72),FW$72)</f>
        <v>9</v>
      </c>
      <c r="FX124" s="15">
        <f t="array" aca="1" ref="FX124" ca="1">IFERROR(IF(AND(OFFSET($E$20,$FJ123,0)="H",OFFSET(S$19,$FJ123,0)&lt;&gt;"",OFFSET($F69,$FJ123,0)&lt;&gt;"Hybrid - Thrust + 2 connections"),INDEX(Hyb_Tech,MATCH(OFFSET(S$19,$FJ123,0),Hyb_Code,0)),FX$72),FX$72)</f>
        <v>10</v>
      </c>
      <c r="FY124" s="15">
        <f t="array" aca="1" ref="FY124" ca="1">IFERROR(IF(AND(OFFSET($E$20,$FJ123,0)="H",OFFSET(T$19,$FJ123,0)&lt;&gt;"",OFFSET($F69,$FJ123,0)&lt;&gt;"Hybrid - Thrust + 2 connections"),INDEX(Hyb_Tech,MATCH(OFFSET(T$19,$FJ123,0),Hyb_Code,0)),FY$72),FY$72)</f>
        <v>11</v>
      </c>
      <c r="FZ124" s="15">
        <f t="array" aca="1" ref="FZ124" ca="1">IFERROR(IF(AND(OFFSET($E$20,$FJ123,0)="H",OFFSET(U$19,$FJ123,0)&lt;&gt;"",OFFSET($F69,$FJ123,0)&lt;&gt;"Hybrid - Thrust + 2 connections"),INDEX(Hyb_Tech,MATCH(OFFSET(U$19,$FJ123,0),Hyb_Code,0)),FZ$72),FZ$72)</f>
        <v>12</v>
      </c>
      <c r="GA124" s="15">
        <f t="array" aca="1" ref="GA124" ca="1">IFERROR(IF(AND(OFFSET($E$20,$FJ123,0)="H",OFFSET(V$19,$FJ123,0)&lt;&gt;"",OFFSET($F69,$FJ123,0)&lt;&gt;"Hybrid - Thrust + 2 connections"),INDEX(Hyb_Tech,MATCH(OFFSET(V$19,$FJ123,0),Hyb_Code,0)),GA$72),GA$72)</f>
        <v>13</v>
      </c>
      <c r="GB124" s="15">
        <f t="array" aca="1" ref="GB124" ca="1">IFERROR(IF(AND(OFFSET($E$20,$FJ123,0)="H",OFFSET(W$19,$FJ123,0)&lt;&gt;"",OFFSET($F69,$FJ123,0)&lt;&gt;"Hybrid - Thrust + 2 connections"),INDEX(Hyb_Tech,MATCH(OFFSET(W$19,$FJ123,0),Hyb_Code,0)),GB$72),GB$72)</f>
        <v>14</v>
      </c>
      <c r="GC124" s="15">
        <f t="array" aca="1" ref="GC124" ca="1">IFERROR(IF(AND(OFFSET($E$20,$FJ123,0)="H",OFFSET(X$19,$FJ123,0)&lt;&gt;"",OFFSET($F69,$FJ123,0)&lt;&gt;"Hybrid - Thrust + 2 connections"),INDEX(Hyb_Tech,MATCH(OFFSET(X$19,$FJ123,0),Hyb_Code,0)),GC$72),GC$72)</f>
        <v>15</v>
      </c>
      <c r="GD124" s="15">
        <f t="array" aca="1" ref="GD124" ca="1">IFERROR(IF(AND(OFFSET($E$20,$FJ123,0)="H",OFFSET(Y$19,$FJ123,0)&lt;&gt;"",OFFSET($F69,$FJ123,0)&lt;&gt;"Hybrid - Thrust + 2 connections"),INDEX(Hyb_Tech,MATCH(OFFSET(Y$19,$FJ123,0),Hyb_Code,0)),GD$72),GD$72)</f>
        <v>16</v>
      </c>
      <c r="GE124" s="15">
        <f t="array" aca="1" ref="GE124" ca="1">IFERROR(IF(AND(OFFSET($E$20,$FJ123,0)="H",OFFSET(Z$19,$FJ123,0)&lt;&gt;"",OFFSET($F69,$FJ123,0)&lt;&gt;"Hybrid - Thrust + 2 connections"),INDEX(Hyb_Tech,MATCH(OFFSET(Z$19,$FJ123,0),Hyb_Code,0)),GE$72),GE$72)</f>
        <v>17</v>
      </c>
      <c r="GF124" s="15">
        <f t="array" aca="1" ref="GF124" ca="1">IFERROR(IF(AND(OFFSET($E$20,$FJ123,0)="H",OFFSET(AA$19,$FJ123,0)&lt;&gt;"",OFFSET($F69,$FJ123,0)&lt;&gt;"Hybrid - Thrust + 2 connections"),INDEX(Hyb_Tech,MATCH(OFFSET(AA$19,$FJ123,0),Hyb_Code,0)),GF$72),GF$72)</f>
        <v>18</v>
      </c>
      <c r="GG124" s="15">
        <f t="array" aca="1" ref="GG124" ca="1">IFERROR(IF(AND(OFFSET($E$20,$FJ123,0)="H",OFFSET(AB$19,$FJ123,0)&lt;&gt;"",OFFSET($F69,$FJ123,0)&lt;&gt;"Hybrid - Thrust + 2 connections"),INDEX(Hyb_Tech,MATCH(OFFSET(AB$19,$FJ123,0),Hyb_Code,0)),GG$72),GG$72)</f>
        <v>19</v>
      </c>
      <c r="GH124" s="15">
        <f t="array" aca="1" ref="GH124" ca="1">IFERROR(IF(AND(OFFSET($E$20,$FJ123,0)="H",OFFSET(AC$19,$FJ123,0)&lt;&gt;"",OFFSET($F69,$FJ123,0)&lt;&gt;"Hybrid - Thrust + 2 connections"),INDEX(Hyb_Tech,MATCH(OFFSET(AC$19,$FJ123,0),Hyb_Code,0)),GH$72),GH$72)</f>
        <v>20</v>
      </c>
      <c r="GI124" s="15">
        <f t="array" aca="1" ref="GI124" ca="1">IFERROR(IF(AND(OFFSET($E$20,$FJ123,0)="H",OFFSET(AD$19,$FJ123,0)&lt;&gt;"",OFFSET($F69,$FJ123,0)&lt;&gt;"Hybrid - Thrust + 2 connections"),INDEX(Hyb_Tech,MATCH(OFFSET(AD$19,$FJ123,0),Hyb_Code,0)),GI$72),GI$72)</f>
        <v>21</v>
      </c>
      <c r="GJ124" s="15">
        <f t="array" aca="1" ref="GJ124" ca="1">IFERROR(IF(AND(OFFSET($E$20,$FJ123,0)="H",OFFSET(AE$19,$FJ123,0)&lt;&gt;"",OFFSET($F69,$FJ123,0)&lt;&gt;"Hybrid - Thrust + 2 connections"),INDEX(Hyb_Tech,MATCH(OFFSET(AE$19,$FJ123,0),Hyb_Code,0)),GJ$72),GJ$72)</f>
        <v>22</v>
      </c>
      <c r="GK124" s="15">
        <f t="array" aca="1" ref="GK124" ca="1">IFERROR(IF(AND(OFFSET($E$20,$FJ123,0)="H",OFFSET(AF$19,$FJ123,0)&lt;&gt;"",OFFSET($F69,$FJ123,0)&lt;&gt;"Hybrid - Thrust + 2 connections"),INDEX(Hyb_Tech,MATCH(OFFSET(AF$19,$FJ123,0),Hyb_Code,0)),GK$72),GK$72)</f>
        <v>23</v>
      </c>
      <c r="GL124" s="15">
        <f t="array" aca="1" ref="GL124" ca="1">IFERROR(IF(AND(OFFSET($E$20,$FJ123,0)="H",OFFSET(AG$19,$FJ123,0)&lt;&gt;"",OFFSET($F69,$FJ123,0)&lt;&gt;"Hybrid - Thrust + 2 connections"),INDEX(Hyb_Tech,MATCH(OFFSET(AG$19,$FJ123,0),Hyb_Code,0)),GL$72),GL$72)</f>
        <v>24</v>
      </c>
      <c r="GM124" s="15">
        <f t="array" aca="1" ref="GM124" ca="1">IFERROR(IF(AND(OFFSET($E$20,$FJ123,0)="H",OFFSET(AH$19,$FJ123,0)&lt;&gt;"",OFFSET($F69,$FJ123,0)&lt;&gt;"Hybrid - Thrust + 2 connections"),INDEX(Hyb_Tech,MATCH(OFFSET(AH$19,$FJ123,0),Hyb_Code,0)),GM$72),GM$72)</f>
        <v>25</v>
      </c>
      <c r="GN124" s="15">
        <f t="array" aca="1" ref="GN124" ca="1">IFERROR(IF(AND(OFFSET($E$20,$FJ123,0)="H",OFFSET(AI$19,$FJ123,0)&lt;&gt;"",OFFSET($F69,$FJ123,0)&lt;&gt;"Hybrid - Thrust + 2 connections"),INDEX(Hyb_Tech,MATCH(OFFSET(AI$19,$FJ123,0),Hyb_Code,0)),GN$72),GN$72)</f>
        <v>26</v>
      </c>
      <c r="GO124" s="15">
        <f t="array" aca="1" ref="GO124" ca="1">IFERROR(IF(AND(OFFSET($E$20,$FJ123,0)="H",OFFSET(AJ$19,$FJ123,0)&lt;&gt;"",OFFSET($F69,$FJ123,0)&lt;&gt;"Hybrid - Thrust + 2 connections"),INDEX(Hyb_Tech,MATCH(OFFSET(AJ$19,$FJ123,0),Hyb_Code,0)),GO$72),GO$72)</f>
        <v>27</v>
      </c>
      <c r="GP124" s="15">
        <f t="array" aca="1" ref="GP124" ca="1">IFERROR(IF(AND(OFFSET($E$20,$FJ123,0)="H",OFFSET(AK$19,$FJ123,0)&lt;&gt;"",OFFSET($F69,$FJ123,0)&lt;&gt;"Hybrid - Thrust + 2 connections"),INDEX(Hyb_Tech,MATCH(OFFSET(AK$19,$FJ123,0),Hyb_Code,0)),GP$72),GP$72)</f>
        <v>28</v>
      </c>
      <c r="GQ124" s="15">
        <f t="array" aca="1" ref="GQ124" ca="1">IFERROR(IF(AND(OFFSET($E$20,$FJ123,0)="H",OFFSET(AL$19,$FJ123,0)&lt;&gt;"",OFFSET($F69,$FJ123,0)&lt;&gt;"Hybrid - Thrust + 2 connections"),INDEX(Hyb_Tech,MATCH(OFFSET(AL$19,$FJ123,0),Hyb_Code,0)),GQ$72),GQ$72)</f>
        <v>29</v>
      </c>
      <c r="GR124" s="15">
        <f t="array" aca="1" ref="GR124" ca="1">IFERROR(IF(AND(OFFSET($E$20,$FJ123,0)="H",OFFSET(AM$19,$FJ123,0)&lt;&gt;"",OFFSET($F69,$FJ123,0)&lt;&gt;"Hybrid - Thrust + 2 connections"),INDEX(Hyb_Tech,MATCH(OFFSET(AM$19,$FJ123,0),Hyb_Code,0)),GR$72),GR$72)</f>
        <v>30</v>
      </c>
    </row>
    <row r="125" spans="166:200" ht="12.75" customHeight="1" x14ac:dyDescent="0.3">
      <c r="FJ125" s="5"/>
      <c r="FK125" s="5"/>
      <c r="FL125" s="5"/>
      <c r="FM125" s="5" t="str">
        <f ca="1">IFERROR(IF(SUM($FO125:$GR125)&gt;3,OFFSET($FO$73,$FJ123*5/2,MATCH(1,FO125:GR125,0)),""),"")</f>
        <v/>
      </c>
      <c r="FN125" s="15" t="str">
        <f ca="1">IFERROR(IF(LEFT(FM125,1)="C",IF(RIGHT(FM125,1)="+",LEFT(FM125,LEN(FM125)-1),CONCATENATE(FM125,"+")),IF(SUM($FO125:$GR125)&gt;3,OFFSET($FO$73,$FJ123*5/2,MATCH(0.5,FO125:GR125,0)),"")),"")</f>
        <v/>
      </c>
      <c r="FO125" s="15" t="str">
        <f t="array" aca="1" ref="FO125" ca="1">IF(COUNTIF($FO124:$GR124,FO124)&gt;3,INDEX(Hyb_Tech_Value,MATCH(FO123,Hyb_Code,0)),"")</f>
        <v/>
      </c>
      <c r="FP125" s="15" t="str">
        <f t="array" aca="1" ref="FP125" ca="1">IF(COUNTIF($FO124:$GR124,FP124)&gt;3,INDEX(Hyb_Tech_Value,MATCH(FP123,Hyb_Code,0)),"")</f>
        <v/>
      </c>
      <c r="FQ125" s="15" t="str">
        <f t="array" aca="1" ref="FQ125" ca="1">IF(COUNTIF($FO124:$GR124,FQ124)&gt;3,INDEX(Hyb_Tech_Value,MATCH(FQ123,Hyb_Code,0)),"")</f>
        <v/>
      </c>
      <c r="FR125" s="15" t="str">
        <f t="array" aca="1" ref="FR125" ca="1">IF(COUNTIF($FO124:$GR124,FR124)&gt;3,INDEX(Hyb_Tech_Value,MATCH(FR123,Hyb_Code,0)),"")</f>
        <v/>
      </c>
      <c r="FS125" s="15" t="str">
        <f t="array" aca="1" ref="FS125" ca="1">IF(COUNTIF($FO124:$GR124,FS124)&gt;3,INDEX(Hyb_Tech_Value,MATCH(FS123,Hyb_Code,0)),"")</f>
        <v/>
      </c>
      <c r="FT125" s="15" t="str">
        <f t="array" aca="1" ref="FT125" ca="1">IF(COUNTIF($FO124:$GR124,FT124)&gt;3,INDEX(Hyb_Tech_Value,MATCH(FT123,Hyb_Code,0)),"")</f>
        <v/>
      </c>
      <c r="FU125" s="15" t="str">
        <f t="array" aca="1" ref="FU125" ca="1">IF(COUNTIF($FO124:$GR124,FU124)&gt;3,INDEX(Hyb_Tech_Value,MATCH(FU123,Hyb_Code,0)),"")</f>
        <v/>
      </c>
      <c r="FV125" s="15" t="str">
        <f t="array" aca="1" ref="FV125" ca="1">IF(COUNTIF($FO124:$GR124,FV124)&gt;3,INDEX(Hyb_Tech_Value,MATCH(FV123,Hyb_Code,0)),"")</f>
        <v/>
      </c>
      <c r="FW125" s="15" t="str">
        <f t="array" aca="1" ref="FW125" ca="1">IF(COUNTIF($FO124:$GR124,FW124)&gt;3,INDEX(Hyb_Tech_Value,MATCH(FW123,Hyb_Code,0)),"")</f>
        <v/>
      </c>
      <c r="FX125" s="15" t="str">
        <f t="array" aca="1" ref="FX125" ca="1">IF(COUNTIF($FO124:$GR124,FX124)&gt;3,INDEX(Hyb_Tech_Value,MATCH(FX123,Hyb_Code,0)),"")</f>
        <v/>
      </c>
      <c r="FY125" s="15" t="str">
        <f t="array" aca="1" ref="FY125" ca="1">IF(COUNTIF($FO124:$GR124,FY124)&gt;3,INDEX(Hyb_Tech_Value,MATCH(FY123,Hyb_Code,0)),"")</f>
        <v/>
      </c>
      <c r="FZ125" s="15" t="str">
        <f t="array" aca="1" ref="FZ125" ca="1">IF(COUNTIF($FO124:$GR124,FZ124)&gt;3,INDEX(Hyb_Tech_Value,MATCH(FZ123,Hyb_Code,0)),"")</f>
        <v/>
      </c>
      <c r="GA125" s="15" t="str">
        <f t="array" aca="1" ref="GA125" ca="1">IF(COUNTIF($FO124:$GR124,GA124)&gt;3,INDEX(Hyb_Tech_Value,MATCH(GA123,Hyb_Code,0)),"")</f>
        <v/>
      </c>
      <c r="GB125" s="15" t="str">
        <f t="array" aca="1" ref="GB125" ca="1">IF(COUNTIF($FO124:$GR124,GB124)&gt;3,INDEX(Hyb_Tech_Value,MATCH(GB123,Hyb_Code,0)),"")</f>
        <v/>
      </c>
      <c r="GC125" s="15" t="str">
        <f t="array" aca="1" ref="GC125" ca="1">IF(COUNTIF($FO124:$GR124,GC124)&gt;3,INDEX(Hyb_Tech_Value,MATCH(GC123,Hyb_Code,0)),"")</f>
        <v/>
      </c>
      <c r="GD125" s="15" t="str">
        <f t="array" aca="1" ref="GD125" ca="1">IF(COUNTIF($FO124:$GR124,GD124)&gt;3,INDEX(Hyb_Tech_Value,MATCH(GD123,Hyb_Code,0)),"")</f>
        <v/>
      </c>
      <c r="GE125" s="15" t="str">
        <f t="array" aca="1" ref="GE125" ca="1">IF(COUNTIF($FO124:$GR124,GE124)&gt;3,INDEX(Hyb_Tech_Value,MATCH(GE123,Hyb_Code,0)),"")</f>
        <v/>
      </c>
      <c r="GF125" s="15" t="str">
        <f t="array" aca="1" ref="GF125" ca="1">IF(COUNTIF($FO124:$GR124,GF124)&gt;3,INDEX(Hyb_Tech_Value,MATCH(GF123,Hyb_Code,0)),"")</f>
        <v/>
      </c>
      <c r="GG125" s="15" t="str">
        <f t="array" aca="1" ref="GG125" ca="1">IF(COUNTIF($FO124:$GR124,GG124)&gt;3,INDEX(Hyb_Tech_Value,MATCH(GG123,Hyb_Code,0)),"")</f>
        <v/>
      </c>
      <c r="GH125" s="15" t="str">
        <f t="array" aca="1" ref="GH125" ca="1">IF(COUNTIF($FO124:$GR124,GH124)&gt;3,INDEX(Hyb_Tech_Value,MATCH(GH123,Hyb_Code,0)),"")</f>
        <v/>
      </c>
      <c r="GI125" s="15" t="str">
        <f t="array" aca="1" ref="GI125" ca="1">IF(COUNTIF($FO124:$GR124,GI124)&gt;3,INDEX(Hyb_Tech_Value,MATCH(GI123,Hyb_Code,0)),"")</f>
        <v/>
      </c>
      <c r="GJ125" s="15" t="str">
        <f t="array" aca="1" ref="GJ125" ca="1">IF(COUNTIF($FO124:$GR124,GJ124)&gt;3,INDEX(Hyb_Tech_Value,MATCH(GJ123,Hyb_Code,0)),"")</f>
        <v/>
      </c>
      <c r="GK125" s="15" t="str">
        <f t="array" aca="1" ref="GK125" ca="1">IF(COUNTIF($FO124:$GR124,GK124)&gt;3,INDEX(Hyb_Tech_Value,MATCH(GK123,Hyb_Code,0)),"")</f>
        <v/>
      </c>
      <c r="GL125" s="15" t="str">
        <f t="array" aca="1" ref="GL125" ca="1">IF(COUNTIF($FO124:$GR124,GL124)&gt;3,INDEX(Hyb_Tech_Value,MATCH(GL123,Hyb_Code,0)),"")</f>
        <v/>
      </c>
      <c r="GM125" s="15" t="str">
        <f t="array" aca="1" ref="GM125" ca="1">IF(COUNTIF($FO124:$GR124,GM124)&gt;3,INDEX(Hyb_Tech_Value,MATCH(GM123,Hyb_Code,0)),"")</f>
        <v/>
      </c>
      <c r="GN125" s="15" t="str">
        <f t="array" aca="1" ref="GN125" ca="1">IF(COUNTIF($FO124:$GR124,GN124)&gt;3,INDEX(Hyb_Tech_Value,MATCH(GN123,Hyb_Code,0)),"")</f>
        <v/>
      </c>
      <c r="GO125" s="15" t="str">
        <f t="array" aca="1" ref="GO125" ca="1">IF(COUNTIF($FO124:$GR124,GO124)&gt;3,INDEX(Hyb_Tech_Value,MATCH(GO123,Hyb_Code,0)),"")</f>
        <v/>
      </c>
      <c r="GP125" s="15" t="str">
        <f t="array" aca="1" ref="GP125" ca="1">IF(COUNTIF($FO124:$GR124,GP124)&gt;3,INDEX(Hyb_Tech_Value,MATCH(GP123,Hyb_Code,0)),"")</f>
        <v/>
      </c>
      <c r="GQ125" s="15" t="str">
        <f t="array" aca="1" ref="GQ125" ca="1">IF(COUNTIF($FO124:$GR124,GQ124)&gt;3,INDEX(Hyb_Tech_Value,MATCH(GQ123,Hyb_Code,0)),"")</f>
        <v/>
      </c>
      <c r="GR125" s="15" t="str">
        <f t="array" aca="1" ref="GR125" ca="1">IF(COUNTIF($FO124:$GR124,GR124)&gt;3,INDEX(Hyb_Tech_Value,MATCH(GR123,Hyb_Code,0)),"")</f>
        <v/>
      </c>
    </row>
    <row r="126" spans="166:200" ht="12.75" customHeight="1" x14ac:dyDescent="0.3">
      <c r="FJ126" s="5"/>
      <c r="FK126" s="5"/>
      <c r="FL126" s="5"/>
      <c r="FM126" s="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row>
    <row r="127" spans="166:200" ht="12.75" customHeight="1" x14ac:dyDescent="0.3">
      <c r="FJ127" s="5"/>
      <c r="FK127" s="5"/>
      <c r="FL127" s="5"/>
      <c r="FM127" s="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row>
    <row r="128" spans="166:200" ht="12.75" customHeight="1" x14ac:dyDescent="0.3">
      <c r="FJ128" s="5">
        <v>22</v>
      </c>
      <c r="FK128" s="5"/>
      <c r="FL128" s="5"/>
      <c r="FM128" s="15"/>
      <c r="FN128" s="15"/>
      <c r="FO128" s="15">
        <f t="shared" ref="FO128:GR128" ca="1" si="347">IFERROR(IF(AND(OFFSET($E$20,$FJ128,0)="H",OFFSET(J$19,$FJ128,0)&lt;&gt;""),UPPER(OFFSET(J$19,$FJ128,0)),FO$18),FO$18)</f>
        <v>1</v>
      </c>
      <c r="FP128" s="15">
        <f t="shared" ca="1" si="347"/>
        <v>2</v>
      </c>
      <c r="FQ128" s="15">
        <f t="shared" ca="1" si="347"/>
        <v>3</v>
      </c>
      <c r="FR128" s="15">
        <f t="shared" ca="1" si="347"/>
        <v>4</v>
      </c>
      <c r="FS128" s="15">
        <f t="shared" ca="1" si="347"/>
        <v>5</v>
      </c>
      <c r="FT128" s="15">
        <f t="shared" ca="1" si="347"/>
        <v>6</v>
      </c>
      <c r="FU128" s="15">
        <f t="shared" ca="1" si="347"/>
        <v>7</v>
      </c>
      <c r="FV128" s="15">
        <f t="shared" ca="1" si="347"/>
        <v>8</v>
      </c>
      <c r="FW128" s="15">
        <f t="shared" ca="1" si="347"/>
        <v>9</v>
      </c>
      <c r="FX128" s="15">
        <f t="shared" ca="1" si="347"/>
        <v>10</v>
      </c>
      <c r="FY128" s="15">
        <f t="shared" ca="1" si="347"/>
        <v>11</v>
      </c>
      <c r="FZ128" s="15">
        <f t="shared" ca="1" si="347"/>
        <v>12</v>
      </c>
      <c r="GA128" s="15">
        <f t="shared" ca="1" si="347"/>
        <v>13</v>
      </c>
      <c r="GB128" s="15">
        <f t="shared" ca="1" si="347"/>
        <v>14</v>
      </c>
      <c r="GC128" s="15">
        <f t="shared" ca="1" si="347"/>
        <v>15</v>
      </c>
      <c r="GD128" s="15">
        <f t="shared" ca="1" si="347"/>
        <v>16</v>
      </c>
      <c r="GE128" s="15">
        <f t="shared" ca="1" si="347"/>
        <v>17</v>
      </c>
      <c r="GF128" s="15">
        <f t="shared" ca="1" si="347"/>
        <v>18</v>
      </c>
      <c r="GG128" s="15">
        <f t="shared" ca="1" si="347"/>
        <v>19</v>
      </c>
      <c r="GH128" s="15">
        <f t="shared" ca="1" si="347"/>
        <v>20</v>
      </c>
      <c r="GI128" s="15">
        <f t="shared" ca="1" si="347"/>
        <v>21</v>
      </c>
      <c r="GJ128" s="15">
        <f t="shared" ca="1" si="347"/>
        <v>22</v>
      </c>
      <c r="GK128" s="15">
        <f t="shared" ca="1" si="347"/>
        <v>23</v>
      </c>
      <c r="GL128" s="15">
        <f t="shared" ca="1" si="347"/>
        <v>24</v>
      </c>
      <c r="GM128" s="15">
        <f t="shared" ca="1" si="347"/>
        <v>25</v>
      </c>
      <c r="GN128" s="15">
        <f t="shared" ca="1" si="347"/>
        <v>26</v>
      </c>
      <c r="GO128" s="15">
        <f t="shared" ca="1" si="347"/>
        <v>27</v>
      </c>
      <c r="GP128" s="15">
        <f t="shared" ca="1" si="347"/>
        <v>28</v>
      </c>
      <c r="GQ128" s="15">
        <f t="shared" ca="1" si="347"/>
        <v>29</v>
      </c>
      <c r="GR128" s="15">
        <f t="shared" ca="1" si="347"/>
        <v>30</v>
      </c>
    </row>
    <row r="129" spans="166:200" ht="12.75" customHeight="1" x14ac:dyDescent="0.3">
      <c r="FJ129" s="5"/>
      <c r="FK129" s="5"/>
      <c r="FL129" s="5"/>
      <c r="FM129" s="5"/>
      <c r="FN129" s="5"/>
      <c r="FO129" s="15">
        <f t="array" aca="1" ref="FO129" ca="1">IFERROR(IF(AND(OFFSET($E$20,$FJ128,0)="H",OFFSET(J$19,$FJ128,0)&lt;&gt;"",OFFSET($F74,$FJ128,0)&lt;&gt;"Hybrid - Thrust + 2 connections"),INDEX(Hyb_Tech,MATCH(OFFSET(J$19,$FJ128,0),Hyb_Code,0)),FO$72),FO$72)</f>
        <v>1</v>
      </c>
      <c r="FP129" s="15">
        <f t="array" aca="1" ref="FP129" ca="1">IFERROR(IF(AND(OFFSET($E$20,$FJ128,0)="H",OFFSET(K$19,$FJ128,0)&lt;&gt;"",OFFSET($F74,$FJ128,0)&lt;&gt;"Hybrid - Thrust + 2 connections"),INDEX(Hyb_Tech,MATCH(OFFSET(K$19,$FJ128,0),Hyb_Code,0)),FP$72),FP$72)</f>
        <v>2</v>
      </c>
      <c r="FQ129" s="15">
        <f t="array" aca="1" ref="FQ129" ca="1">IFERROR(IF(AND(OFFSET($E$20,$FJ128,0)="H",OFFSET(L$19,$FJ128,0)&lt;&gt;"",OFFSET($F74,$FJ128,0)&lt;&gt;"Hybrid - Thrust + 2 connections"),INDEX(Hyb_Tech,MATCH(OFFSET(L$19,$FJ128,0),Hyb_Code,0)),FQ$72),FQ$72)</f>
        <v>3</v>
      </c>
      <c r="FR129" s="15">
        <f t="array" aca="1" ref="FR129" ca="1">IFERROR(IF(AND(OFFSET($E$20,$FJ128,0)="H",OFFSET(M$19,$FJ128,0)&lt;&gt;"",OFFSET($F74,$FJ128,0)&lt;&gt;"Hybrid - Thrust + 2 connections"),INDEX(Hyb_Tech,MATCH(OFFSET(M$19,$FJ128,0),Hyb_Code,0)),FR$72),FR$72)</f>
        <v>4</v>
      </c>
      <c r="FS129" s="15">
        <f t="array" aca="1" ref="FS129" ca="1">IFERROR(IF(AND(OFFSET($E$20,$FJ128,0)="H",OFFSET(N$19,$FJ128,0)&lt;&gt;"",OFFSET($F74,$FJ128,0)&lt;&gt;"Hybrid - Thrust + 2 connections"),INDEX(Hyb_Tech,MATCH(OFFSET(N$19,$FJ128,0),Hyb_Code,0)),FS$72),FS$72)</f>
        <v>5</v>
      </c>
      <c r="FT129" s="15">
        <f t="array" aca="1" ref="FT129" ca="1">IFERROR(IF(AND(OFFSET($E$20,$FJ128,0)="H",OFFSET(O$19,$FJ128,0)&lt;&gt;"",OFFSET($F74,$FJ128,0)&lt;&gt;"Hybrid - Thrust + 2 connections"),INDEX(Hyb_Tech,MATCH(OFFSET(O$19,$FJ128,0),Hyb_Code,0)),FT$72),FT$72)</f>
        <v>6</v>
      </c>
      <c r="FU129" s="15">
        <f t="array" aca="1" ref="FU129" ca="1">IFERROR(IF(AND(OFFSET($E$20,$FJ128,0)="H",OFFSET(P$19,$FJ128,0)&lt;&gt;"",OFFSET($F74,$FJ128,0)&lt;&gt;"Hybrid - Thrust + 2 connections"),INDEX(Hyb_Tech,MATCH(OFFSET(P$19,$FJ128,0),Hyb_Code,0)),FU$72),FU$72)</f>
        <v>7</v>
      </c>
      <c r="FV129" s="15">
        <f t="array" aca="1" ref="FV129" ca="1">IFERROR(IF(AND(OFFSET($E$20,$FJ128,0)="H",OFFSET(Q$19,$FJ128,0)&lt;&gt;"",OFFSET($F74,$FJ128,0)&lt;&gt;"Hybrid - Thrust + 2 connections"),INDEX(Hyb_Tech,MATCH(OFFSET(Q$19,$FJ128,0),Hyb_Code,0)),FV$72),FV$72)</f>
        <v>8</v>
      </c>
      <c r="FW129" s="15">
        <f t="array" aca="1" ref="FW129" ca="1">IFERROR(IF(AND(OFFSET($E$20,$FJ128,0)="H",OFFSET(R$19,$FJ128,0)&lt;&gt;"",OFFSET($F74,$FJ128,0)&lt;&gt;"Hybrid - Thrust + 2 connections"),INDEX(Hyb_Tech,MATCH(OFFSET(R$19,$FJ128,0),Hyb_Code,0)),FW$72),FW$72)</f>
        <v>9</v>
      </c>
      <c r="FX129" s="15">
        <f t="array" aca="1" ref="FX129" ca="1">IFERROR(IF(AND(OFFSET($E$20,$FJ128,0)="H",OFFSET(S$19,$FJ128,0)&lt;&gt;"",OFFSET($F74,$FJ128,0)&lt;&gt;"Hybrid - Thrust + 2 connections"),INDEX(Hyb_Tech,MATCH(OFFSET(S$19,$FJ128,0),Hyb_Code,0)),FX$72),FX$72)</f>
        <v>10</v>
      </c>
      <c r="FY129" s="15">
        <f t="array" aca="1" ref="FY129" ca="1">IFERROR(IF(AND(OFFSET($E$20,$FJ128,0)="H",OFFSET(T$19,$FJ128,0)&lt;&gt;"",OFFSET($F74,$FJ128,0)&lt;&gt;"Hybrid - Thrust + 2 connections"),INDEX(Hyb_Tech,MATCH(OFFSET(T$19,$FJ128,0),Hyb_Code,0)),FY$72),FY$72)</f>
        <v>11</v>
      </c>
      <c r="FZ129" s="15">
        <f t="array" aca="1" ref="FZ129" ca="1">IFERROR(IF(AND(OFFSET($E$20,$FJ128,0)="H",OFFSET(U$19,$FJ128,0)&lt;&gt;"",OFFSET($F74,$FJ128,0)&lt;&gt;"Hybrid - Thrust + 2 connections"),INDEX(Hyb_Tech,MATCH(OFFSET(U$19,$FJ128,0),Hyb_Code,0)),FZ$72),FZ$72)</f>
        <v>12</v>
      </c>
      <c r="GA129" s="15">
        <f t="array" aca="1" ref="GA129" ca="1">IFERROR(IF(AND(OFFSET($E$20,$FJ128,0)="H",OFFSET(V$19,$FJ128,0)&lt;&gt;"",OFFSET($F74,$FJ128,0)&lt;&gt;"Hybrid - Thrust + 2 connections"),INDEX(Hyb_Tech,MATCH(OFFSET(V$19,$FJ128,0),Hyb_Code,0)),GA$72),GA$72)</f>
        <v>13</v>
      </c>
      <c r="GB129" s="15">
        <f t="array" aca="1" ref="GB129" ca="1">IFERROR(IF(AND(OFFSET($E$20,$FJ128,0)="H",OFFSET(W$19,$FJ128,0)&lt;&gt;"",OFFSET($F74,$FJ128,0)&lt;&gt;"Hybrid - Thrust + 2 connections"),INDEX(Hyb_Tech,MATCH(OFFSET(W$19,$FJ128,0),Hyb_Code,0)),GB$72),GB$72)</f>
        <v>14</v>
      </c>
      <c r="GC129" s="15">
        <f t="array" aca="1" ref="GC129" ca="1">IFERROR(IF(AND(OFFSET($E$20,$FJ128,0)="H",OFFSET(X$19,$FJ128,0)&lt;&gt;"",OFFSET($F74,$FJ128,0)&lt;&gt;"Hybrid - Thrust + 2 connections"),INDEX(Hyb_Tech,MATCH(OFFSET(X$19,$FJ128,0),Hyb_Code,0)),GC$72),GC$72)</f>
        <v>15</v>
      </c>
      <c r="GD129" s="15">
        <f t="array" aca="1" ref="GD129" ca="1">IFERROR(IF(AND(OFFSET($E$20,$FJ128,0)="H",OFFSET(Y$19,$FJ128,0)&lt;&gt;"",OFFSET($F74,$FJ128,0)&lt;&gt;"Hybrid - Thrust + 2 connections"),INDEX(Hyb_Tech,MATCH(OFFSET(Y$19,$FJ128,0),Hyb_Code,0)),GD$72),GD$72)</f>
        <v>16</v>
      </c>
      <c r="GE129" s="15">
        <f t="array" aca="1" ref="GE129" ca="1">IFERROR(IF(AND(OFFSET($E$20,$FJ128,0)="H",OFFSET(Z$19,$FJ128,0)&lt;&gt;"",OFFSET($F74,$FJ128,0)&lt;&gt;"Hybrid - Thrust + 2 connections"),INDEX(Hyb_Tech,MATCH(OFFSET(Z$19,$FJ128,0),Hyb_Code,0)),GE$72),GE$72)</f>
        <v>17</v>
      </c>
      <c r="GF129" s="15">
        <f t="array" aca="1" ref="GF129" ca="1">IFERROR(IF(AND(OFFSET($E$20,$FJ128,0)="H",OFFSET(AA$19,$FJ128,0)&lt;&gt;"",OFFSET($F74,$FJ128,0)&lt;&gt;"Hybrid - Thrust + 2 connections"),INDEX(Hyb_Tech,MATCH(OFFSET(AA$19,$FJ128,0),Hyb_Code,0)),GF$72),GF$72)</f>
        <v>18</v>
      </c>
      <c r="GG129" s="15">
        <f t="array" aca="1" ref="GG129" ca="1">IFERROR(IF(AND(OFFSET($E$20,$FJ128,0)="H",OFFSET(AB$19,$FJ128,0)&lt;&gt;"",OFFSET($F74,$FJ128,0)&lt;&gt;"Hybrid - Thrust + 2 connections"),INDEX(Hyb_Tech,MATCH(OFFSET(AB$19,$FJ128,0),Hyb_Code,0)),GG$72),GG$72)</f>
        <v>19</v>
      </c>
      <c r="GH129" s="15">
        <f t="array" aca="1" ref="GH129" ca="1">IFERROR(IF(AND(OFFSET($E$20,$FJ128,0)="H",OFFSET(AC$19,$FJ128,0)&lt;&gt;"",OFFSET($F74,$FJ128,0)&lt;&gt;"Hybrid - Thrust + 2 connections"),INDEX(Hyb_Tech,MATCH(OFFSET(AC$19,$FJ128,0),Hyb_Code,0)),GH$72),GH$72)</f>
        <v>20</v>
      </c>
      <c r="GI129" s="15">
        <f t="array" aca="1" ref="GI129" ca="1">IFERROR(IF(AND(OFFSET($E$20,$FJ128,0)="H",OFFSET(AD$19,$FJ128,0)&lt;&gt;"",OFFSET($F74,$FJ128,0)&lt;&gt;"Hybrid - Thrust + 2 connections"),INDEX(Hyb_Tech,MATCH(OFFSET(AD$19,$FJ128,0),Hyb_Code,0)),GI$72),GI$72)</f>
        <v>21</v>
      </c>
      <c r="GJ129" s="15">
        <f t="array" aca="1" ref="GJ129" ca="1">IFERROR(IF(AND(OFFSET($E$20,$FJ128,0)="H",OFFSET(AE$19,$FJ128,0)&lt;&gt;"",OFFSET($F74,$FJ128,0)&lt;&gt;"Hybrid - Thrust + 2 connections"),INDEX(Hyb_Tech,MATCH(OFFSET(AE$19,$FJ128,0),Hyb_Code,0)),GJ$72),GJ$72)</f>
        <v>22</v>
      </c>
      <c r="GK129" s="15">
        <f t="array" aca="1" ref="GK129" ca="1">IFERROR(IF(AND(OFFSET($E$20,$FJ128,0)="H",OFFSET(AF$19,$FJ128,0)&lt;&gt;"",OFFSET($F74,$FJ128,0)&lt;&gt;"Hybrid - Thrust + 2 connections"),INDEX(Hyb_Tech,MATCH(OFFSET(AF$19,$FJ128,0),Hyb_Code,0)),GK$72),GK$72)</f>
        <v>23</v>
      </c>
      <c r="GL129" s="15">
        <f t="array" aca="1" ref="GL129" ca="1">IFERROR(IF(AND(OFFSET($E$20,$FJ128,0)="H",OFFSET(AG$19,$FJ128,0)&lt;&gt;"",OFFSET($F74,$FJ128,0)&lt;&gt;"Hybrid - Thrust + 2 connections"),INDEX(Hyb_Tech,MATCH(OFFSET(AG$19,$FJ128,0),Hyb_Code,0)),GL$72),GL$72)</f>
        <v>24</v>
      </c>
      <c r="GM129" s="15">
        <f t="array" aca="1" ref="GM129" ca="1">IFERROR(IF(AND(OFFSET($E$20,$FJ128,0)="H",OFFSET(AH$19,$FJ128,0)&lt;&gt;"",OFFSET($F74,$FJ128,0)&lt;&gt;"Hybrid - Thrust + 2 connections"),INDEX(Hyb_Tech,MATCH(OFFSET(AH$19,$FJ128,0),Hyb_Code,0)),GM$72),GM$72)</f>
        <v>25</v>
      </c>
      <c r="GN129" s="15">
        <f t="array" aca="1" ref="GN129" ca="1">IFERROR(IF(AND(OFFSET($E$20,$FJ128,0)="H",OFFSET(AI$19,$FJ128,0)&lt;&gt;"",OFFSET($F74,$FJ128,0)&lt;&gt;"Hybrid - Thrust + 2 connections"),INDEX(Hyb_Tech,MATCH(OFFSET(AI$19,$FJ128,0),Hyb_Code,0)),GN$72),GN$72)</f>
        <v>26</v>
      </c>
      <c r="GO129" s="15">
        <f t="array" aca="1" ref="GO129" ca="1">IFERROR(IF(AND(OFFSET($E$20,$FJ128,0)="H",OFFSET(AJ$19,$FJ128,0)&lt;&gt;"",OFFSET($F74,$FJ128,0)&lt;&gt;"Hybrid - Thrust + 2 connections"),INDEX(Hyb_Tech,MATCH(OFFSET(AJ$19,$FJ128,0),Hyb_Code,0)),GO$72),GO$72)</f>
        <v>27</v>
      </c>
      <c r="GP129" s="15">
        <f t="array" aca="1" ref="GP129" ca="1">IFERROR(IF(AND(OFFSET($E$20,$FJ128,0)="H",OFFSET(AK$19,$FJ128,0)&lt;&gt;"",OFFSET($F74,$FJ128,0)&lt;&gt;"Hybrid - Thrust + 2 connections"),INDEX(Hyb_Tech,MATCH(OFFSET(AK$19,$FJ128,0),Hyb_Code,0)),GP$72),GP$72)</f>
        <v>28</v>
      </c>
      <c r="GQ129" s="15">
        <f t="array" aca="1" ref="GQ129" ca="1">IFERROR(IF(AND(OFFSET($E$20,$FJ128,0)="H",OFFSET(AL$19,$FJ128,0)&lt;&gt;"",OFFSET($F74,$FJ128,0)&lt;&gt;"Hybrid - Thrust + 2 connections"),INDEX(Hyb_Tech,MATCH(OFFSET(AL$19,$FJ128,0),Hyb_Code,0)),GQ$72),GQ$72)</f>
        <v>29</v>
      </c>
      <c r="GR129" s="15">
        <f t="array" aca="1" ref="GR129" ca="1">IFERROR(IF(AND(OFFSET($E$20,$FJ128,0)="H",OFFSET(AM$19,$FJ128,0)&lt;&gt;"",OFFSET($F74,$FJ128,0)&lt;&gt;"Hybrid - Thrust + 2 connections"),INDEX(Hyb_Tech,MATCH(OFFSET(AM$19,$FJ128,0),Hyb_Code,0)),GR$72),GR$72)</f>
        <v>30</v>
      </c>
    </row>
    <row r="130" spans="166:200" ht="12.75" customHeight="1" x14ac:dyDescent="0.3">
      <c r="FJ130" s="5"/>
      <c r="FK130" s="5"/>
      <c r="FL130" s="5"/>
      <c r="FM130" s="5" t="str">
        <f ca="1">IFERROR(IF(SUM($FO130:$GR130)&gt;3,OFFSET($FO$73,$FJ128*5/2,MATCH(1,FO130:GR130,0)),""),"")</f>
        <v/>
      </c>
      <c r="FN130" s="15" t="str">
        <f ca="1">IFERROR(IF(LEFT(FM130,1)="C",IF(RIGHT(FM130,1)="+",LEFT(FM130,LEN(FM130)-1),CONCATENATE(FM130,"+")),IF(SUM($FO130:$GR130)&gt;3,OFFSET($FO$73,$FJ128*5/2,MATCH(0.5,FO130:GR130,0)),"")),"")</f>
        <v/>
      </c>
      <c r="FO130" s="15" t="str">
        <f t="array" aca="1" ref="FO130" ca="1">IF(COUNTIF($FO129:$GR129,FO129)&gt;3,INDEX(Hyb_Tech_Value,MATCH(FO128,Hyb_Code,0)),"")</f>
        <v/>
      </c>
      <c r="FP130" s="15" t="str">
        <f t="array" aca="1" ref="FP130" ca="1">IF(COUNTIF($FO129:$GR129,FP129)&gt;3,INDEX(Hyb_Tech_Value,MATCH(FP128,Hyb_Code,0)),"")</f>
        <v/>
      </c>
      <c r="FQ130" s="15" t="str">
        <f t="array" aca="1" ref="FQ130" ca="1">IF(COUNTIF($FO129:$GR129,FQ129)&gt;3,INDEX(Hyb_Tech_Value,MATCH(FQ128,Hyb_Code,0)),"")</f>
        <v/>
      </c>
      <c r="FR130" s="15" t="str">
        <f t="array" aca="1" ref="FR130" ca="1">IF(COUNTIF($FO129:$GR129,FR129)&gt;3,INDEX(Hyb_Tech_Value,MATCH(FR128,Hyb_Code,0)),"")</f>
        <v/>
      </c>
      <c r="FS130" s="15" t="str">
        <f t="array" aca="1" ref="FS130" ca="1">IF(COUNTIF($FO129:$GR129,FS129)&gt;3,INDEX(Hyb_Tech_Value,MATCH(FS128,Hyb_Code,0)),"")</f>
        <v/>
      </c>
      <c r="FT130" s="15" t="str">
        <f t="array" aca="1" ref="FT130" ca="1">IF(COUNTIF($FO129:$GR129,FT129)&gt;3,INDEX(Hyb_Tech_Value,MATCH(FT128,Hyb_Code,0)),"")</f>
        <v/>
      </c>
      <c r="FU130" s="15" t="str">
        <f t="array" aca="1" ref="FU130" ca="1">IF(COUNTIF($FO129:$GR129,FU129)&gt;3,INDEX(Hyb_Tech_Value,MATCH(FU128,Hyb_Code,0)),"")</f>
        <v/>
      </c>
      <c r="FV130" s="15" t="str">
        <f t="array" aca="1" ref="FV130" ca="1">IF(COUNTIF($FO129:$GR129,FV129)&gt;3,INDEX(Hyb_Tech_Value,MATCH(FV128,Hyb_Code,0)),"")</f>
        <v/>
      </c>
      <c r="FW130" s="15" t="str">
        <f t="array" aca="1" ref="FW130" ca="1">IF(COUNTIF($FO129:$GR129,FW129)&gt;3,INDEX(Hyb_Tech_Value,MATCH(FW128,Hyb_Code,0)),"")</f>
        <v/>
      </c>
      <c r="FX130" s="15" t="str">
        <f t="array" aca="1" ref="FX130" ca="1">IF(COUNTIF($FO129:$GR129,FX129)&gt;3,INDEX(Hyb_Tech_Value,MATCH(FX128,Hyb_Code,0)),"")</f>
        <v/>
      </c>
      <c r="FY130" s="15" t="str">
        <f t="array" aca="1" ref="FY130" ca="1">IF(COUNTIF($FO129:$GR129,FY129)&gt;3,INDEX(Hyb_Tech_Value,MATCH(FY128,Hyb_Code,0)),"")</f>
        <v/>
      </c>
      <c r="FZ130" s="15" t="str">
        <f t="array" aca="1" ref="FZ130" ca="1">IF(COUNTIF($FO129:$GR129,FZ129)&gt;3,INDEX(Hyb_Tech_Value,MATCH(FZ128,Hyb_Code,0)),"")</f>
        <v/>
      </c>
      <c r="GA130" s="15" t="str">
        <f t="array" aca="1" ref="GA130" ca="1">IF(COUNTIF($FO129:$GR129,GA129)&gt;3,INDEX(Hyb_Tech_Value,MATCH(GA128,Hyb_Code,0)),"")</f>
        <v/>
      </c>
      <c r="GB130" s="15" t="str">
        <f t="array" aca="1" ref="GB130" ca="1">IF(COUNTIF($FO129:$GR129,GB129)&gt;3,INDEX(Hyb_Tech_Value,MATCH(GB128,Hyb_Code,0)),"")</f>
        <v/>
      </c>
      <c r="GC130" s="15" t="str">
        <f t="array" aca="1" ref="GC130" ca="1">IF(COUNTIF($FO129:$GR129,GC129)&gt;3,INDEX(Hyb_Tech_Value,MATCH(GC128,Hyb_Code,0)),"")</f>
        <v/>
      </c>
      <c r="GD130" s="15" t="str">
        <f t="array" aca="1" ref="GD130" ca="1">IF(COUNTIF($FO129:$GR129,GD129)&gt;3,INDEX(Hyb_Tech_Value,MATCH(GD128,Hyb_Code,0)),"")</f>
        <v/>
      </c>
      <c r="GE130" s="15" t="str">
        <f t="array" aca="1" ref="GE130" ca="1">IF(COUNTIF($FO129:$GR129,GE129)&gt;3,INDEX(Hyb_Tech_Value,MATCH(GE128,Hyb_Code,0)),"")</f>
        <v/>
      </c>
      <c r="GF130" s="15" t="str">
        <f t="array" aca="1" ref="GF130" ca="1">IF(COUNTIF($FO129:$GR129,GF129)&gt;3,INDEX(Hyb_Tech_Value,MATCH(GF128,Hyb_Code,0)),"")</f>
        <v/>
      </c>
      <c r="GG130" s="15" t="str">
        <f t="array" aca="1" ref="GG130" ca="1">IF(COUNTIF($FO129:$GR129,GG129)&gt;3,INDEX(Hyb_Tech_Value,MATCH(GG128,Hyb_Code,0)),"")</f>
        <v/>
      </c>
      <c r="GH130" s="15" t="str">
        <f t="array" aca="1" ref="GH130" ca="1">IF(COUNTIF($FO129:$GR129,GH129)&gt;3,INDEX(Hyb_Tech_Value,MATCH(GH128,Hyb_Code,0)),"")</f>
        <v/>
      </c>
      <c r="GI130" s="15" t="str">
        <f t="array" aca="1" ref="GI130" ca="1">IF(COUNTIF($FO129:$GR129,GI129)&gt;3,INDEX(Hyb_Tech_Value,MATCH(GI128,Hyb_Code,0)),"")</f>
        <v/>
      </c>
      <c r="GJ130" s="15" t="str">
        <f t="array" aca="1" ref="GJ130" ca="1">IF(COUNTIF($FO129:$GR129,GJ129)&gt;3,INDEX(Hyb_Tech_Value,MATCH(GJ128,Hyb_Code,0)),"")</f>
        <v/>
      </c>
      <c r="GK130" s="15" t="str">
        <f t="array" aca="1" ref="GK130" ca="1">IF(COUNTIF($FO129:$GR129,GK129)&gt;3,INDEX(Hyb_Tech_Value,MATCH(GK128,Hyb_Code,0)),"")</f>
        <v/>
      </c>
      <c r="GL130" s="15" t="str">
        <f t="array" aca="1" ref="GL130" ca="1">IF(COUNTIF($FO129:$GR129,GL129)&gt;3,INDEX(Hyb_Tech_Value,MATCH(GL128,Hyb_Code,0)),"")</f>
        <v/>
      </c>
      <c r="GM130" s="15" t="str">
        <f t="array" aca="1" ref="GM130" ca="1">IF(COUNTIF($FO129:$GR129,GM129)&gt;3,INDEX(Hyb_Tech_Value,MATCH(GM128,Hyb_Code,0)),"")</f>
        <v/>
      </c>
      <c r="GN130" s="15" t="str">
        <f t="array" aca="1" ref="GN130" ca="1">IF(COUNTIF($FO129:$GR129,GN129)&gt;3,INDEX(Hyb_Tech_Value,MATCH(GN128,Hyb_Code,0)),"")</f>
        <v/>
      </c>
      <c r="GO130" s="15" t="str">
        <f t="array" aca="1" ref="GO130" ca="1">IF(COUNTIF($FO129:$GR129,GO129)&gt;3,INDEX(Hyb_Tech_Value,MATCH(GO128,Hyb_Code,0)),"")</f>
        <v/>
      </c>
      <c r="GP130" s="15" t="str">
        <f t="array" aca="1" ref="GP130" ca="1">IF(COUNTIF($FO129:$GR129,GP129)&gt;3,INDEX(Hyb_Tech_Value,MATCH(GP128,Hyb_Code,0)),"")</f>
        <v/>
      </c>
      <c r="GQ130" s="15" t="str">
        <f t="array" aca="1" ref="GQ130" ca="1">IF(COUNTIF($FO129:$GR129,GQ129)&gt;3,INDEX(Hyb_Tech_Value,MATCH(GQ128,Hyb_Code,0)),"")</f>
        <v/>
      </c>
      <c r="GR130" s="15" t="str">
        <f t="array" aca="1" ref="GR130" ca="1">IF(COUNTIF($FO129:$GR129,GR129)&gt;3,INDEX(Hyb_Tech_Value,MATCH(GR128,Hyb_Code,0)),"")</f>
        <v/>
      </c>
    </row>
    <row r="131" spans="166:200" ht="12.75" customHeight="1" x14ac:dyDescent="0.3">
      <c r="FJ131" s="5"/>
      <c r="FK131" s="5"/>
      <c r="FL131" s="5"/>
      <c r="FM131" s="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row>
    <row r="132" spans="166:200" ht="12.75" customHeight="1" x14ac:dyDescent="0.3">
      <c r="FJ132" s="5"/>
      <c r="FK132" s="5"/>
      <c r="FL132" s="5"/>
      <c r="FM132" s="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row>
    <row r="133" spans="166:200" ht="12.75" customHeight="1" x14ac:dyDescent="0.3">
      <c r="FJ133" s="5">
        <v>24</v>
      </c>
      <c r="FK133" s="5"/>
      <c r="FL133" s="5"/>
      <c r="FM133" s="15"/>
      <c r="FN133" s="15"/>
      <c r="FO133" s="15">
        <f t="shared" ref="FO133:GR133" ca="1" si="348">IFERROR(IF(AND(OFFSET($E$20,$FJ133,0)="H",OFFSET(J$19,$FJ133,0)&lt;&gt;""),UPPER(OFFSET(J$19,$FJ133,0)),FO$18),FO$18)</f>
        <v>1</v>
      </c>
      <c r="FP133" s="15">
        <f t="shared" ca="1" si="348"/>
        <v>2</v>
      </c>
      <c r="FQ133" s="15">
        <f t="shared" ca="1" si="348"/>
        <v>3</v>
      </c>
      <c r="FR133" s="15">
        <f t="shared" ca="1" si="348"/>
        <v>4</v>
      </c>
      <c r="FS133" s="15">
        <f t="shared" ca="1" si="348"/>
        <v>5</v>
      </c>
      <c r="FT133" s="15">
        <f t="shared" ca="1" si="348"/>
        <v>6</v>
      </c>
      <c r="FU133" s="15">
        <f t="shared" ca="1" si="348"/>
        <v>7</v>
      </c>
      <c r="FV133" s="15">
        <f t="shared" ca="1" si="348"/>
        <v>8</v>
      </c>
      <c r="FW133" s="15">
        <f t="shared" ca="1" si="348"/>
        <v>9</v>
      </c>
      <c r="FX133" s="15">
        <f t="shared" ca="1" si="348"/>
        <v>10</v>
      </c>
      <c r="FY133" s="15">
        <f t="shared" ca="1" si="348"/>
        <v>11</v>
      </c>
      <c r="FZ133" s="15">
        <f t="shared" ca="1" si="348"/>
        <v>12</v>
      </c>
      <c r="GA133" s="15">
        <f t="shared" ca="1" si="348"/>
        <v>13</v>
      </c>
      <c r="GB133" s="15">
        <f t="shared" ca="1" si="348"/>
        <v>14</v>
      </c>
      <c r="GC133" s="15">
        <f t="shared" ca="1" si="348"/>
        <v>15</v>
      </c>
      <c r="GD133" s="15">
        <f t="shared" ca="1" si="348"/>
        <v>16</v>
      </c>
      <c r="GE133" s="15">
        <f t="shared" ca="1" si="348"/>
        <v>17</v>
      </c>
      <c r="GF133" s="15">
        <f t="shared" ca="1" si="348"/>
        <v>18</v>
      </c>
      <c r="GG133" s="15">
        <f t="shared" ca="1" si="348"/>
        <v>19</v>
      </c>
      <c r="GH133" s="15">
        <f t="shared" ca="1" si="348"/>
        <v>20</v>
      </c>
      <c r="GI133" s="15">
        <f t="shared" ca="1" si="348"/>
        <v>21</v>
      </c>
      <c r="GJ133" s="15">
        <f t="shared" ca="1" si="348"/>
        <v>22</v>
      </c>
      <c r="GK133" s="15">
        <f t="shared" ca="1" si="348"/>
        <v>23</v>
      </c>
      <c r="GL133" s="15">
        <f t="shared" ca="1" si="348"/>
        <v>24</v>
      </c>
      <c r="GM133" s="15">
        <f t="shared" ca="1" si="348"/>
        <v>25</v>
      </c>
      <c r="GN133" s="15">
        <f t="shared" ca="1" si="348"/>
        <v>26</v>
      </c>
      <c r="GO133" s="15">
        <f t="shared" ca="1" si="348"/>
        <v>27</v>
      </c>
      <c r="GP133" s="15">
        <f t="shared" ca="1" si="348"/>
        <v>28</v>
      </c>
      <c r="GQ133" s="15">
        <f t="shared" ca="1" si="348"/>
        <v>29</v>
      </c>
      <c r="GR133" s="15">
        <f t="shared" ca="1" si="348"/>
        <v>30</v>
      </c>
    </row>
    <row r="134" spans="166:200" ht="12.75" customHeight="1" x14ac:dyDescent="0.3">
      <c r="FJ134" s="5"/>
      <c r="FK134" s="5"/>
      <c r="FL134" s="5"/>
      <c r="FM134" s="5"/>
      <c r="FN134" s="5"/>
      <c r="FO134" s="15">
        <f t="array" aca="1" ref="FO134" ca="1">IFERROR(IF(AND(OFFSET($E$20,$FJ133,0)="H",OFFSET(J$19,$FJ133,0)&lt;&gt;"",OFFSET($F79,$FJ133,0)&lt;&gt;"Hybrid - Thrust + 2 connections"),INDEX(Hyb_Tech,MATCH(OFFSET(J$19,$FJ133,0),Hyb_Code,0)),FO$72),FO$72)</f>
        <v>1</v>
      </c>
      <c r="FP134" s="15">
        <f t="array" aca="1" ref="FP134" ca="1">IFERROR(IF(AND(OFFSET($E$20,$FJ133,0)="H",OFFSET(K$19,$FJ133,0)&lt;&gt;"",OFFSET($F79,$FJ133,0)&lt;&gt;"Hybrid - Thrust + 2 connections"),INDEX(Hyb_Tech,MATCH(OFFSET(K$19,$FJ133,0),Hyb_Code,0)),FP$72),FP$72)</f>
        <v>2</v>
      </c>
      <c r="FQ134" s="15">
        <f t="array" aca="1" ref="FQ134" ca="1">IFERROR(IF(AND(OFFSET($E$20,$FJ133,0)="H",OFFSET(L$19,$FJ133,0)&lt;&gt;"",OFFSET($F79,$FJ133,0)&lt;&gt;"Hybrid - Thrust + 2 connections"),INDEX(Hyb_Tech,MATCH(OFFSET(L$19,$FJ133,0),Hyb_Code,0)),FQ$72),FQ$72)</f>
        <v>3</v>
      </c>
      <c r="FR134" s="15">
        <f t="array" aca="1" ref="FR134" ca="1">IFERROR(IF(AND(OFFSET($E$20,$FJ133,0)="H",OFFSET(M$19,$FJ133,0)&lt;&gt;"",OFFSET($F79,$FJ133,0)&lt;&gt;"Hybrid - Thrust + 2 connections"),INDEX(Hyb_Tech,MATCH(OFFSET(M$19,$FJ133,0),Hyb_Code,0)),FR$72),FR$72)</f>
        <v>4</v>
      </c>
      <c r="FS134" s="15">
        <f t="array" aca="1" ref="FS134" ca="1">IFERROR(IF(AND(OFFSET($E$20,$FJ133,0)="H",OFFSET(N$19,$FJ133,0)&lt;&gt;"",OFFSET($F79,$FJ133,0)&lt;&gt;"Hybrid - Thrust + 2 connections"),INDEX(Hyb_Tech,MATCH(OFFSET(N$19,$FJ133,0),Hyb_Code,0)),FS$72),FS$72)</f>
        <v>5</v>
      </c>
      <c r="FT134" s="15">
        <f t="array" aca="1" ref="FT134" ca="1">IFERROR(IF(AND(OFFSET($E$20,$FJ133,0)="H",OFFSET(O$19,$FJ133,0)&lt;&gt;"",OFFSET($F79,$FJ133,0)&lt;&gt;"Hybrid - Thrust + 2 connections"),INDEX(Hyb_Tech,MATCH(OFFSET(O$19,$FJ133,0),Hyb_Code,0)),FT$72),FT$72)</f>
        <v>6</v>
      </c>
      <c r="FU134" s="15">
        <f t="array" aca="1" ref="FU134" ca="1">IFERROR(IF(AND(OFFSET($E$20,$FJ133,0)="H",OFFSET(P$19,$FJ133,0)&lt;&gt;"",OFFSET($F79,$FJ133,0)&lt;&gt;"Hybrid - Thrust + 2 connections"),INDEX(Hyb_Tech,MATCH(OFFSET(P$19,$FJ133,0),Hyb_Code,0)),FU$72),FU$72)</f>
        <v>7</v>
      </c>
      <c r="FV134" s="15">
        <f t="array" aca="1" ref="FV134" ca="1">IFERROR(IF(AND(OFFSET($E$20,$FJ133,0)="H",OFFSET(Q$19,$FJ133,0)&lt;&gt;"",OFFSET($F79,$FJ133,0)&lt;&gt;"Hybrid - Thrust + 2 connections"),INDEX(Hyb_Tech,MATCH(OFFSET(Q$19,$FJ133,0),Hyb_Code,0)),FV$72),FV$72)</f>
        <v>8</v>
      </c>
      <c r="FW134" s="15">
        <f t="array" aca="1" ref="FW134" ca="1">IFERROR(IF(AND(OFFSET($E$20,$FJ133,0)="H",OFFSET(R$19,$FJ133,0)&lt;&gt;"",OFFSET($F79,$FJ133,0)&lt;&gt;"Hybrid - Thrust + 2 connections"),INDEX(Hyb_Tech,MATCH(OFFSET(R$19,$FJ133,0),Hyb_Code,0)),FW$72),FW$72)</f>
        <v>9</v>
      </c>
      <c r="FX134" s="15">
        <f t="array" aca="1" ref="FX134" ca="1">IFERROR(IF(AND(OFFSET($E$20,$FJ133,0)="H",OFFSET(S$19,$FJ133,0)&lt;&gt;"",OFFSET($F79,$FJ133,0)&lt;&gt;"Hybrid - Thrust + 2 connections"),INDEX(Hyb_Tech,MATCH(OFFSET(S$19,$FJ133,0),Hyb_Code,0)),FX$72),FX$72)</f>
        <v>10</v>
      </c>
      <c r="FY134" s="15">
        <f t="array" aca="1" ref="FY134" ca="1">IFERROR(IF(AND(OFFSET($E$20,$FJ133,0)="H",OFFSET(T$19,$FJ133,0)&lt;&gt;"",OFFSET($F79,$FJ133,0)&lt;&gt;"Hybrid - Thrust + 2 connections"),INDEX(Hyb_Tech,MATCH(OFFSET(T$19,$FJ133,0),Hyb_Code,0)),FY$72),FY$72)</f>
        <v>11</v>
      </c>
      <c r="FZ134" s="15">
        <f t="array" aca="1" ref="FZ134" ca="1">IFERROR(IF(AND(OFFSET($E$20,$FJ133,0)="H",OFFSET(U$19,$FJ133,0)&lt;&gt;"",OFFSET($F79,$FJ133,0)&lt;&gt;"Hybrid - Thrust + 2 connections"),INDEX(Hyb_Tech,MATCH(OFFSET(U$19,$FJ133,0),Hyb_Code,0)),FZ$72),FZ$72)</f>
        <v>12</v>
      </c>
      <c r="GA134" s="15">
        <f t="array" aca="1" ref="GA134" ca="1">IFERROR(IF(AND(OFFSET($E$20,$FJ133,0)="H",OFFSET(V$19,$FJ133,0)&lt;&gt;"",OFFSET($F79,$FJ133,0)&lt;&gt;"Hybrid - Thrust + 2 connections"),INDEX(Hyb_Tech,MATCH(OFFSET(V$19,$FJ133,0),Hyb_Code,0)),GA$72),GA$72)</f>
        <v>13</v>
      </c>
      <c r="GB134" s="15">
        <f t="array" aca="1" ref="GB134" ca="1">IFERROR(IF(AND(OFFSET($E$20,$FJ133,0)="H",OFFSET(W$19,$FJ133,0)&lt;&gt;"",OFFSET($F79,$FJ133,0)&lt;&gt;"Hybrid - Thrust + 2 connections"),INDEX(Hyb_Tech,MATCH(OFFSET(W$19,$FJ133,0),Hyb_Code,0)),GB$72),GB$72)</f>
        <v>14</v>
      </c>
      <c r="GC134" s="15">
        <f t="array" aca="1" ref="GC134" ca="1">IFERROR(IF(AND(OFFSET($E$20,$FJ133,0)="H",OFFSET(X$19,$FJ133,0)&lt;&gt;"",OFFSET($F79,$FJ133,0)&lt;&gt;"Hybrid - Thrust + 2 connections"),INDEX(Hyb_Tech,MATCH(OFFSET(X$19,$FJ133,0),Hyb_Code,0)),GC$72),GC$72)</f>
        <v>15</v>
      </c>
      <c r="GD134" s="15">
        <f t="array" aca="1" ref="GD134" ca="1">IFERROR(IF(AND(OFFSET($E$20,$FJ133,0)="H",OFFSET(Y$19,$FJ133,0)&lt;&gt;"",OFFSET($F79,$FJ133,0)&lt;&gt;"Hybrid - Thrust + 2 connections"),INDEX(Hyb_Tech,MATCH(OFFSET(Y$19,$FJ133,0),Hyb_Code,0)),GD$72),GD$72)</f>
        <v>16</v>
      </c>
      <c r="GE134" s="15">
        <f t="array" aca="1" ref="GE134" ca="1">IFERROR(IF(AND(OFFSET($E$20,$FJ133,0)="H",OFFSET(Z$19,$FJ133,0)&lt;&gt;"",OFFSET($F79,$FJ133,0)&lt;&gt;"Hybrid - Thrust + 2 connections"),INDEX(Hyb_Tech,MATCH(OFFSET(Z$19,$FJ133,0),Hyb_Code,0)),GE$72),GE$72)</f>
        <v>17</v>
      </c>
      <c r="GF134" s="15">
        <f t="array" aca="1" ref="GF134" ca="1">IFERROR(IF(AND(OFFSET($E$20,$FJ133,0)="H",OFFSET(AA$19,$FJ133,0)&lt;&gt;"",OFFSET($F79,$FJ133,0)&lt;&gt;"Hybrid - Thrust + 2 connections"),INDEX(Hyb_Tech,MATCH(OFFSET(AA$19,$FJ133,0),Hyb_Code,0)),GF$72),GF$72)</f>
        <v>18</v>
      </c>
      <c r="GG134" s="15">
        <f t="array" aca="1" ref="GG134" ca="1">IFERROR(IF(AND(OFFSET($E$20,$FJ133,0)="H",OFFSET(AB$19,$FJ133,0)&lt;&gt;"",OFFSET($F79,$FJ133,0)&lt;&gt;"Hybrid - Thrust + 2 connections"),INDEX(Hyb_Tech,MATCH(OFFSET(AB$19,$FJ133,0),Hyb_Code,0)),GG$72),GG$72)</f>
        <v>19</v>
      </c>
      <c r="GH134" s="15">
        <f t="array" aca="1" ref="GH134" ca="1">IFERROR(IF(AND(OFFSET($E$20,$FJ133,0)="H",OFFSET(AC$19,$FJ133,0)&lt;&gt;"",OFFSET($F79,$FJ133,0)&lt;&gt;"Hybrid - Thrust + 2 connections"),INDEX(Hyb_Tech,MATCH(OFFSET(AC$19,$FJ133,0),Hyb_Code,0)),GH$72),GH$72)</f>
        <v>20</v>
      </c>
      <c r="GI134" s="15">
        <f t="array" aca="1" ref="GI134" ca="1">IFERROR(IF(AND(OFFSET($E$20,$FJ133,0)="H",OFFSET(AD$19,$FJ133,0)&lt;&gt;"",OFFSET($F79,$FJ133,0)&lt;&gt;"Hybrid - Thrust + 2 connections"),INDEX(Hyb_Tech,MATCH(OFFSET(AD$19,$FJ133,0),Hyb_Code,0)),GI$72),GI$72)</f>
        <v>21</v>
      </c>
      <c r="GJ134" s="15">
        <f t="array" aca="1" ref="GJ134" ca="1">IFERROR(IF(AND(OFFSET($E$20,$FJ133,0)="H",OFFSET(AE$19,$FJ133,0)&lt;&gt;"",OFFSET($F79,$FJ133,0)&lt;&gt;"Hybrid - Thrust + 2 connections"),INDEX(Hyb_Tech,MATCH(OFFSET(AE$19,$FJ133,0),Hyb_Code,0)),GJ$72),GJ$72)</f>
        <v>22</v>
      </c>
      <c r="GK134" s="15">
        <f t="array" aca="1" ref="GK134" ca="1">IFERROR(IF(AND(OFFSET($E$20,$FJ133,0)="H",OFFSET(AF$19,$FJ133,0)&lt;&gt;"",OFFSET($F79,$FJ133,0)&lt;&gt;"Hybrid - Thrust + 2 connections"),INDEX(Hyb_Tech,MATCH(OFFSET(AF$19,$FJ133,0),Hyb_Code,0)),GK$72),GK$72)</f>
        <v>23</v>
      </c>
      <c r="GL134" s="15">
        <f t="array" aca="1" ref="GL134" ca="1">IFERROR(IF(AND(OFFSET($E$20,$FJ133,0)="H",OFFSET(AG$19,$FJ133,0)&lt;&gt;"",OFFSET($F79,$FJ133,0)&lt;&gt;"Hybrid - Thrust + 2 connections"),INDEX(Hyb_Tech,MATCH(OFFSET(AG$19,$FJ133,0),Hyb_Code,0)),GL$72),GL$72)</f>
        <v>24</v>
      </c>
      <c r="GM134" s="15">
        <f t="array" aca="1" ref="GM134" ca="1">IFERROR(IF(AND(OFFSET($E$20,$FJ133,0)="H",OFFSET(AH$19,$FJ133,0)&lt;&gt;"",OFFSET($F79,$FJ133,0)&lt;&gt;"Hybrid - Thrust + 2 connections"),INDEX(Hyb_Tech,MATCH(OFFSET(AH$19,$FJ133,0),Hyb_Code,0)),GM$72),GM$72)</f>
        <v>25</v>
      </c>
      <c r="GN134" s="15">
        <f t="array" aca="1" ref="GN134" ca="1">IFERROR(IF(AND(OFFSET($E$20,$FJ133,0)="H",OFFSET(AI$19,$FJ133,0)&lt;&gt;"",OFFSET($F79,$FJ133,0)&lt;&gt;"Hybrid - Thrust + 2 connections"),INDEX(Hyb_Tech,MATCH(OFFSET(AI$19,$FJ133,0),Hyb_Code,0)),GN$72),GN$72)</f>
        <v>26</v>
      </c>
      <c r="GO134" s="15">
        <f t="array" aca="1" ref="GO134" ca="1">IFERROR(IF(AND(OFFSET($E$20,$FJ133,0)="H",OFFSET(AJ$19,$FJ133,0)&lt;&gt;"",OFFSET($F79,$FJ133,0)&lt;&gt;"Hybrid - Thrust + 2 connections"),INDEX(Hyb_Tech,MATCH(OFFSET(AJ$19,$FJ133,0),Hyb_Code,0)),GO$72),GO$72)</f>
        <v>27</v>
      </c>
      <c r="GP134" s="15">
        <f t="array" aca="1" ref="GP134" ca="1">IFERROR(IF(AND(OFFSET($E$20,$FJ133,0)="H",OFFSET(AK$19,$FJ133,0)&lt;&gt;"",OFFSET($F79,$FJ133,0)&lt;&gt;"Hybrid - Thrust + 2 connections"),INDEX(Hyb_Tech,MATCH(OFFSET(AK$19,$FJ133,0),Hyb_Code,0)),GP$72),GP$72)</f>
        <v>28</v>
      </c>
      <c r="GQ134" s="15">
        <f t="array" aca="1" ref="GQ134" ca="1">IFERROR(IF(AND(OFFSET($E$20,$FJ133,0)="H",OFFSET(AL$19,$FJ133,0)&lt;&gt;"",OFFSET($F79,$FJ133,0)&lt;&gt;"Hybrid - Thrust + 2 connections"),INDEX(Hyb_Tech,MATCH(OFFSET(AL$19,$FJ133,0),Hyb_Code,0)),GQ$72),GQ$72)</f>
        <v>29</v>
      </c>
      <c r="GR134" s="15">
        <f t="array" aca="1" ref="GR134" ca="1">IFERROR(IF(AND(OFFSET($E$20,$FJ133,0)="H",OFFSET(AM$19,$FJ133,0)&lt;&gt;"",OFFSET($F79,$FJ133,0)&lt;&gt;"Hybrid - Thrust + 2 connections"),INDEX(Hyb_Tech,MATCH(OFFSET(AM$19,$FJ133,0),Hyb_Code,0)),GR$72),GR$72)</f>
        <v>30</v>
      </c>
    </row>
    <row r="135" spans="166:200" ht="12.75" customHeight="1" x14ac:dyDescent="0.3">
      <c r="FJ135" s="5"/>
      <c r="FK135" s="5"/>
      <c r="FL135" s="5"/>
      <c r="FM135" s="5" t="str">
        <f ca="1">IFERROR(IF(SUM($FO135:$GR135)&gt;3,OFFSET($FO$73,$FJ133*5/2,MATCH(1,FO135:GR135,0)),""),"")</f>
        <v/>
      </c>
      <c r="FN135" s="15" t="str">
        <f ca="1">IFERROR(IF(LEFT(FM135,1)="C",IF(RIGHT(FM135,1)="+",LEFT(FM135,LEN(FM135)-1),CONCATENATE(FM135,"+")),IF(SUM($FO135:$GR135)&gt;3,OFFSET($FO$73,$FJ133*5/2,MATCH(0.5,FO135:GR135,0)),"")),"")</f>
        <v/>
      </c>
      <c r="FO135" s="15" t="str">
        <f t="array" aca="1" ref="FO135" ca="1">IF(COUNTIF($FO134:$GR134,FO134)&gt;3,INDEX(Hyb_Tech_Value,MATCH(FO133,Hyb_Code,0)),"")</f>
        <v/>
      </c>
      <c r="FP135" s="15" t="str">
        <f t="array" aca="1" ref="FP135" ca="1">IF(COUNTIF($FO134:$GR134,FP134)&gt;3,INDEX(Hyb_Tech_Value,MATCH(FP133,Hyb_Code,0)),"")</f>
        <v/>
      </c>
      <c r="FQ135" s="15" t="str">
        <f t="array" aca="1" ref="FQ135" ca="1">IF(COUNTIF($FO134:$GR134,FQ134)&gt;3,INDEX(Hyb_Tech_Value,MATCH(FQ133,Hyb_Code,0)),"")</f>
        <v/>
      </c>
      <c r="FR135" s="15" t="str">
        <f t="array" aca="1" ref="FR135" ca="1">IF(COUNTIF($FO134:$GR134,FR134)&gt;3,INDEX(Hyb_Tech_Value,MATCH(FR133,Hyb_Code,0)),"")</f>
        <v/>
      </c>
      <c r="FS135" s="15" t="str">
        <f t="array" aca="1" ref="FS135" ca="1">IF(COUNTIF($FO134:$GR134,FS134)&gt;3,INDEX(Hyb_Tech_Value,MATCH(FS133,Hyb_Code,0)),"")</f>
        <v/>
      </c>
      <c r="FT135" s="15" t="str">
        <f t="array" aca="1" ref="FT135" ca="1">IF(COUNTIF($FO134:$GR134,FT134)&gt;3,INDEX(Hyb_Tech_Value,MATCH(FT133,Hyb_Code,0)),"")</f>
        <v/>
      </c>
      <c r="FU135" s="15" t="str">
        <f t="array" aca="1" ref="FU135" ca="1">IF(COUNTIF($FO134:$GR134,FU134)&gt;3,INDEX(Hyb_Tech_Value,MATCH(FU133,Hyb_Code,0)),"")</f>
        <v/>
      </c>
      <c r="FV135" s="15" t="str">
        <f t="array" aca="1" ref="FV135" ca="1">IF(COUNTIF($FO134:$GR134,FV134)&gt;3,INDEX(Hyb_Tech_Value,MATCH(FV133,Hyb_Code,0)),"")</f>
        <v/>
      </c>
      <c r="FW135" s="15" t="str">
        <f t="array" aca="1" ref="FW135" ca="1">IF(COUNTIF($FO134:$GR134,FW134)&gt;3,INDEX(Hyb_Tech_Value,MATCH(FW133,Hyb_Code,0)),"")</f>
        <v/>
      </c>
      <c r="FX135" s="15" t="str">
        <f t="array" aca="1" ref="FX135" ca="1">IF(COUNTIF($FO134:$GR134,FX134)&gt;3,INDEX(Hyb_Tech_Value,MATCH(FX133,Hyb_Code,0)),"")</f>
        <v/>
      </c>
      <c r="FY135" s="15" t="str">
        <f t="array" aca="1" ref="FY135" ca="1">IF(COUNTIF($FO134:$GR134,FY134)&gt;3,INDEX(Hyb_Tech_Value,MATCH(FY133,Hyb_Code,0)),"")</f>
        <v/>
      </c>
      <c r="FZ135" s="15" t="str">
        <f t="array" aca="1" ref="FZ135" ca="1">IF(COUNTIF($FO134:$GR134,FZ134)&gt;3,INDEX(Hyb_Tech_Value,MATCH(FZ133,Hyb_Code,0)),"")</f>
        <v/>
      </c>
      <c r="GA135" s="15" t="str">
        <f t="array" aca="1" ref="GA135" ca="1">IF(COUNTIF($FO134:$GR134,GA134)&gt;3,INDEX(Hyb_Tech_Value,MATCH(GA133,Hyb_Code,0)),"")</f>
        <v/>
      </c>
      <c r="GB135" s="15" t="str">
        <f t="array" aca="1" ref="GB135" ca="1">IF(COUNTIF($FO134:$GR134,GB134)&gt;3,INDEX(Hyb_Tech_Value,MATCH(GB133,Hyb_Code,0)),"")</f>
        <v/>
      </c>
      <c r="GC135" s="15" t="str">
        <f t="array" aca="1" ref="GC135" ca="1">IF(COUNTIF($FO134:$GR134,GC134)&gt;3,INDEX(Hyb_Tech_Value,MATCH(GC133,Hyb_Code,0)),"")</f>
        <v/>
      </c>
      <c r="GD135" s="15" t="str">
        <f t="array" aca="1" ref="GD135" ca="1">IF(COUNTIF($FO134:$GR134,GD134)&gt;3,INDEX(Hyb_Tech_Value,MATCH(GD133,Hyb_Code,0)),"")</f>
        <v/>
      </c>
      <c r="GE135" s="15" t="str">
        <f t="array" aca="1" ref="GE135" ca="1">IF(COUNTIF($FO134:$GR134,GE134)&gt;3,INDEX(Hyb_Tech_Value,MATCH(GE133,Hyb_Code,0)),"")</f>
        <v/>
      </c>
      <c r="GF135" s="15" t="str">
        <f t="array" aca="1" ref="GF135" ca="1">IF(COUNTIF($FO134:$GR134,GF134)&gt;3,INDEX(Hyb_Tech_Value,MATCH(GF133,Hyb_Code,0)),"")</f>
        <v/>
      </c>
      <c r="GG135" s="15" t="str">
        <f t="array" aca="1" ref="GG135" ca="1">IF(COUNTIF($FO134:$GR134,GG134)&gt;3,INDEX(Hyb_Tech_Value,MATCH(GG133,Hyb_Code,0)),"")</f>
        <v/>
      </c>
      <c r="GH135" s="15" t="str">
        <f t="array" aca="1" ref="GH135" ca="1">IF(COUNTIF($FO134:$GR134,GH134)&gt;3,INDEX(Hyb_Tech_Value,MATCH(GH133,Hyb_Code,0)),"")</f>
        <v/>
      </c>
      <c r="GI135" s="15" t="str">
        <f t="array" aca="1" ref="GI135" ca="1">IF(COUNTIF($FO134:$GR134,GI134)&gt;3,INDEX(Hyb_Tech_Value,MATCH(GI133,Hyb_Code,0)),"")</f>
        <v/>
      </c>
      <c r="GJ135" s="15" t="str">
        <f t="array" aca="1" ref="GJ135" ca="1">IF(COUNTIF($FO134:$GR134,GJ134)&gt;3,INDEX(Hyb_Tech_Value,MATCH(GJ133,Hyb_Code,0)),"")</f>
        <v/>
      </c>
      <c r="GK135" s="15" t="str">
        <f t="array" aca="1" ref="GK135" ca="1">IF(COUNTIF($FO134:$GR134,GK134)&gt;3,INDEX(Hyb_Tech_Value,MATCH(GK133,Hyb_Code,0)),"")</f>
        <v/>
      </c>
      <c r="GL135" s="15" t="str">
        <f t="array" aca="1" ref="GL135" ca="1">IF(COUNTIF($FO134:$GR134,GL134)&gt;3,INDEX(Hyb_Tech_Value,MATCH(GL133,Hyb_Code,0)),"")</f>
        <v/>
      </c>
      <c r="GM135" s="15" t="str">
        <f t="array" aca="1" ref="GM135" ca="1">IF(COUNTIF($FO134:$GR134,GM134)&gt;3,INDEX(Hyb_Tech_Value,MATCH(GM133,Hyb_Code,0)),"")</f>
        <v/>
      </c>
      <c r="GN135" s="15" t="str">
        <f t="array" aca="1" ref="GN135" ca="1">IF(COUNTIF($FO134:$GR134,GN134)&gt;3,INDEX(Hyb_Tech_Value,MATCH(GN133,Hyb_Code,0)),"")</f>
        <v/>
      </c>
      <c r="GO135" s="15" t="str">
        <f t="array" aca="1" ref="GO135" ca="1">IF(COUNTIF($FO134:$GR134,GO134)&gt;3,INDEX(Hyb_Tech_Value,MATCH(GO133,Hyb_Code,0)),"")</f>
        <v/>
      </c>
      <c r="GP135" s="15" t="str">
        <f t="array" aca="1" ref="GP135" ca="1">IF(COUNTIF($FO134:$GR134,GP134)&gt;3,INDEX(Hyb_Tech_Value,MATCH(GP133,Hyb_Code,0)),"")</f>
        <v/>
      </c>
      <c r="GQ135" s="15" t="str">
        <f t="array" aca="1" ref="GQ135" ca="1">IF(COUNTIF($FO134:$GR134,GQ134)&gt;3,INDEX(Hyb_Tech_Value,MATCH(GQ133,Hyb_Code,0)),"")</f>
        <v/>
      </c>
      <c r="GR135" s="15" t="str">
        <f t="array" aca="1" ref="GR135" ca="1">IF(COUNTIF($FO134:$GR134,GR134)&gt;3,INDEX(Hyb_Tech_Value,MATCH(GR133,Hyb_Code,0)),"")</f>
        <v/>
      </c>
    </row>
    <row r="136" spans="166:200" ht="12.75" customHeight="1" x14ac:dyDescent="0.3">
      <c r="FJ136" s="5"/>
      <c r="FK136" s="5"/>
      <c r="FL136" s="5"/>
      <c r="FM136" s="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row>
    <row r="137" spans="166:200" ht="12.75" customHeight="1" x14ac:dyDescent="0.3">
      <c r="FJ137" s="5"/>
      <c r="FK137" s="5"/>
      <c r="FL137" s="5"/>
      <c r="FM137" s="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row>
    <row r="138" spans="166:200" ht="12.75" customHeight="1" x14ac:dyDescent="0.3">
      <c r="FJ138" s="5">
        <v>26</v>
      </c>
      <c r="FK138" s="5"/>
      <c r="FL138" s="5"/>
      <c r="FM138" s="15"/>
      <c r="FN138" s="15"/>
      <c r="FO138" s="15">
        <f t="shared" ref="FO138:GR138" ca="1" si="349">IFERROR(IF(AND(OFFSET($E$20,$FJ138,0)="H",OFFSET(J$19,$FJ138,0)&lt;&gt;""),UPPER(OFFSET(J$19,$FJ138,0)),FO$18),FO$18)</f>
        <v>1</v>
      </c>
      <c r="FP138" s="15">
        <f t="shared" ca="1" si="349"/>
        <v>2</v>
      </c>
      <c r="FQ138" s="15">
        <f t="shared" ca="1" si="349"/>
        <v>3</v>
      </c>
      <c r="FR138" s="15">
        <f t="shared" ca="1" si="349"/>
        <v>4</v>
      </c>
      <c r="FS138" s="15">
        <f t="shared" ca="1" si="349"/>
        <v>5</v>
      </c>
      <c r="FT138" s="15">
        <f t="shared" ca="1" si="349"/>
        <v>6</v>
      </c>
      <c r="FU138" s="15">
        <f t="shared" ca="1" si="349"/>
        <v>7</v>
      </c>
      <c r="FV138" s="15">
        <f t="shared" ca="1" si="349"/>
        <v>8</v>
      </c>
      <c r="FW138" s="15">
        <f t="shared" ca="1" si="349"/>
        <v>9</v>
      </c>
      <c r="FX138" s="15">
        <f t="shared" ca="1" si="349"/>
        <v>10</v>
      </c>
      <c r="FY138" s="15">
        <f t="shared" ca="1" si="349"/>
        <v>11</v>
      </c>
      <c r="FZ138" s="15">
        <f t="shared" ca="1" si="349"/>
        <v>12</v>
      </c>
      <c r="GA138" s="15">
        <f t="shared" ca="1" si="349"/>
        <v>13</v>
      </c>
      <c r="GB138" s="15">
        <f t="shared" ca="1" si="349"/>
        <v>14</v>
      </c>
      <c r="GC138" s="15">
        <f t="shared" ca="1" si="349"/>
        <v>15</v>
      </c>
      <c r="GD138" s="15">
        <f t="shared" ca="1" si="349"/>
        <v>16</v>
      </c>
      <c r="GE138" s="15">
        <f t="shared" ca="1" si="349"/>
        <v>17</v>
      </c>
      <c r="GF138" s="15">
        <f t="shared" ca="1" si="349"/>
        <v>18</v>
      </c>
      <c r="GG138" s="15">
        <f t="shared" ca="1" si="349"/>
        <v>19</v>
      </c>
      <c r="GH138" s="15">
        <f t="shared" ca="1" si="349"/>
        <v>20</v>
      </c>
      <c r="GI138" s="15">
        <f t="shared" ca="1" si="349"/>
        <v>21</v>
      </c>
      <c r="GJ138" s="15">
        <f t="shared" ca="1" si="349"/>
        <v>22</v>
      </c>
      <c r="GK138" s="15">
        <f t="shared" ca="1" si="349"/>
        <v>23</v>
      </c>
      <c r="GL138" s="15">
        <f t="shared" ca="1" si="349"/>
        <v>24</v>
      </c>
      <c r="GM138" s="15">
        <f t="shared" ca="1" si="349"/>
        <v>25</v>
      </c>
      <c r="GN138" s="15">
        <f t="shared" ca="1" si="349"/>
        <v>26</v>
      </c>
      <c r="GO138" s="15">
        <f t="shared" ca="1" si="349"/>
        <v>27</v>
      </c>
      <c r="GP138" s="15">
        <f t="shared" ca="1" si="349"/>
        <v>28</v>
      </c>
      <c r="GQ138" s="15">
        <f t="shared" ca="1" si="349"/>
        <v>29</v>
      </c>
      <c r="GR138" s="15">
        <f t="shared" ca="1" si="349"/>
        <v>30</v>
      </c>
    </row>
    <row r="139" spans="166:200" ht="12.75" customHeight="1" x14ac:dyDescent="0.3">
      <c r="FJ139" s="5"/>
      <c r="FK139" s="5"/>
      <c r="FL139" s="5"/>
      <c r="FM139" s="5"/>
      <c r="FN139" s="5"/>
      <c r="FO139" s="15">
        <f t="array" aca="1" ref="FO139" ca="1">IFERROR(IF(AND(OFFSET($E$20,$FJ138,0)="H",OFFSET(J$19,$FJ138,0)&lt;&gt;"",OFFSET($F84,$FJ138,0)&lt;&gt;"Hybrid - Thrust + 2 connections"),INDEX(Hyb_Tech,MATCH(OFFSET(J$19,$FJ138,0),Hyb_Code,0)),FO$72),FO$72)</f>
        <v>1</v>
      </c>
      <c r="FP139" s="15">
        <f t="array" aca="1" ref="FP139" ca="1">IFERROR(IF(AND(OFFSET($E$20,$FJ138,0)="H",OFFSET(K$19,$FJ138,0)&lt;&gt;"",OFFSET($F84,$FJ138,0)&lt;&gt;"Hybrid - Thrust + 2 connections"),INDEX(Hyb_Tech,MATCH(OFFSET(K$19,$FJ138,0),Hyb_Code,0)),FP$72),FP$72)</f>
        <v>2</v>
      </c>
      <c r="FQ139" s="15">
        <f t="array" aca="1" ref="FQ139" ca="1">IFERROR(IF(AND(OFFSET($E$20,$FJ138,0)="H",OFFSET(L$19,$FJ138,0)&lt;&gt;"",OFFSET($F84,$FJ138,0)&lt;&gt;"Hybrid - Thrust + 2 connections"),INDEX(Hyb_Tech,MATCH(OFFSET(L$19,$FJ138,0),Hyb_Code,0)),FQ$72),FQ$72)</f>
        <v>3</v>
      </c>
      <c r="FR139" s="15">
        <f t="array" aca="1" ref="FR139" ca="1">IFERROR(IF(AND(OFFSET($E$20,$FJ138,0)="H",OFFSET(M$19,$FJ138,0)&lt;&gt;"",OFFSET($F84,$FJ138,0)&lt;&gt;"Hybrid - Thrust + 2 connections"),INDEX(Hyb_Tech,MATCH(OFFSET(M$19,$FJ138,0),Hyb_Code,0)),FR$72),FR$72)</f>
        <v>4</v>
      </c>
      <c r="FS139" s="15">
        <f t="array" aca="1" ref="FS139" ca="1">IFERROR(IF(AND(OFFSET($E$20,$FJ138,0)="H",OFFSET(N$19,$FJ138,0)&lt;&gt;"",OFFSET($F84,$FJ138,0)&lt;&gt;"Hybrid - Thrust + 2 connections"),INDEX(Hyb_Tech,MATCH(OFFSET(N$19,$FJ138,0),Hyb_Code,0)),FS$72),FS$72)</f>
        <v>5</v>
      </c>
      <c r="FT139" s="15">
        <f t="array" aca="1" ref="FT139" ca="1">IFERROR(IF(AND(OFFSET($E$20,$FJ138,0)="H",OFFSET(O$19,$FJ138,0)&lt;&gt;"",OFFSET($F84,$FJ138,0)&lt;&gt;"Hybrid - Thrust + 2 connections"),INDEX(Hyb_Tech,MATCH(OFFSET(O$19,$FJ138,0),Hyb_Code,0)),FT$72),FT$72)</f>
        <v>6</v>
      </c>
      <c r="FU139" s="15">
        <f t="array" aca="1" ref="FU139" ca="1">IFERROR(IF(AND(OFFSET($E$20,$FJ138,0)="H",OFFSET(P$19,$FJ138,0)&lt;&gt;"",OFFSET($F84,$FJ138,0)&lt;&gt;"Hybrid - Thrust + 2 connections"),INDEX(Hyb_Tech,MATCH(OFFSET(P$19,$FJ138,0),Hyb_Code,0)),FU$72),FU$72)</f>
        <v>7</v>
      </c>
      <c r="FV139" s="15">
        <f t="array" aca="1" ref="FV139" ca="1">IFERROR(IF(AND(OFFSET($E$20,$FJ138,0)="H",OFFSET(Q$19,$FJ138,0)&lt;&gt;"",OFFSET($F84,$FJ138,0)&lt;&gt;"Hybrid - Thrust + 2 connections"),INDEX(Hyb_Tech,MATCH(OFFSET(Q$19,$FJ138,0),Hyb_Code,0)),FV$72),FV$72)</f>
        <v>8</v>
      </c>
      <c r="FW139" s="15">
        <f t="array" aca="1" ref="FW139" ca="1">IFERROR(IF(AND(OFFSET($E$20,$FJ138,0)="H",OFFSET(R$19,$FJ138,0)&lt;&gt;"",OFFSET($F84,$FJ138,0)&lt;&gt;"Hybrid - Thrust + 2 connections"),INDEX(Hyb_Tech,MATCH(OFFSET(R$19,$FJ138,0),Hyb_Code,0)),FW$72),FW$72)</f>
        <v>9</v>
      </c>
      <c r="FX139" s="15">
        <f t="array" aca="1" ref="FX139" ca="1">IFERROR(IF(AND(OFFSET($E$20,$FJ138,0)="H",OFFSET(S$19,$FJ138,0)&lt;&gt;"",OFFSET($F84,$FJ138,0)&lt;&gt;"Hybrid - Thrust + 2 connections"),INDEX(Hyb_Tech,MATCH(OFFSET(S$19,$FJ138,0),Hyb_Code,0)),FX$72),FX$72)</f>
        <v>10</v>
      </c>
      <c r="FY139" s="15">
        <f t="array" aca="1" ref="FY139" ca="1">IFERROR(IF(AND(OFFSET($E$20,$FJ138,0)="H",OFFSET(T$19,$FJ138,0)&lt;&gt;"",OFFSET($F84,$FJ138,0)&lt;&gt;"Hybrid - Thrust + 2 connections"),INDEX(Hyb_Tech,MATCH(OFFSET(T$19,$FJ138,0),Hyb_Code,0)),FY$72),FY$72)</f>
        <v>11</v>
      </c>
      <c r="FZ139" s="15">
        <f t="array" aca="1" ref="FZ139" ca="1">IFERROR(IF(AND(OFFSET($E$20,$FJ138,0)="H",OFFSET(U$19,$FJ138,0)&lt;&gt;"",OFFSET($F84,$FJ138,0)&lt;&gt;"Hybrid - Thrust + 2 connections"),INDEX(Hyb_Tech,MATCH(OFFSET(U$19,$FJ138,0),Hyb_Code,0)),FZ$72),FZ$72)</f>
        <v>12</v>
      </c>
      <c r="GA139" s="15">
        <f t="array" aca="1" ref="GA139" ca="1">IFERROR(IF(AND(OFFSET($E$20,$FJ138,0)="H",OFFSET(V$19,$FJ138,0)&lt;&gt;"",OFFSET($F84,$FJ138,0)&lt;&gt;"Hybrid - Thrust + 2 connections"),INDEX(Hyb_Tech,MATCH(OFFSET(V$19,$FJ138,0),Hyb_Code,0)),GA$72),GA$72)</f>
        <v>13</v>
      </c>
      <c r="GB139" s="15">
        <f t="array" aca="1" ref="GB139" ca="1">IFERROR(IF(AND(OFFSET($E$20,$FJ138,0)="H",OFFSET(W$19,$FJ138,0)&lt;&gt;"",OFFSET($F84,$FJ138,0)&lt;&gt;"Hybrid - Thrust + 2 connections"),INDEX(Hyb_Tech,MATCH(OFFSET(W$19,$FJ138,0),Hyb_Code,0)),GB$72),GB$72)</f>
        <v>14</v>
      </c>
      <c r="GC139" s="15">
        <f t="array" aca="1" ref="GC139" ca="1">IFERROR(IF(AND(OFFSET($E$20,$FJ138,0)="H",OFFSET(X$19,$FJ138,0)&lt;&gt;"",OFFSET($F84,$FJ138,0)&lt;&gt;"Hybrid - Thrust + 2 connections"),INDEX(Hyb_Tech,MATCH(OFFSET(X$19,$FJ138,0),Hyb_Code,0)),GC$72),GC$72)</f>
        <v>15</v>
      </c>
      <c r="GD139" s="15">
        <f t="array" aca="1" ref="GD139" ca="1">IFERROR(IF(AND(OFFSET($E$20,$FJ138,0)="H",OFFSET(Y$19,$FJ138,0)&lt;&gt;"",OFFSET($F84,$FJ138,0)&lt;&gt;"Hybrid - Thrust + 2 connections"),INDEX(Hyb_Tech,MATCH(OFFSET(Y$19,$FJ138,0),Hyb_Code,0)),GD$72),GD$72)</f>
        <v>16</v>
      </c>
      <c r="GE139" s="15">
        <f t="array" aca="1" ref="GE139" ca="1">IFERROR(IF(AND(OFFSET($E$20,$FJ138,0)="H",OFFSET(Z$19,$FJ138,0)&lt;&gt;"",OFFSET($F84,$FJ138,0)&lt;&gt;"Hybrid - Thrust + 2 connections"),INDEX(Hyb_Tech,MATCH(OFFSET(Z$19,$FJ138,0),Hyb_Code,0)),GE$72),GE$72)</f>
        <v>17</v>
      </c>
      <c r="GF139" s="15">
        <f t="array" aca="1" ref="GF139" ca="1">IFERROR(IF(AND(OFFSET($E$20,$FJ138,0)="H",OFFSET(AA$19,$FJ138,0)&lt;&gt;"",OFFSET($F84,$FJ138,0)&lt;&gt;"Hybrid - Thrust + 2 connections"),INDEX(Hyb_Tech,MATCH(OFFSET(AA$19,$FJ138,0),Hyb_Code,0)),GF$72),GF$72)</f>
        <v>18</v>
      </c>
      <c r="GG139" s="15">
        <f t="array" aca="1" ref="GG139" ca="1">IFERROR(IF(AND(OFFSET($E$20,$FJ138,0)="H",OFFSET(AB$19,$FJ138,0)&lt;&gt;"",OFFSET($F84,$FJ138,0)&lt;&gt;"Hybrid - Thrust + 2 connections"),INDEX(Hyb_Tech,MATCH(OFFSET(AB$19,$FJ138,0),Hyb_Code,0)),GG$72),GG$72)</f>
        <v>19</v>
      </c>
      <c r="GH139" s="15">
        <f t="array" aca="1" ref="GH139" ca="1">IFERROR(IF(AND(OFFSET($E$20,$FJ138,0)="H",OFFSET(AC$19,$FJ138,0)&lt;&gt;"",OFFSET($F84,$FJ138,0)&lt;&gt;"Hybrid - Thrust + 2 connections"),INDEX(Hyb_Tech,MATCH(OFFSET(AC$19,$FJ138,0),Hyb_Code,0)),GH$72),GH$72)</f>
        <v>20</v>
      </c>
      <c r="GI139" s="15">
        <f t="array" aca="1" ref="GI139" ca="1">IFERROR(IF(AND(OFFSET($E$20,$FJ138,0)="H",OFFSET(AD$19,$FJ138,0)&lt;&gt;"",OFFSET($F84,$FJ138,0)&lt;&gt;"Hybrid - Thrust + 2 connections"),INDEX(Hyb_Tech,MATCH(OFFSET(AD$19,$FJ138,0),Hyb_Code,0)),GI$72),GI$72)</f>
        <v>21</v>
      </c>
      <c r="GJ139" s="15">
        <f t="array" aca="1" ref="GJ139" ca="1">IFERROR(IF(AND(OFFSET($E$20,$FJ138,0)="H",OFFSET(AE$19,$FJ138,0)&lt;&gt;"",OFFSET($F84,$FJ138,0)&lt;&gt;"Hybrid - Thrust + 2 connections"),INDEX(Hyb_Tech,MATCH(OFFSET(AE$19,$FJ138,0),Hyb_Code,0)),GJ$72),GJ$72)</f>
        <v>22</v>
      </c>
      <c r="GK139" s="15">
        <f t="array" aca="1" ref="GK139" ca="1">IFERROR(IF(AND(OFFSET($E$20,$FJ138,0)="H",OFFSET(AF$19,$FJ138,0)&lt;&gt;"",OFFSET($F84,$FJ138,0)&lt;&gt;"Hybrid - Thrust + 2 connections"),INDEX(Hyb_Tech,MATCH(OFFSET(AF$19,$FJ138,0),Hyb_Code,0)),GK$72),GK$72)</f>
        <v>23</v>
      </c>
      <c r="GL139" s="15">
        <f t="array" aca="1" ref="GL139" ca="1">IFERROR(IF(AND(OFFSET($E$20,$FJ138,0)="H",OFFSET(AG$19,$FJ138,0)&lt;&gt;"",OFFSET($F84,$FJ138,0)&lt;&gt;"Hybrid - Thrust + 2 connections"),INDEX(Hyb_Tech,MATCH(OFFSET(AG$19,$FJ138,0),Hyb_Code,0)),GL$72),GL$72)</f>
        <v>24</v>
      </c>
      <c r="GM139" s="15">
        <f t="array" aca="1" ref="GM139" ca="1">IFERROR(IF(AND(OFFSET($E$20,$FJ138,0)="H",OFFSET(AH$19,$FJ138,0)&lt;&gt;"",OFFSET($F84,$FJ138,0)&lt;&gt;"Hybrid - Thrust + 2 connections"),INDEX(Hyb_Tech,MATCH(OFFSET(AH$19,$FJ138,0),Hyb_Code,0)),GM$72),GM$72)</f>
        <v>25</v>
      </c>
      <c r="GN139" s="15">
        <f t="array" aca="1" ref="GN139" ca="1">IFERROR(IF(AND(OFFSET($E$20,$FJ138,0)="H",OFFSET(AI$19,$FJ138,0)&lt;&gt;"",OFFSET($F84,$FJ138,0)&lt;&gt;"Hybrid - Thrust + 2 connections"),INDEX(Hyb_Tech,MATCH(OFFSET(AI$19,$FJ138,0),Hyb_Code,0)),GN$72),GN$72)</f>
        <v>26</v>
      </c>
      <c r="GO139" s="15">
        <f t="array" aca="1" ref="GO139" ca="1">IFERROR(IF(AND(OFFSET($E$20,$FJ138,0)="H",OFFSET(AJ$19,$FJ138,0)&lt;&gt;"",OFFSET($F84,$FJ138,0)&lt;&gt;"Hybrid - Thrust + 2 connections"),INDEX(Hyb_Tech,MATCH(OFFSET(AJ$19,$FJ138,0),Hyb_Code,0)),GO$72),GO$72)</f>
        <v>27</v>
      </c>
      <c r="GP139" s="15">
        <f t="array" aca="1" ref="GP139" ca="1">IFERROR(IF(AND(OFFSET($E$20,$FJ138,0)="H",OFFSET(AK$19,$FJ138,0)&lt;&gt;"",OFFSET($F84,$FJ138,0)&lt;&gt;"Hybrid - Thrust + 2 connections"),INDEX(Hyb_Tech,MATCH(OFFSET(AK$19,$FJ138,0),Hyb_Code,0)),GP$72),GP$72)</f>
        <v>28</v>
      </c>
      <c r="GQ139" s="15">
        <f t="array" aca="1" ref="GQ139" ca="1">IFERROR(IF(AND(OFFSET($E$20,$FJ138,0)="H",OFFSET(AL$19,$FJ138,0)&lt;&gt;"",OFFSET($F84,$FJ138,0)&lt;&gt;"Hybrid - Thrust + 2 connections"),INDEX(Hyb_Tech,MATCH(OFFSET(AL$19,$FJ138,0),Hyb_Code,0)),GQ$72),GQ$72)</f>
        <v>29</v>
      </c>
      <c r="GR139" s="15">
        <f t="array" aca="1" ref="GR139" ca="1">IFERROR(IF(AND(OFFSET($E$20,$FJ138,0)="H",OFFSET(AM$19,$FJ138,0)&lt;&gt;"",OFFSET($F84,$FJ138,0)&lt;&gt;"Hybrid - Thrust + 2 connections"),INDEX(Hyb_Tech,MATCH(OFFSET(AM$19,$FJ138,0),Hyb_Code,0)),GR$72),GR$72)</f>
        <v>30</v>
      </c>
    </row>
    <row r="140" spans="166:200" ht="12.75" customHeight="1" x14ac:dyDescent="0.3">
      <c r="FJ140" s="5"/>
      <c r="FK140" s="5"/>
      <c r="FL140" s="5"/>
      <c r="FM140" s="5" t="str">
        <f ca="1">IFERROR(IF(SUM($FO140:$GR140)&gt;3,OFFSET($FO$73,$FJ138*5/2,MATCH(1,FO140:GR140,0)),""),"")</f>
        <v/>
      </c>
      <c r="FN140" s="15" t="str">
        <f ca="1">IFERROR(IF(LEFT(FM140,1)="C",IF(RIGHT(FM140,1)="+",LEFT(FM140,LEN(FM140)-1),CONCATENATE(FM140,"+")),IF(SUM($FO140:$GR140)&gt;3,OFFSET($FO$73,$FJ138*5/2,MATCH(0.5,FO140:GR140,0)),"")),"")</f>
        <v/>
      </c>
      <c r="FO140" s="15" t="str">
        <f t="array" aca="1" ref="FO140" ca="1">IF(COUNTIF($FO139:$GR139,FO139)&gt;3,INDEX(Hyb_Tech_Value,MATCH(FO138,Hyb_Code,0)),"")</f>
        <v/>
      </c>
      <c r="FP140" s="15" t="str">
        <f t="array" aca="1" ref="FP140" ca="1">IF(COUNTIF($FO139:$GR139,FP139)&gt;3,INDEX(Hyb_Tech_Value,MATCH(FP138,Hyb_Code,0)),"")</f>
        <v/>
      </c>
      <c r="FQ140" s="15" t="str">
        <f t="array" aca="1" ref="FQ140" ca="1">IF(COUNTIF($FO139:$GR139,FQ139)&gt;3,INDEX(Hyb_Tech_Value,MATCH(FQ138,Hyb_Code,0)),"")</f>
        <v/>
      </c>
      <c r="FR140" s="15" t="str">
        <f t="array" aca="1" ref="FR140" ca="1">IF(COUNTIF($FO139:$GR139,FR139)&gt;3,INDEX(Hyb_Tech_Value,MATCH(FR138,Hyb_Code,0)),"")</f>
        <v/>
      </c>
      <c r="FS140" s="15" t="str">
        <f t="array" aca="1" ref="FS140" ca="1">IF(COUNTIF($FO139:$GR139,FS139)&gt;3,INDEX(Hyb_Tech_Value,MATCH(FS138,Hyb_Code,0)),"")</f>
        <v/>
      </c>
      <c r="FT140" s="15" t="str">
        <f t="array" aca="1" ref="FT140" ca="1">IF(COUNTIF($FO139:$GR139,FT139)&gt;3,INDEX(Hyb_Tech_Value,MATCH(FT138,Hyb_Code,0)),"")</f>
        <v/>
      </c>
      <c r="FU140" s="15" t="str">
        <f t="array" aca="1" ref="FU140" ca="1">IF(COUNTIF($FO139:$GR139,FU139)&gt;3,INDEX(Hyb_Tech_Value,MATCH(FU138,Hyb_Code,0)),"")</f>
        <v/>
      </c>
      <c r="FV140" s="15" t="str">
        <f t="array" aca="1" ref="FV140" ca="1">IF(COUNTIF($FO139:$GR139,FV139)&gt;3,INDEX(Hyb_Tech_Value,MATCH(FV138,Hyb_Code,0)),"")</f>
        <v/>
      </c>
      <c r="FW140" s="15" t="str">
        <f t="array" aca="1" ref="FW140" ca="1">IF(COUNTIF($FO139:$GR139,FW139)&gt;3,INDEX(Hyb_Tech_Value,MATCH(FW138,Hyb_Code,0)),"")</f>
        <v/>
      </c>
      <c r="FX140" s="15" t="str">
        <f t="array" aca="1" ref="FX140" ca="1">IF(COUNTIF($FO139:$GR139,FX139)&gt;3,INDEX(Hyb_Tech_Value,MATCH(FX138,Hyb_Code,0)),"")</f>
        <v/>
      </c>
      <c r="FY140" s="15" t="str">
        <f t="array" aca="1" ref="FY140" ca="1">IF(COUNTIF($FO139:$GR139,FY139)&gt;3,INDEX(Hyb_Tech_Value,MATCH(FY138,Hyb_Code,0)),"")</f>
        <v/>
      </c>
      <c r="FZ140" s="15" t="str">
        <f t="array" aca="1" ref="FZ140" ca="1">IF(COUNTIF($FO139:$GR139,FZ139)&gt;3,INDEX(Hyb_Tech_Value,MATCH(FZ138,Hyb_Code,0)),"")</f>
        <v/>
      </c>
      <c r="GA140" s="15" t="str">
        <f t="array" aca="1" ref="GA140" ca="1">IF(COUNTIF($FO139:$GR139,GA139)&gt;3,INDEX(Hyb_Tech_Value,MATCH(GA138,Hyb_Code,0)),"")</f>
        <v/>
      </c>
      <c r="GB140" s="15" t="str">
        <f t="array" aca="1" ref="GB140" ca="1">IF(COUNTIF($FO139:$GR139,GB139)&gt;3,INDEX(Hyb_Tech_Value,MATCH(GB138,Hyb_Code,0)),"")</f>
        <v/>
      </c>
      <c r="GC140" s="15" t="str">
        <f t="array" aca="1" ref="GC140" ca="1">IF(COUNTIF($FO139:$GR139,GC139)&gt;3,INDEX(Hyb_Tech_Value,MATCH(GC138,Hyb_Code,0)),"")</f>
        <v/>
      </c>
      <c r="GD140" s="15" t="str">
        <f t="array" aca="1" ref="GD140" ca="1">IF(COUNTIF($FO139:$GR139,GD139)&gt;3,INDEX(Hyb_Tech_Value,MATCH(GD138,Hyb_Code,0)),"")</f>
        <v/>
      </c>
      <c r="GE140" s="15" t="str">
        <f t="array" aca="1" ref="GE140" ca="1">IF(COUNTIF($FO139:$GR139,GE139)&gt;3,INDEX(Hyb_Tech_Value,MATCH(GE138,Hyb_Code,0)),"")</f>
        <v/>
      </c>
      <c r="GF140" s="15" t="str">
        <f t="array" aca="1" ref="GF140" ca="1">IF(COUNTIF($FO139:$GR139,GF139)&gt;3,INDEX(Hyb_Tech_Value,MATCH(GF138,Hyb_Code,0)),"")</f>
        <v/>
      </c>
      <c r="GG140" s="15" t="str">
        <f t="array" aca="1" ref="GG140" ca="1">IF(COUNTIF($FO139:$GR139,GG139)&gt;3,INDEX(Hyb_Tech_Value,MATCH(GG138,Hyb_Code,0)),"")</f>
        <v/>
      </c>
      <c r="GH140" s="15" t="str">
        <f t="array" aca="1" ref="GH140" ca="1">IF(COUNTIF($FO139:$GR139,GH139)&gt;3,INDEX(Hyb_Tech_Value,MATCH(GH138,Hyb_Code,0)),"")</f>
        <v/>
      </c>
      <c r="GI140" s="15" t="str">
        <f t="array" aca="1" ref="GI140" ca="1">IF(COUNTIF($FO139:$GR139,GI139)&gt;3,INDEX(Hyb_Tech_Value,MATCH(GI138,Hyb_Code,0)),"")</f>
        <v/>
      </c>
      <c r="GJ140" s="15" t="str">
        <f t="array" aca="1" ref="GJ140" ca="1">IF(COUNTIF($FO139:$GR139,GJ139)&gt;3,INDEX(Hyb_Tech_Value,MATCH(GJ138,Hyb_Code,0)),"")</f>
        <v/>
      </c>
      <c r="GK140" s="15" t="str">
        <f t="array" aca="1" ref="GK140" ca="1">IF(COUNTIF($FO139:$GR139,GK139)&gt;3,INDEX(Hyb_Tech_Value,MATCH(GK138,Hyb_Code,0)),"")</f>
        <v/>
      </c>
      <c r="GL140" s="15" t="str">
        <f t="array" aca="1" ref="GL140" ca="1">IF(COUNTIF($FO139:$GR139,GL139)&gt;3,INDEX(Hyb_Tech_Value,MATCH(GL138,Hyb_Code,0)),"")</f>
        <v/>
      </c>
      <c r="GM140" s="15" t="str">
        <f t="array" aca="1" ref="GM140" ca="1">IF(COUNTIF($FO139:$GR139,GM139)&gt;3,INDEX(Hyb_Tech_Value,MATCH(GM138,Hyb_Code,0)),"")</f>
        <v/>
      </c>
      <c r="GN140" s="15" t="str">
        <f t="array" aca="1" ref="GN140" ca="1">IF(COUNTIF($FO139:$GR139,GN139)&gt;3,INDEX(Hyb_Tech_Value,MATCH(GN138,Hyb_Code,0)),"")</f>
        <v/>
      </c>
      <c r="GO140" s="15" t="str">
        <f t="array" aca="1" ref="GO140" ca="1">IF(COUNTIF($FO139:$GR139,GO139)&gt;3,INDEX(Hyb_Tech_Value,MATCH(GO138,Hyb_Code,0)),"")</f>
        <v/>
      </c>
      <c r="GP140" s="15" t="str">
        <f t="array" aca="1" ref="GP140" ca="1">IF(COUNTIF($FO139:$GR139,GP139)&gt;3,INDEX(Hyb_Tech_Value,MATCH(GP138,Hyb_Code,0)),"")</f>
        <v/>
      </c>
      <c r="GQ140" s="15" t="str">
        <f t="array" aca="1" ref="GQ140" ca="1">IF(COUNTIF($FO139:$GR139,GQ139)&gt;3,INDEX(Hyb_Tech_Value,MATCH(GQ138,Hyb_Code,0)),"")</f>
        <v/>
      </c>
      <c r="GR140" s="15" t="str">
        <f t="array" aca="1" ref="GR140" ca="1">IF(COUNTIF($FO139:$GR139,GR139)&gt;3,INDEX(Hyb_Tech_Value,MATCH(GR138,Hyb_Code,0)),"")</f>
        <v/>
      </c>
    </row>
    <row r="141" spans="166:200" ht="12.75" customHeight="1" x14ac:dyDescent="0.3">
      <c r="FJ141" s="5"/>
      <c r="FK141" s="5"/>
      <c r="FL141" s="5"/>
      <c r="FM141" s="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row>
    <row r="142" spans="166:200" ht="12.75" customHeight="1" x14ac:dyDescent="0.3">
      <c r="FJ142" s="5"/>
      <c r="FK142" s="5"/>
      <c r="FL142" s="5"/>
      <c r="FM142" s="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row>
    <row r="143" spans="166:200" ht="12.75" customHeight="1" x14ac:dyDescent="0.3">
      <c r="FJ143" s="5">
        <v>28</v>
      </c>
      <c r="FK143" s="5"/>
      <c r="FL143" s="5"/>
      <c r="FM143" s="15"/>
      <c r="FN143" s="15"/>
      <c r="FO143" s="15">
        <f t="shared" ref="FO143:GR143" ca="1" si="350">IFERROR(IF(AND(OFFSET($E$20,$FJ143,0)="H",OFFSET(J$19,$FJ143,0)&lt;&gt;""),UPPER(OFFSET(J$19,$FJ143,0)),FO$18),FO$18)</f>
        <v>1</v>
      </c>
      <c r="FP143" s="15">
        <f t="shared" ca="1" si="350"/>
        <v>2</v>
      </c>
      <c r="FQ143" s="15">
        <f t="shared" ca="1" si="350"/>
        <v>3</v>
      </c>
      <c r="FR143" s="15">
        <f t="shared" ca="1" si="350"/>
        <v>4</v>
      </c>
      <c r="FS143" s="15">
        <f t="shared" ca="1" si="350"/>
        <v>5</v>
      </c>
      <c r="FT143" s="15">
        <f t="shared" ca="1" si="350"/>
        <v>6</v>
      </c>
      <c r="FU143" s="15">
        <f t="shared" ca="1" si="350"/>
        <v>7</v>
      </c>
      <c r="FV143" s="15">
        <f t="shared" ca="1" si="350"/>
        <v>8</v>
      </c>
      <c r="FW143" s="15">
        <f t="shared" ca="1" si="350"/>
        <v>9</v>
      </c>
      <c r="FX143" s="15">
        <f t="shared" ca="1" si="350"/>
        <v>10</v>
      </c>
      <c r="FY143" s="15">
        <f t="shared" ca="1" si="350"/>
        <v>11</v>
      </c>
      <c r="FZ143" s="15">
        <f t="shared" ca="1" si="350"/>
        <v>12</v>
      </c>
      <c r="GA143" s="15">
        <f t="shared" ca="1" si="350"/>
        <v>13</v>
      </c>
      <c r="GB143" s="15">
        <f t="shared" ca="1" si="350"/>
        <v>14</v>
      </c>
      <c r="GC143" s="15">
        <f t="shared" ca="1" si="350"/>
        <v>15</v>
      </c>
      <c r="GD143" s="15">
        <f t="shared" ca="1" si="350"/>
        <v>16</v>
      </c>
      <c r="GE143" s="15">
        <f t="shared" ca="1" si="350"/>
        <v>17</v>
      </c>
      <c r="GF143" s="15">
        <f t="shared" ca="1" si="350"/>
        <v>18</v>
      </c>
      <c r="GG143" s="15">
        <f t="shared" ca="1" si="350"/>
        <v>19</v>
      </c>
      <c r="GH143" s="15">
        <f t="shared" ca="1" si="350"/>
        <v>20</v>
      </c>
      <c r="GI143" s="15">
        <f t="shared" ca="1" si="350"/>
        <v>21</v>
      </c>
      <c r="GJ143" s="15">
        <f t="shared" ca="1" si="350"/>
        <v>22</v>
      </c>
      <c r="GK143" s="15">
        <f t="shared" ca="1" si="350"/>
        <v>23</v>
      </c>
      <c r="GL143" s="15">
        <f t="shared" ca="1" si="350"/>
        <v>24</v>
      </c>
      <c r="GM143" s="15">
        <f t="shared" ca="1" si="350"/>
        <v>25</v>
      </c>
      <c r="GN143" s="15">
        <f t="shared" ca="1" si="350"/>
        <v>26</v>
      </c>
      <c r="GO143" s="15">
        <f t="shared" ca="1" si="350"/>
        <v>27</v>
      </c>
      <c r="GP143" s="15">
        <f t="shared" ca="1" si="350"/>
        <v>28</v>
      </c>
      <c r="GQ143" s="15">
        <f t="shared" ca="1" si="350"/>
        <v>29</v>
      </c>
      <c r="GR143" s="15">
        <f t="shared" ca="1" si="350"/>
        <v>30</v>
      </c>
    </row>
    <row r="144" spans="166:200" ht="12.75" customHeight="1" x14ac:dyDescent="0.3">
      <c r="FJ144" s="5"/>
      <c r="FK144" s="5"/>
      <c r="FL144" s="5"/>
      <c r="FM144" s="5"/>
      <c r="FN144" s="5"/>
      <c r="FO144" s="15">
        <f t="array" aca="1" ref="FO144" ca="1">IFERROR(IF(AND(OFFSET($E$20,$FJ143,0)="H",OFFSET(J$19,$FJ143,0)&lt;&gt;"",OFFSET($F89,$FJ143,0)&lt;&gt;"Hybrid - Thrust + 2 connections"),INDEX(Hyb_Tech,MATCH(OFFSET(J$19,$FJ143,0),Hyb_Code,0)),FO$72),FO$72)</f>
        <v>1</v>
      </c>
      <c r="FP144" s="15">
        <f t="array" aca="1" ref="FP144" ca="1">IFERROR(IF(AND(OFFSET($E$20,$FJ143,0)="H",OFFSET(K$19,$FJ143,0)&lt;&gt;"",OFFSET($F89,$FJ143,0)&lt;&gt;"Hybrid - Thrust + 2 connections"),INDEX(Hyb_Tech,MATCH(OFFSET(K$19,$FJ143,0),Hyb_Code,0)),FP$72),FP$72)</f>
        <v>2</v>
      </c>
      <c r="FQ144" s="15">
        <f t="array" aca="1" ref="FQ144" ca="1">IFERROR(IF(AND(OFFSET($E$20,$FJ143,0)="H",OFFSET(L$19,$FJ143,0)&lt;&gt;"",OFFSET($F89,$FJ143,0)&lt;&gt;"Hybrid - Thrust + 2 connections"),INDEX(Hyb_Tech,MATCH(OFFSET(L$19,$FJ143,0),Hyb_Code,0)),FQ$72),FQ$72)</f>
        <v>3</v>
      </c>
      <c r="FR144" s="15">
        <f t="array" aca="1" ref="FR144" ca="1">IFERROR(IF(AND(OFFSET($E$20,$FJ143,0)="H",OFFSET(M$19,$FJ143,0)&lt;&gt;"",OFFSET($F89,$FJ143,0)&lt;&gt;"Hybrid - Thrust + 2 connections"),INDEX(Hyb_Tech,MATCH(OFFSET(M$19,$FJ143,0),Hyb_Code,0)),FR$72),FR$72)</f>
        <v>4</v>
      </c>
      <c r="FS144" s="15">
        <f t="array" aca="1" ref="FS144" ca="1">IFERROR(IF(AND(OFFSET($E$20,$FJ143,0)="H",OFFSET(N$19,$FJ143,0)&lt;&gt;"",OFFSET($F89,$FJ143,0)&lt;&gt;"Hybrid - Thrust + 2 connections"),INDEX(Hyb_Tech,MATCH(OFFSET(N$19,$FJ143,0),Hyb_Code,0)),FS$72),FS$72)</f>
        <v>5</v>
      </c>
      <c r="FT144" s="15">
        <f t="array" aca="1" ref="FT144" ca="1">IFERROR(IF(AND(OFFSET($E$20,$FJ143,0)="H",OFFSET(O$19,$FJ143,0)&lt;&gt;"",OFFSET($F89,$FJ143,0)&lt;&gt;"Hybrid - Thrust + 2 connections"),INDEX(Hyb_Tech,MATCH(OFFSET(O$19,$FJ143,0),Hyb_Code,0)),FT$72),FT$72)</f>
        <v>6</v>
      </c>
      <c r="FU144" s="15">
        <f t="array" aca="1" ref="FU144" ca="1">IFERROR(IF(AND(OFFSET($E$20,$FJ143,0)="H",OFFSET(P$19,$FJ143,0)&lt;&gt;"",OFFSET($F89,$FJ143,0)&lt;&gt;"Hybrid - Thrust + 2 connections"),INDEX(Hyb_Tech,MATCH(OFFSET(P$19,$FJ143,0),Hyb_Code,0)),FU$72),FU$72)</f>
        <v>7</v>
      </c>
      <c r="FV144" s="15">
        <f t="array" aca="1" ref="FV144" ca="1">IFERROR(IF(AND(OFFSET($E$20,$FJ143,0)="H",OFFSET(Q$19,$FJ143,0)&lt;&gt;"",OFFSET($F89,$FJ143,0)&lt;&gt;"Hybrid - Thrust + 2 connections"),INDEX(Hyb_Tech,MATCH(OFFSET(Q$19,$FJ143,0),Hyb_Code,0)),FV$72),FV$72)</f>
        <v>8</v>
      </c>
      <c r="FW144" s="15">
        <f t="array" aca="1" ref="FW144" ca="1">IFERROR(IF(AND(OFFSET($E$20,$FJ143,0)="H",OFFSET(R$19,$FJ143,0)&lt;&gt;"",OFFSET($F89,$FJ143,0)&lt;&gt;"Hybrid - Thrust + 2 connections"),INDEX(Hyb_Tech,MATCH(OFFSET(R$19,$FJ143,0),Hyb_Code,0)),FW$72),FW$72)</f>
        <v>9</v>
      </c>
      <c r="FX144" s="15">
        <f t="array" aca="1" ref="FX144" ca="1">IFERROR(IF(AND(OFFSET($E$20,$FJ143,0)="H",OFFSET(S$19,$FJ143,0)&lt;&gt;"",OFFSET($F89,$FJ143,0)&lt;&gt;"Hybrid - Thrust + 2 connections"),INDEX(Hyb_Tech,MATCH(OFFSET(S$19,$FJ143,0),Hyb_Code,0)),FX$72),FX$72)</f>
        <v>10</v>
      </c>
      <c r="FY144" s="15">
        <f t="array" aca="1" ref="FY144" ca="1">IFERROR(IF(AND(OFFSET($E$20,$FJ143,0)="H",OFFSET(T$19,$FJ143,0)&lt;&gt;"",OFFSET($F89,$FJ143,0)&lt;&gt;"Hybrid - Thrust + 2 connections"),INDEX(Hyb_Tech,MATCH(OFFSET(T$19,$FJ143,0),Hyb_Code,0)),FY$72),FY$72)</f>
        <v>11</v>
      </c>
      <c r="FZ144" s="15">
        <f t="array" aca="1" ref="FZ144" ca="1">IFERROR(IF(AND(OFFSET($E$20,$FJ143,0)="H",OFFSET(U$19,$FJ143,0)&lt;&gt;"",OFFSET($F89,$FJ143,0)&lt;&gt;"Hybrid - Thrust + 2 connections"),INDEX(Hyb_Tech,MATCH(OFFSET(U$19,$FJ143,0),Hyb_Code,0)),FZ$72),FZ$72)</f>
        <v>12</v>
      </c>
      <c r="GA144" s="15">
        <f t="array" aca="1" ref="GA144" ca="1">IFERROR(IF(AND(OFFSET($E$20,$FJ143,0)="H",OFFSET(V$19,$FJ143,0)&lt;&gt;"",OFFSET($F89,$FJ143,0)&lt;&gt;"Hybrid - Thrust + 2 connections"),INDEX(Hyb_Tech,MATCH(OFFSET(V$19,$FJ143,0),Hyb_Code,0)),GA$72),GA$72)</f>
        <v>13</v>
      </c>
      <c r="GB144" s="15">
        <f t="array" aca="1" ref="GB144" ca="1">IFERROR(IF(AND(OFFSET($E$20,$FJ143,0)="H",OFFSET(W$19,$FJ143,0)&lt;&gt;"",OFFSET($F89,$FJ143,0)&lt;&gt;"Hybrid - Thrust + 2 connections"),INDEX(Hyb_Tech,MATCH(OFFSET(W$19,$FJ143,0),Hyb_Code,0)),GB$72),GB$72)</f>
        <v>14</v>
      </c>
      <c r="GC144" s="15">
        <f t="array" aca="1" ref="GC144" ca="1">IFERROR(IF(AND(OFFSET($E$20,$FJ143,0)="H",OFFSET(X$19,$FJ143,0)&lt;&gt;"",OFFSET($F89,$FJ143,0)&lt;&gt;"Hybrid - Thrust + 2 connections"),INDEX(Hyb_Tech,MATCH(OFFSET(X$19,$FJ143,0),Hyb_Code,0)),GC$72),GC$72)</f>
        <v>15</v>
      </c>
      <c r="GD144" s="15">
        <f t="array" aca="1" ref="GD144" ca="1">IFERROR(IF(AND(OFFSET($E$20,$FJ143,0)="H",OFFSET(Y$19,$FJ143,0)&lt;&gt;"",OFFSET($F89,$FJ143,0)&lt;&gt;"Hybrid - Thrust + 2 connections"),INDEX(Hyb_Tech,MATCH(OFFSET(Y$19,$FJ143,0),Hyb_Code,0)),GD$72),GD$72)</f>
        <v>16</v>
      </c>
      <c r="GE144" s="15">
        <f t="array" aca="1" ref="GE144" ca="1">IFERROR(IF(AND(OFFSET($E$20,$FJ143,0)="H",OFFSET(Z$19,$FJ143,0)&lt;&gt;"",OFFSET($F89,$FJ143,0)&lt;&gt;"Hybrid - Thrust + 2 connections"),INDEX(Hyb_Tech,MATCH(OFFSET(Z$19,$FJ143,0),Hyb_Code,0)),GE$72),GE$72)</f>
        <v>17</v>
      </c>
      <c r="GF144" s="15">
        <f t="array" aca="1" ref="GF144" ca="1">IFERROR(IF(AND(OFFSET($E$20,$FJ143,0)="H",OFFSET(AA$19,$FJ143,0)&lt;&gt;"",OFFSET($F89,$FJ143,0)&lt;&gt;"Hybrid - Thrust + 2 connections"),INDEX(Hyb_Tech,MATCH(OFFSET(AA$19,$FJ143,0),Hyb_Code,0)),GF$72),GF$72)</f>
        <v>18</v>
      </c>
      <c r="GG144" s="15">
        <f t="array" aca="1" ref="GG144" ca="1">IFERROR(IF(AND(OFFSET($E$20,$FJ143,0)="H",OFFSET(AB$19,$FJ143,0)&lt;&gt;"",OFFSET($F89,$FJ143,0)&lt;&gt;"Hybrid - Thrust + 2 connections"),INDEX(Hyb_Tech,MATCH(OFFSET(AB$19,$FJ143,0),Hyb_Code,0)),GG$72),GG$72)</f>
        <v>19</v>
      </c>
      <c r="GH144" s="15">
        <f t="array" aca="1" ref="GH144" ca="1">IFERROR(IF(AND(OFFSET($E$20,$FJ143,0)="H",OFFSET(AC$19,$FJ143,0)&lt;&gt;"",OFFSET($F89,$FJ143,0)&lt;&gt;"Hybrid - Thrust + 2 connections"),INDEX(Hyb_Tech,MATCH(OFFSET(AC$19,$FJ143,0),Hyb_Code,0)),GH$72),GH$72)</f>
        <v>20</v>
      </c>
      <c r="GI144" s="15">
        <f t="array" aca="1" ref="GI144" ca="1">IFERROR(IF(AND(OFFSET($E$20,$FJ143,0)="H",OFFSET(AD$19,$FJ143,0)&lt;&gt;"",OFFSET($F89,$FJ143,0)&lt;&gt;"Hybrid - Thrust + 2 connections"),INDEX(Hyb_Tech,MATCH(OFFSET(AD$19,$FJ143,0),Hyb_Code,0)),GI$72),GI$72)</f>
        <v>21</v>
      </c>
      <c r="GJ144" s="15">
        <f t="array" aca="1" ref="GJ144" ca="1">IFERROR(IF(AND(OFFSET($E$20,$FJ143,0)="H",OFFSET(AE$19,$FJ143,0)&lt;&gt;"",OFFSET($F89,$FJ143,0)&lt;&gt;"Hybrid - Thrust + 2 connections"),INDEX(Hyb_Tech,MATCH(OFFSET(AE$19,$FJ143,0),Hyb_Code,0)),GJ$72),GJ$72)</f>
        <v>22</v>
      </c>
      <c r="GK144" s="15">
        <f t="array" aca="1" ref="GK144" ca="1">IFERROR(IF(AND(OFFSET($E$20,$FJ143,0)="H",OFFSET(AF$19,$FJ143,0)&lt;&gt;"",OFFSET($F89,$FJ143,0)&lt;&gt;"Hybrid - Thrust + 2 connections"),INDEX(Hyb_Tech,MATCH(OFFSET(AF$19,$FJ143,0),Hyb_Code,0)),GK$72),GK$72)</f>
        <v>23</v>
      </c>
      <c r="GL144" s="15">
        <f t="array" aca="1" ref="GL144" ca="1">IFERROR(IF(AND(OFFSET($E$20,$FJ143,0)="H",OFFSET(AG$19,$FJ143,0)&lt;&gt;"",OFFSET($F89,$FJ143,0)&lt;&gt;"Hybrid - Thrust + 2 connections"),INDEX(Hyb_Tech,MATCH(OFFSET(AG$19,$FJ143,0),Hyb_Code,0)),GL$72),GL$72)</f>
        <v>24</v>
      </c>
      <c r="GM144" s="15">
        <f t="array" aca="1" ref="GM144" ca="1">IFERROR(IF(AND(OFFSET($E$20,$FJ143,0)="H",OFFSET(AH$19,$FJ143,0)&lt;&gt;"",OFFSET($F89,$FJ143,0)&lt;&gt;"Hybrid - Thrust + 2 connections"),INDEX(Hyb_Tech,MATCH(OFFSET(AH$19,$FJ143,0),Hyb_Code,0)),GM$72),GM$72)</f>
        <v>25</v>
      </c>
      <c r="GN144" s="15">
        <f t="array" aca="1" ref="GN144" ca="1">IFERROR(IF(AND(OFFSET($E$20,$FJ143,0)="H",OFFSET(AI$19,$FJ143,0)&lt;&gt;"",OFFSET($F89,$FJ143,0)&lt;&gt;"Hybrid - Thrust + 2 connections"),INDEX(Hyb_Tech,MATCH(OFFSET(AI$19,$FJ143,0),Hyb_Code,0)),GN$72),GN$72)</f>
        <v>26</v>
      </c>
      <c r="GO144" s="15">
        <f t="array" aca="1" ref="GO144" ca="1">IFERROR(IF(AND(OFFSET($E$20,$FJ143,0)="H",OFFSET(AJ$19,$FJ143,0)&lt;&gt;"",OFFSET($F89,$FJ143,0)&lt;&gt;"Hybrid - Thrust + 2 connections"),INDEX(Hyb_Tech,MATCH(OFFSET(AJ$19,$FJ143,0),Hyb_Code,0)),GO$72),GO$72)</f>
        <v>27</v>
      </c>
      <c r="GP144" s="15">
        <f t="array" aca="1" ref="GP144" ca="1">IFERROR(IF(AND(OFFSET($E$20,$FJ143,0)="H",OFFSET(AK$19,$FJ143,0)&lt;&gt;"",OFFSET($F89,$FJ143,0)&lt;&gt;"Hybrid - Thrust + 2 connections"),INDEX(Hyb_Tech,MATCH(OFFSET(AK$19,$FJ143,0),Hyb_Code,0)),GP$72),GP$72)</f>
        <v>28</v>
      </c>
      <c r="GQ144" s="15">
        <f t="array" aca="1" ref="GQ144" ca="1">IFERROR(IF(AND(OFFSET($E$20,$FJ143,0)="H",OFFSET(AL$19,$FJ143,0)&lt;&gt;"",OFFSET($F89,$FJ143,0)&lt;&gt;"Hybrid - Thrust + 2 connections"),INDEX(Hyb_Tech,MATCH(OFFSET(AL$19,$FJ143,0),Hyb_Code,0)),GQ$72),GQ$72)</f>
        <v>29</v>
      </c>
      <c r="GR144" s="15">
        <f t="array" aca="1" ref="GR144" ca="1">IFERROR(IF(AND(OFFSET($E$20,$FJ143,0)="H",OFFSET(AM$19,$FJ143,0)&lt;&gt;"",OFFSET($F89,$FJ143,0)&lt;&gt;"Hybrid - Thrust + 2 connections"),INDEX(Hyb_Tech,MATCH(OFFSET(AM$19,$FJ143,0),Hyb_Code,0)),GR$72),GR$72)</f>
        <v>30</v>
      </c>
    </row>
    <row r="145" spans="166:200" ht="12.75" customHeight="1" x14ac:dyDescent="0.3">
      <c r="FJ145" s="5"/>
      <c r="FK145" s="5"/>
      <c r="FL145" s="5"/>
      <c r="FM145" s="5" t="str">
        <f ca="1">IFERROR(IF(SUM($FO145:$GR145)&gt;3,OFFSET($FO$73,$FJ143*5/2,MATCH(1,FO145:GR145,0)),""),"")</f>
        <v/>
      </c>
      <c r="FN145" s="15" t="str">
        <f ca="1">IFERROR(IF(LEFT(FM145,1)="C",IF(RIGHT(FM145,1)="+",LEFT(FM145,LEN(FM145)-1),CONCATENATE(FM145,"+")),IF(SUM($FO145:$GR145)&gt;3,OFFSET($FO$73,$FJ143*5/2,MATCH(0.5,FO145:GR145,0)),"")),"")</f>
        <v/>
      </c>
      <c r="FO145" s="15" t="str">
        <f t="array" aca="1" ref="FO145" ca="1">IF(COUNTIF($FO144:$GR144,FO144)&gt;3,INDEX(Hyb_Tech_Value,MATCH(FO143,Hyb_Code,0)),"")</f>
        <v/>
      </c>
      <c r="FP145" s="15" t="str">
        <f t="array" aca="1" ref="FP145" ca="1">IF(COUNTIF($FO144:$GR144,FP144)&gt;3,INDEX(Hyb_Tech_Value,MATCH(FP143,Hyb_Code,0)),"")</f>
        <v/>
      </c>
      <c r="FQ145" s="15" t="str">
        <f t="array" aca="1" ref="FQ145" ca="1">IF(COUNTIF($FO144:$GR144,FQ144)&gt;3,INDEX(Hyb_Tech_Value,MATCH(FQ143,Hyb_Code,0)),"")</f>
        <v/>
      </c>
      <c r="FR145" s="15" t="str">
        <f t="array" aca="1" ref="FR145" ca="1">IF(COUNTIF($FO144:$GR144,FR144)&gt;3,INDEX(Hyb_Tech_Value,MATCH(FR143,Hyb_Code,0)),"")</f>
        <v/>
      </c>
      <c r="FS145" s="15" t="str">
        <f t="array" aca="1" ref="FS145" ca="1">IF(COUNTIF($FO144:$GR144,FS144)&gt;3,INDEX(Hyb_Tech_Value,MATCH(FS143,Hyb_Code,0)),"")</f>
        <v/>
      </c>
      <c r="FT145" s="15" t="str">
        <f t="array" aca="1" ref="FT145" ca="1">IF(COUNTIF($FO144:$GR144,FT144)&gt;3,INDEX(Hyb_Tech_Value,MATCH(FT143,Hyb_Code,0)),"")</f>
        <v/>
      </c>
      <c r="FU145" s="15" t="str">
        <f t="array" aca="1" ref="FU145" ca="1">IF(COUNTIF($FO144:$GR144,FU144)&gt;3,INDEX(Hyb_Tech_Value,MATCH(FU143,Hyb_Code,0)),"")</f>
        <v/>
      </c>
      <c r="FV145" s="15" t="str">
        <f t="array" aca="1" ref="FV145" ca="1">IF(COUNTIF($FO144:$GR144,FV144)&gt;3,INDEX(Hyb_Tech_Value,MATCH(FV143,Hyb_Code,0)),"")</f>
        <v/>
      </c>
      <c r="FW145" s="15" t="str">
        <f t="array" aca="1" ref="FW145" ca="1">IF(COUNTIF($FO144:$GR144,FW144)&gt;3,INDEX(Hyb_Tech_Value,MATCH(FW143,Hyb_Code,0)),"")</f>
        <v/>
      </c>
      <c r="FX145" s="15" t="str">
        <f t="array" aca="1" ref="FX145" ca="1">IF(COUNTIF($FO144:$GR144,FX144)&gt;3,INDEX(Hyb_Tech_Value,MATCH(FX143,Hyb_Code,0)),"")</f>
        <v/>
      </c>
      <c r="FY145" s="15" t="str">
        <f t="array" aca="1" ref="FY145" ca="1">IF(COUNTIF($FO144:$GR144,FY144)&gt;3,INDEX(Hyb_Tech_Value,MATCH(FY143,Hyb_Code,0)),"")</f>
        <v/>
      </c>
      <c r="FZ145" s="15" t="str">
        <f t="array" aca="1" ref="FZ145" ca="1">IF(COUNTIF($FO144:$GR144,FZ144)&gt;3,INDEX(Hyb_Tech_Value,MATCH(FZ143,Hyb_Code,0)),"")</f>
        <v/>
      </c>
      <c r="GA145" s="15" t="str">
        <f t="array" aca="1" ref="GA145" ca="1">IF(COUNTIF($FO144:$GR144,GA144)&gt;3,INDEX(Hyb_Tech_Value,MATCH(GA143,Hyb_Code,0)),"")</f>
        <v/>
      </c>
      <c r="GB145" s="15" t="str">
        <f t="array" aca="1" ref="GB145" ca="1">IF(COUNTIF($FO144:$GR144,GB144)&gt;3,INDEX(Hyb_Tech_Value,MATCH(GB143,Hyb_Code,0)),"")</f>
        <v/>
      </c>
      <c r="GC145" s="15" t="str">
        <f t="array" aca="1" ref="GC145" ca="1">IF(COUNTIF($FO144:$GR144,GC144)&gt;3,INDEX(Hyb_Tech_Value,MATCH(GC143,Hyb_Code,0)),"")</f>
        <v/>
      </c>
      <c r="GD145" s="15" t="str">
        <f t="array" aca="1" ref="GD145" ca="1">IF(COUNTIF($FO144:$GR144,GD144)&gt;3,INDEX(Hyb_Tech_Value,MATCH(GD143,Hyb_Code,0)),"")</f>
        <v/>
      </c>
      <c r="GE145" s="15" t="str">
        <f t="array" aca="1" ref="GE145" ca="1">IF(COUNTIF($FO144:$GR144,GE144)&gt;3,INDEX(Hyb_Tech_Value,MATCH(GE143,Hyb_Code,0)),"")</f>
        <v/>
      </c>
      <c r="GF145" s="15" t="str">
        <f t="array" aca="1" ref="GF145" ca="1">IF(COUNTIF($FO144:$GR144,GF144)&gt;3,INDEX(Hyb_Tech_Value,MATCH(GF143,Hyb_Code,0)),"")</f>
        <v/>
      </c>
      <c r="GG145" s="15" t="str">
        <f t="array" aca="1" ref="GG145" ca="1">IF(COUNTIF($FO144:$GR144,GG144)&gt;3,INDEX(Hyb_Tech_Value,MATCH(GG143,Hyb_Code,0)),"")</f>
        <v/>
      </c>
      <c r="GH145" s="15" t="str">
        <f t="array" aca="1" ref="GH145" ca="1">IF(COUNTIF($FO144:$GR144,GH144)&gt;3,INDEX(Hyb_Tech_Value,MATCH(GH143,Hyb_Code,0)),"")</f>
        <v/>
      </c>
      <c r="GI145" s="15" t="str">
        <f t="array" aca="1" ref="GI145" ca="1">IF(COUNTIF($FO144:$GR144,GI144)&gt;3,INDEX(Hyb_Tech_Value,MATCH(GI143,Hyb_Code,0)),"")</f>
        <v/>
      </c>
      <c r="GJ145" s="15" t="str">
        <f t="array" aca="1" ref="GJ145" ca="1">IF(COUNTIF($FO144:$GR144,GJ144)&gt;3,INDEX(Hyb_Tech_Value,MATCH(GJ143,Hyb_Code,0)),"")</f>
        <v/>
      </c>
      <c r="GK145" s="15" t="str">
        <f t="array" aca="1" ref="GK145" ca="1">IF(COUNTIF($FO144:$GR144,GK144)&gt;3,INDEX(Hyb_Tech_Value,MATCH(GK143,Hyb_Code,0)),"")</f>
        <v/>
      </c>
      <c r="GL145" s="15" t="str">
        <f t="array" aca="1" ref="GL145" ca="1">IF(COUNTIF($FO144:$GR144,GL144)&gt;3,INDEX(Hyb_Tech_Value,MATCH(GL143,Hyb_Code,0)),"")</f>
        <v/>
      </c>
      <c r="GM145" s="15" t="str">
        <f t="array" aca="1" ref="GM145" ca="1">IF(COUNTIF($FO144:$GR144,GM144)&gt;3,INDEX(Hyb_Tech_Value,MATCH(GM143,Hyb_Code,0)),"")</f>
        <v/>
      </c>
      <c r="GN145" s="15" t="str">
        <f t="array" aca="1" ref="GN145" ca="1">IF(COUNTIF($FO144:$GR144,GN144)&gt;3,INDEX(Hyb_Tech_Value,MATCH(GN143,Hyb_Code,0)),"")</f>
        <v/>
      </c>
      <c r="GO145" s="15" t="str">
        <f t="array" aca="1" ref="GO145" ca="1">IF(COUNTIF($FO144:$GR144,GO144)&gt;3,INDEX(Hyb_Tech_Value,MATCH(GO143,Hyb_Code,0)),"")</f>
        <v/>
      </c>
      <c r="GP145" s="15" t="str">
        <f t="array" aca="1" ref="GP145" ca="1">IF(COUNTIF($FO144:$GR144,GP144)&gt;3,INDEX(Hyb_Tech_Value,MATCH(GP143,Hyb_Code,0)),"")</f>
        <v/>
      </c>
      <c r="GQ145" s="15" t="str">
        <f t="array" aca="1" ref="GQ145" ca="1">IF(COUNTIF($FO144:$GR144,GQ144)&gt;3,INDEX(Hyb_Tech_Value,MATCH(GQ143,Hyb_Code,0)),"")</f>
        <v/>
      </c>
      <c r="GR145" s="15" t="str">
        <f t="array" aca="1" ref="GR145" ca="1">IF(COUNTIF($FO144:$GR144,GR144)&gt;3,INDEX(Hyb_Tech_Value,MATCH(GR143,Hyb_Code,0)),"")</f>
        <v/>
      </c>
    </row>
    <row r="146" spans="166:200" ht="12.75" customHeight="1" x14ac:dyDescent="0.3">
      <c r="FJ146" s="5"/>
      <c r="FK146" s="5"/>
      <c r="FL146" s="5"/>
      <c r="FM146" s="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row>
    <row r="147" spans="166:200" ht="12.75" customHeight="1" x14ac:dyDescent="0.3">
      <c r="FJ147" s="5"/>
      <c r="FK147" s="5"/>
      <c r="FL147" s="5"/>
      <c r="FM147" s="5"/>
      <c r="FN147" s="15"/>
      <c r="FO147" s="15"/>
      <c r="FP147" s="15"/>
      <c r="FQ147" s="15"/>
      <c r="FR147" s="15"/>
      <c r="FS147" s="15"/>
      <c r="FT147" s="15"/>
      <c r="FU147" s="15"/>
      <c r="FV147" s="15"/>
      <c r="FW147" s="15"/>
      <c r="FX147" s="15"/>
      <c r="FY147" s="15"/>
      <c r="FZ147" s="15"/>
      <c r="GA147" s="15"/>
      <c r="GB147" s="15"/>
      <c r="GC147" s="15"/>
      <c r="GD147" s="15"/>
      <c r="GE147" s="15"/>
      <c r="GF147" s="15"/>
      <c r="GG147" s="15"/>
      <c r="GH147" s="15"/>
      <c r="GI147" s="15"/>
      <c r="GJ147" s="15"/>
      <c r="GK147" s="15"/>
      <c r="GL147" s="15"/>
      <c r="GM147" s="15"/>
      <c r="GN147" s="15"/>
      <c r="GO147" s="15"/>
      <c r="GP147" s="15"/>
      <c r="GQ147" s="15"/>
      <c r="GR147" s="15"/>
    </row>
    <row r="148" spans="166:200" ht="12.75" customHeight="1" x14ac:dyDescent="0.3">
      <c r="FJ148" s="5">
        <v>30</v>
      </c>
      <c r="FK148" s="5"/>
      <c r="FL148" s="5"/>
      <c r="FM148" s="15"/>
      <c r="FN148" s="15"/>
      <c r="FO148" s="15">
        <f t="shared" ref="FO148:GR148" ca="1" si="351">IFERROR(IF(AND(OFFSET($E$20,$FJ148,0)="H",OFFSET(J$19,$FJ148,0)&lt;&gt;""),UPPER(OFFSET(J$19,$FJ148,0)),FO$18),FO$18)</f>
        <v>1</v>
      </c>
      <c r="FP148" s="15">
        <f t="shared" ca="1" si="351"/>
        <v>2</v>
      </c>
      <c r="FQ148" s="15">
        <f t="shared" ca="1" si="351"/>
        <v>3</v>
      </c>
      <c r="FR148" s="15">
        <f t="shared" ca="1" si="351"/>
        <v>4</v>
      </c>
      <c r="FS148" s="15">
        <f t="shared" ca="1" si="351"/>
        <v>5</v>
      </c>
      <c r="FT148" s="15">
        <f t="shared" ca="1" si="351"/>
        <v>6</v>
      </c>
      <c r="FU148" s="15">
        <f t="shared" ca="1" si="351"/>
        <v>7</v>
      </c>
      <c r="FV148" s="15">
        <f t="shared" ca="1" si="351"/>
        <v>8</v>
      </c>
      <c r="FW148" s="15">
        <f t="shared" ca="1" si="351"/>
        <v>9</v>
      </c>
      <c r="FX148" s="15">
        <f t="shared" ca="1" si="351"/>
        <v>10</v>
      </c>
      <c r="FY148" s="15">
        <f t="shared" ca="1" si="351"/>
        <v>11</v>
      </c>
      <c r="FZ148" s="15">
        <f t="shared" ca="1" si="351"/>
        <v>12</v>
      </c>
      <c r="GA148" s="15">
        <f t="shared" ca="1" si="351"/>
        <v>13</v>
      </c>
      <c r="GB148" s="15">
        <f t="shared" ca="1" si="351"/>
        <v>14</v>
      </c>
      <c r="GC148" s="15">
        <f t="shared" ca="1" si="351"/>
        <v>15</v>
      </c>
      <c r="GD148" s="15">
        <f t="shared" ca="1" si="351"/>
        <v>16</v>
      </c>
      <c r="GE148" s="15">
        <f t="shared" ca="1" si="351"/>
        <v>17</v>
      </c>
      <c r="GF148" s="15">
        <f t="shared" ca="1" si="351"/>
        <v>18</v>
      </c>
      <c r="GG148" s="15">
        <f t="shared" ca="1" si="351"/>
        <v>19</v>
      </c>
      <c r="GH148" s="15">
        <f t="shared" ca="1" si="351"/>
        <v>20</v>
      </c>
      <c r="GI148" s="15">
        <f t="shared" ca="1" si="351"/>
        <v>21</v>
      </c>
      <c r="GJ148" s="15">
        <f t="shared" ca="1" si="351"/>
        <v>22</v>
      </c>
      <c r="GK148" s="15">
        <f t="shared" ca="1" si="351"/>
        <v>23</v>
      </c>
      <c r="GL148" s="15">
        <f t="shared" ca="1" si="351"/>
        <v>24</v>
      </c>
      <c r="GM148" s="15">
        <f t="shared" ca="1" si="351"/>
        <v>25</v>
      </c>
      <c r="GN148" s="15">
        <f t="shared" ca="1" si="351"/>
        <v>26</v>
      </c>
      <c r="GO148" s="15">
        <f t="shared" ca="1" si="351"/>
        <v>27</v>
      </c>
      <c r="GP148" s="15">
        <f t="shared" ca="1" si="351"/>
        <v>28</v>
      </c>
      <c r="GQ148" s="15">
        <f t="shared" ca="1" si="351"/>
        <v>29</v>
      </c>
      <c r="GR148" s="15">
        <f t="shared" ca="1" si="351"/>
        <v>30</v>
      </c>
    </row>
    <row r="149" spans="166:200" ht="12.75" customHeight="1" x14ac:dyDescent="0.3">
      <c r="FJ149" s="5"/>
      <c r="FK149" s="5"/>
      <c r="FL149" s="5"/>
      <c r="FM149" s="5"/>
      <c r="FN149" s="5"/>
      <c r="FO149" s="15">
        <f t="array" aca="1" ref="FO149" ca="1">IFERROR(IF(AND(OFFSET($E$20,$FJ148,0)="H",OFFSET(J$19,$FJ148,0)&lt;&gt;"",OFFSET($F94,$FJ148,0)&lt;&gt;"Hybrid - Thrust + 2 connections"),INDEX(Hyb_Tech,MATCH(OFFSET(J$19,$FJ148,0),Hyb_Code,0)),FO$72),FO$72)</f>
        <v>1</v>
      </c>
      <c r="FP149" s="15">
        <f t="array" aca="1" ref="FP149" ca="1">IFERROR(IF(AND(OFFSET($E$20,$FJ148,0)="H",OFFSET(K$19,$FJ148,0)&lt;&gt;"",OFFSET($F94,$FJ148,0)&lt;&gt;"Hybrid - Thrust + 2 connections"),INDEX(Hyb_Tech,MATCH(OFFSET(K$19,$FJ148,0),Hyb_Code,0)),FP$72),FP$72)</f>
        <v>2</v>
      </c>
      <c r="FQ149" s="15">
        <f t="array" aca="1" ref="FQ149" ca="1">IFERROR(IF(AND(OFFSET($E$20,$FJ148,0)="H",OFFSET(L$19,$FJ148,0)&lt;&gt;"",OFFSET($F94,$FJ148,0)&lt;&gt;"Hybrid - Thrust + 2 connections"),INDEX(Hyb_Tech,MATCH(OFFSET(L$19,$FJ148,0),Hyb_Code,0)),FQ$72),FQ$72)</f>
        <v>3</v>
      </c>
      <c r="FR149" s="15">
        <f t="array" aca="1" ref="FR149" ca="1">IFERROR(IF(AND(OFFSET($E$20,$FJ148,0)="H",OFFSET(M$19,$FJ148,0)&lt;&gt;"",OFFSET($F94,$FJ148,0)&lt;&gt;"Hybrid - Thrust + 2 connections"),INDEX(Hyb_Tech,MATCH(OFFSET(M$19,$FJ148,0),Hyb_Code,0)),FR$72),FR$72)</f>
        <v>4</v>
      </c>
      <c r="FS149" s="15">
        <f t="array" aca="1" ref="FS149" ca="1">IFERROR(IF(AND(OFFSET($E$20,$FJ148,0)="H",OFFSET(N$19,$FJ148,0)&lt;&gt;"",OFFSET($F94,$FJ148,0)&lt;&gt;"Hybrid - Thrust + 2 connections"),INDEX(Hyb_Tech,MATCH(OFFSET(N$19,$FJ148,0),Hyb_Code,0)),FS$72),FS$72)</f>
        <v>5</v>
      </c>
      <c r="FT149" s="15">
        <f t="array" aca="1" ref="FT149" ca="1">IFERROR(IF(AND(OFFSET($E$20,$FJ148,0)="H",OFFSET(O$19,$FJ148,0)&lt;&gt;"",OFFSET($F94,$FJ148,0)&lt;&gt;"Hybrid - Thrust + 2 connections"),INDEX(Hyb_Tech,MATCH(OFFSET(O$19,$FJ148,0),Hyb_Code,0)),FT$72),FT$72)</f>
        <v>6</v>
      </c>
      <c r="FU149" s="15">
        <f t="array" aca="1" ref="FU149" ca="1">IFERROR(IF(AND(OFFSET($E$20,$FJ148,0)="H",OFFSET(P$19,$FJ148,0)&lt;&gt;"",OFFSET($F94,$FJ148,0)&lt;&gt;"Hybrid - Thrust + 2 connections"),INDEX(Hyb_Tech,MATCH(OFFSET(P$19,$FJ148,0),Hyb_Code,0)),FU$72),FU$72)</f>
        <v>7</v>
      </c>
      <c r="FV149" s="15">
        <f t="array" aca="1" ref="FV149" ca="1">IFERROR(IF(AND(OFFSET($E$20,$FJ148,0)="H",OFFSET(Q$19,$FJ148,0)&lt;&gt;"",OFFSET($F94,$FJ148,0)&lt;&gt;"Hybrid - Thrust + 2 connections"),INDEX(Hyb_Tech,MATCH(OFFSET(Q$19,$FJ148,0),Hyb_Code,0)),FV$72),FV$72)</f>
        <v>8</v>
      </c>
      <c r="FW149" s="15">
        <f t="array" aca="1" ref="FW149" ca="1">IFERROR(IF(AND(OFFSET($E$20,$FJ148,0)="H",OFFSET(R$19,$FJ148,0)&lt;&gt;"",OFFSET($F94,$FJ148,0)&lt;&gt;"Hybrid - Thrust + 2 connections"),INDEX(Hyb_Tech,MATCH(OFFSET(R$19,$FJ148,0),Hyb_Code,0)),FW$72),FW$72)</f>
        <v>9</v>
      </c>
      <c r="FX149" s="15">
        <f t="array" aca="1" ref="FX149" ca="1">IFERROR(IF(AND(OFFSET($E$20,$FJ148,0)="H",OFFSET(S$19,$FJ148,0)&lt;&gt;"",OFFSET($F94,$FJ148,0)&lt;&gt;"Hybrid - Thrust + 2 connections"),INDEX(Hyb_Tech,MATCH(OFFSET(S$19,$FJ148,0),Hyb_Code,0)),FX$72),FX$72)</f>
        <v>10</v>
      </c>
      <c r="FY149" s="15">
        <f t="array" aca="1" ref="FY149" ca="1">IFERROR(IF(AND(OFFSET($E$20,$FJ148,0)="H",OFFSET(T$19,$FJ148,0)&lt;&gt;"",OFFSET($F94,$FJ148,0)&lt;&gt;"Hybrid - Thrust + 2 connections"),INDEX(Hyb_Tech,MATCH(OFFSET(T$19,$FJ148,0),Hyb_Code,0)),FY$72),FY$72)</f>
        <v>11</v>
      </c>
      <c r="FZ149" s="15">
        <f t="array" aca="1" ref="FZ149" ca="1">IFERROR(IF(AND(OFFSET($E$20,$FJ148,0)="H",OFFSET(U$19,$FJ148,0)&lt;&gt;"",OFFSET($F94,$FJ148,0)&lt;&gt;"Hybrid - Thrust + 2 connections"),INDEX(Hyb_Tech,MATCH(OFFSET(U$19,$FJ148,0),Hyb_Code,0)),FZ$72),FZ$72)</f>
        <v>12</v>
      </c>
      <c r="GA149" s="15">
        <f t="array" aca="1" ref="GA149" ca="1">IFERROR(IF(AND(OFFSET($E$20,$FJ148,0)="H",OFFSET(V$19,$FJ148,0)&lt;&gt;"",OFFSET($F94,$FJ148,0)&lt;&gt;"Hybrid - Thrust + 2 connections"),INDEX(Hyb_Tech,MATCH(OFFSET(V$19,$FJ148,0),Hyb_Code,0)),GA$72),GA$72)</f>
        <v>13</v>
      </c>
      <c r="GB149" s="15">
        <f t="array" aca="1" ref="GB149" ca="1">IFERROR(IF(AND(OFFSET($E$20,$FJ148,0)="H",OFFSET(W$19,$FJ148,0)&lt;&gt;"",OFFSET($F94,$FJ148,0)&lt;&gt;"Hybrid - Thrust + 2 connections"),INDEX(Hyb_Tech,MATCH(OFFSET(W$19,$FJ148,0),Hyb_Code,0)),GB$72),GB$72)</f>
        <v>14</v>
      </c>
      <c r="GC149" s="15">
        <f t="array" aca="1" ref="GC149" ca="1">IFERROR(IF(AND(OFFSET($E$20,$FJ148,0)="H",OFFSET(X$19,$FJ148,0)&lt;&gt;"",OFFSET($F94,$FJ148,0)&lt;&gt;"Hybrid - Thrust + 2 connections"),INDEX(Hyb_Tech,MATCH(OFFSET(X$19,$FJ148,0),Hyb_Code,0)),GC$72),GC$72)</f>
        <v>15</v>
      </c>
      <c r="GD149" s="15">
        <f t="array" aca="1" ref="GD149" ca="1">IFERROR(IF(AND(OFFSET($E$20,$FJ148,0)="H",OFFSET(Y$19,$FJ148,0)&lt;&gt;"",OFFSET($F94,$FJ148,0)&lt;&gt;"Hybrid - Thrust + 2 connections"),INDEX(Hyb_Tech,MATCH(OFFSET(Y$19,$FJ148,0),Hyb_Code,0)),GD$72),GD$72)</f>
        <v>16</v>
      </c>
      <c r="GE149" s="15">
        <f t="array" aca="1" ref="GE149" ca="1">IFERROR(IF(AND(OFFSET($E$20,$FJ148,0)="H",OFFSET(Z$19,$FJ148,0)&lt;&gt;"",OFFSET($F94,$FJ148,0)&lt;&gt;"Hybrid - Thrust + 2 connections"),INDEX(Hyb_Tech,MATCH(OFFSET(Z$19,$FJ148,0),Hyb_Code,0)),GE$72),GE$72)</f>
        <v>17</v>
      </c>
      <c r="GF149" s="15">
        <f t="array" aca="1" ref="GF149" ca="1">IFERROR(IF(AND(OFFSET($E$20,$FJ148,0)="H",OFFSET(AA$19,$FJ148,0)&lt;&gt;"",OFFSET($F94,$FJ148,0)&lt;&gt;"Hybrid - Thrust + 2 connections"),INDEX(Hyb_Tech,MATCH(OFFSET(AA$19,$FJ148,0),Hyb_Code,0)),GF$72),GF$72)</f>
        <v>18</v>
      </c>
      <c r="GG149" s="15">
        <f t="array" aca="1" ref="GG149" ca="1">IFERROR(IF(AND(OFFSET($E$20,$FJ148,0)="H",OFFSET(AB$19,$FJ148,0)&lt;&gt;"",OFFSET($F94,$FJ148,0)&lt;&gt;"Hybrid - Thrust + 2 connections"),INDEX(Hyb_Tech,MATCH(OFFSET(AB$19,$FJ148,0),Hyb_Code,0)),GG$72),GG$72)</f>
        <v>19</v>
      </c>
      <c r="GH149" s="15">
        <f t="array" aca="1" ref="GH149" ca="1">IFERROR(IF(AND(OFFSET($E$20,$FJ148,0)="H",OFFSET(AC$19,$FJ148,0)&lt;&gt;"",OFFSET($F94,$FJ148,0)&lt;&gt;"Hybrid - Thrust + 2 connections"),INDEX(Hyb_Tech,MATCH(OFFSET(AC$19,$FJ148,0),Hyb_Code,0)),GH$72),GH$72)</f>
        <v>20</v>
      </c>
      <c r="GI149" s="15">
        <f t="array" aca="1" ref="GI149" ca="1">IFERROR(IF(AND(OFFSET($E$20,$FJ148,0)="H",OFFSET(AD$19,$FJ148,0)&lt;&gt;"",OFFSET($F94,$FJ148,0)&lt;&gt;"Hybrid - Thrust + 2 connections"),INDEX(Hyb_Tech,MATCH(OFFSET(AD$19,$FJ148,0),Hyb_Code,0)),GI$72),GI$72)</f>
        <v>21</v>
      </c>
      <c r="GJ149" s="15">
        <f t="array" aca="1" ref="GJ149" ca="1">IFERROR(IF(AND(OFFSET($E$20,$FJ148,0)="H",OFFSET(AE$19,$FJ148,0)&lt;&gt;"",OFFSET($F94,$FJ148,0)&lt;&gt;"Hybrid - Thrust + 2 connections"),INDEX(Hyb_Tech,MATCH(OFFSET(AE$19,$FJ148,0),Hyb_Code,0)),GJ$72),GJ$72)</f>
        <v>22</v>
      </c>
      <c r="GK149" s="15">
        <f t="array" aca="1" ref="GK149" ca="1">IFERROR(IF(AND(OFFSET($E$20,$FJ148,0)="H",OFFSET(AF$19,$FJ148,0)&lt;&gt;"",OFFSET($F94,$FJ148,0)&lt;&gt;"Hybrid - Thrust + 2 connections"),INDEX(Hyb_Tech,MATCH(OFFSET(AF$19,$FJ148,0),Hyb_Code,0)),GK$72),GK$72)</f>
        <v>23</v>
      </c>
      <c r="GL149" s="15">
        <f t="array" aca="1" ref="GL149" ca="1">IFERROR(IF(AND(OFFSET($E$20,$FJ148,0)="H",OFFSET(AG$19,$FJ148,0)&lt;&gt;"",OFFSET($F94,$FJ148,0)&lt;&gt;"Hybrid - Thrust + 2 connections"),INDEX(Hyb_Tech,MATCH(OFFSET(AG$19,$FJ148,0),Hyb_Code,0)),GL$72),GL$72)</f>
        <v>24</v>
      </c>
      <c r="GM149" s="15">
        <f t="array" aca="1" ref="GM149" ca="1">IFERROR(IF(AND(OFFSET($E$20,$FJ148,0)="H",OFFSET(AH$19,$FJ148,0)&lt;&gt;"",OFFSET($F94,$FJ148,0)&lt;&gt;"Hybrid - Thrust + 2 connections"),INDEX(Hyb_Tech,MATCH(OFFSET(AH$19,$FJ148,0),Hyb_Code,0)),GM$72),GM$72)</f>
        <v>25</v>
      </c>
      <c r="GN149" s="15">
        <f t="array" aca="1" ref="GN149" ca="1">IFERROR(IF(AND(OFFSET($E$20,$FJ148,0)="H",OFFSET(AI$19,$FJ148,0)&lt;&gt;"",OFFSET($F94,$FJ148,0)&lt;&gt;"Hybrid - Thrust + 2 connections"),INDEX(Hyb_Tech,MATCH(OFFSET(AI$19,$FJ148,0),Hyb_Code,0)),GN$72),GN$72)</f>
        <v>26</v>
      </c>
      <c r="GO149" s="15">
        <f t="array" aca="1" ref="GO149" ca="1">IFERROR(IF(AND(OFFSET($E$20,$FJ148,0)="H",OFFSET(AJ$19,$FJ148,0)&lt;&gt;"",OFFSET($F94,$FJ148,0)&lt;&gt;"Hybrid - Thrust + 2 connections"),INDEX(Hyb_Tech,MATCH(OFFSET(AJ$19,$FJ148,0),Hyb_Code,0)),GO$72),GO$72)</f>
        <v>27</v>
      </c>
      <c r="GP149" s="15">
        <f t="array" aca="1" ref="GP149" ca="1">IFERROR(IF(AND(OFFSET($E$20,$FJ148,0)="H",OFFSET(AK$19,$FJ148,0)&lt;&gt;"",OFFSET($F94,$FJ148,0)&lt;&gt;"Hybrid - Thrust + 2 connections"),INDEX(Hyb_Tech,MATCH(OFFSET(AK$19,$FJ148,0),Hyb_Code,0)),GP$72),GP$72)</f>
        <v>28</v>
      </c>
      <c r="GQ149" s="15">
        <f t="array" aca="1" ref="GQ149" ca="1">IFERROR(IF(AND(OFFSET($E$20,$FJ148,0)="H",OFFSET(AL$19,$FJ148,0)&lt;&gt;"",OFFSET($F94,$FJ148,0)&lt;&gt;"Hybrid - Thrust + 2 connections"),INDEX(Hyb_Tech,MATCH(OFFSET(AL$19,$FJ148,0),Hyb_Code,0)),GQ$72),GQ$72)</f>
        <v>29</v>
      </c>
      <c r="GR149" s="15">
        <f t="array" aca="1" ref="GR149" ca="1">IFERROR(IF(AND(OFFSET($E$20,$FJ148,0)="H",OFFSET(AM$19,$FJ148,0)&lt;&gt;"",OFFSET($F94,$FJ148,0)&lt;&gt;"Hybrid - Thrust + 2 connections"),INDEX(Hyb_Tech,MATCH(OFFSET(AM$19,$FJ148,0),Hyb_Code,0)),GR$72),GR$72)</f>
        <v>30</v>
      </c>
    </row>
    <row r="150" spans="166:200" ht="12.75" customHeight="1" x14ac:dyDescent="0.3">
      <c r="FJ150" s="5"/>
      <c r="FK150" s="5"/>
      <c r="FL150" s="5"/>
      <c r="FM150" s="5" t="str">
        <f ca="1">IFERROR(IF(SUM($FO150:$GR150)&gt;3,OFFSET($FO$73,$FJ148*5/2,MATCH(1,FO150:GR150,0)),""),"")</f>
        <v/>
      </c>
      <c r="FN150" s="15" t="str">
        <f ca="1">IFERROR(IF(LEFT(FM150,1)="C",IF(RIGHT(FM150,1)="+",LEFT(FM150,LEN(FM150)-1),CONCATENATE(FM150,"+")),IF(SUM($FO150:$GR150)&gt;3,OFFSET($FO$73,$FJ148*5/2,MATCH(0.5,FO150:GR150,0)),"")),"")</f>
        <v/>
      </c>
      <c r="FO150" s="15" t="str">
        <f t="array" aca="1" ref="FO150" ca="1">IF(COUNTIF($FO149:$GR149,FO149)&gt;3,INDEX(Hyb_Tech_Value,MATCH(FO148,Hyb_Code,0)),"")</f>
        <v/>
      </c>
      <c r="FP150" s="15" t="str">
        <f t="array" aca="1" ref="FP150" ca="1">IF(COUNTIF($FO149:$GR149,FP149)&gt;3,INDEX(Hyb_Tech_Value,MATCH(FP148,Hyb_Code,0)),"")</f>
        <v/>
      </c>
      <c r="FQ150" s="15" t="str">
        <f t="array" aca="1" ref="FQ150" ca="1">IF(COUNTIF($FO149:$GR149,FQ149)&gt;3,INDEX(Hyb_Tech_Value,MATCH(FQ148,Hyb_Code,0)),"")</f>
        <v/>
      </c>
      <c r="FR150" s="15" t="str">
        <f t="array" aca="1" ref="FR150" ca="1">IF(COUNTIF($FO149:$GR149,FR149)&gt;3,INDEX(Hyb_Tech_Value,MATCH(FR148,Hyb_Code,0)),"")</f>
        <v/>
      </c>
      <c r="FS150" s="15" t="str">
        <f t="array" aca="1" ref="FS150" ca="1">IF(COUNTIF($FO149:$GR149,FS149)&gt;3,INDEX(Hyb_Tech_Value,MATCH(FS148,Hyb_Code,0)),"")</f>
        <v/>
      </c>
      <c r="FT150" s="15" t="str">
        <f t="array" aca="1" ref="FT150" ca="1">IF(COUNTIF($FO149:$GR149,FT149)&gt;3,INDEX(Hyb_Tech_Value,MATCH(FT148,Hyb_Code,0)),"")</f>
        <v/>
      </c>
      <c r="FU150" s="15" t="str">
        <f t="array" aca="1" ref="FU150" ca="1">IF(COUNTIF($FO149:$GR149,FU149)&gt;3,INDEX(Hyb_Tech_Value,MATCH(FU148,Hyb_Code,0)),"")</f>
        <v/>
      </c>
      <c r="FV150" s="15" t="str">
        <f t="array" aca="1" ref="FV150" ca="1">IF(COUNTIF($FO149:$GR149,FV149)&gt;3,INDEX(Hyb_Tech_Value,MATCH(FV148,Hyb_Code,0)),"")</f>
        <v/>
      </c>
      <c r="FW150" s="15" t="str">
        <f t="array" aca="1" ref="FW150" ca="1">IF(COUNTIF($FO149:$GR149,FW149)&gt;3,INDEX(Hyb_Tech_Value,MATCH(FW148,Hyb_Code,0)),"")</f>
        <v/>
      </c>
      <c r="FX150" s="15" t="str">
        <f t="array" aca="1" ref="FX150" ca="1">IF(COUNTIF($FO149:$GR149,FX149)&gt;3,INDEX(Hyb_Tech_Value,MATCH(FX148,Hyb_Code,0)),"")</f>
        <v/>
      </c>
      <c r="FY150" s="15" t="str">
        <f t="array" aca="1" ref="FY150" ca="1">IF(COUNTIF($FO149:$GR149,FY149)&gt;3,INDEX(Hyb_Tech_Value,MATCH(FY148,Hyb_Code,0)),"")</f>
        <v/>
      </c>
      <c r="FZ150" s="15" t="str">
        <f t="array" aca="1" ref="FZ150" ca="1">IF(COUNTIF($FO149:$GR149,FZ149)&gt;3,INDEX(Hyb_Tech_Value,MATCH(FZ148,Hyb_Code,0)),"")</f>
        <v/>
      </c>
      <c r="GA150" s="15" t="str">
        <f t="array" aca="1" ref="GA150" ca="1">IF(COUNTIF($FO149:$GR149,GA149)&gt;3,INDEX(Hyb_Tech_Value,MATCH(GA148,Hyb_Code,0)),"")</f>
        <v/>
      </c>
      <c r="GB150" s="15" t="str">
        <f t="array" aca="1" ref="GB150" ca="1">IF(COUNTIF($FO149:$GR149,GB149)&gt;3,INDEX(Hyb_Tech_Value,MATCH(GB148,Hyb_Code,0)),"")</f>
        <v/>
      </c>
      <c r="GC150" s="15" t="str">
        <f t="array" aca="1" ref="GC150" ca="1">IF(COUNTIF($FO149:$GR149,GC149)&gt;3,INDEX(Hyb_Tech_Value,MATCH(GC148,Hyb_Code,0)),"")</f>
        <v/>
      </c>
      <c r="GD150" s="15" t="str">
        <f t="array" aca="1" ref="GD150" ca="1">IF(COUNTIF($FO149:$GR149,GD149)&gt;3,INDEX(Hyb_Tech_Value,MATCH(GD148,Hyb_Code,0)),"")</f>
        <v/>
      </c>
      <c r="GE150" s="15" t="str">
        <f t="array" aca="1" ref="GE150" ca="1">IF(COUNTIF($FO149:$GR149,GE149)&gt;3,INDEX(Hyb_Tech_Value,MATCH(GE148,Hyb_Code,0)),"")</f>
        <v/>
      </c>
      <c r="GF150" s="15" t="str">
        <f t="array" aca="1" ref="GF150" ca="1">IF(COUNTIF($FO149:$GR149,GF149)&gt;3,INDEX(Hyb_Tech_Value,MATCH(GF148,Hyb_Code,0)),"")</f>
        <v/>
      </c>
      <c r="GG150" s="15" t="str">
        <f t="array" aca="1" ref="GG150" ca="1">IF(COUNTIF($FO149:$GR149,GG149)&gt;3,INDEX(Hyb_Tech_Value,MATCH(GG148,Hyb_Code,0)),"")</f>
        <v/>
      </c>
      <c r="GH150" s="15" t="str">
        <f t="array" aca="1" ref="GH150" ca="1">IF(COUNTIF($FO149:$GR149,GH149)&gt;3,INDEX(Hyb_Tech_Value,MATCH(GH148,Hyb_Code,0)),"")</f>
        <v/>
      </c>
      <c r="GI150" s="15" t="str">
        <f t="array" aca="1" ref="GI150" ca="1">IF(COUNTIF($FO149:$GR149,GI149)&gt;3,INDEX(Hyb_Tech_Value,MATCH(GI148,Hyb_Code,0)),"")</f>
        <v/>
      </c>
      <c r="GJ150" s="15" t="str">
        <f t="array" aca="1" ref="GJ150" ca="1">IF(COUNTIF($FO149:$GR149,GJ149)&gt;3,INDEX(Hyb_Tech_Value,MATCH(GJ148,Hyb_Code,0)),"")</f>
        <v/>
      </c>
      <c r="GK150" s="15" t="str">
        <f t="array" aca="1" ref="GK150" ca="1">IF(COUNTIF($FO149:$GR149,GK149)&gt;3,INDEX(Hyb_Tech_Value,MATCH(GK148,Hyb_Code,0)),"")</f>
        <v/>
      </c>
      <c r="GL150" s="15" t="str">
        <f t="array" aca="1" ref="GL150" ca="1">IF(COUNTIF($FO149:$GR149,GL149)&gt;3,INDEX(Hyb_Tech_Value,MATCH(GL148,Hyb_Code,0)),"")</f>
        <v/>
      </c>
      <c r="GM150" s="15" t="str">
        <f t="array" aca="1" ref="GM150" ca="1">IF(COUNTIF($FO149:$GR149,GM149)&gt;3,INDEX(Hyb_Tech_Value,MATCH(GM148,Hyb_Code,0)),"")</f>
        <v/>
      </c>
      <c r="GN150" s="15" t="str">
        <f t="array" aca="1" ref="GN150" ca="1">IF(COUNTIF($FO149:$GR149,GN149)&gt;3,INDEX(Hyb_Tech_Value,MATCH(GN148,Hyb_Code,0)),"")</f>
        <v/>
      </c>
      <c r="GO150" s="15" t="str">
        <f t="array" aca="1" ref="GO150" ca="1">IF(COUNTIF($FO149:$GR149,GO149)&gt;3,INDEX(Hyb_Tech_Value,MATCH(GO148,Hyb_Code,0)),"")</f>
        <v/>
      </c>
      <c r="GP150" s="15" t="str">
        <f t="array" aca="1" ref="GP150" ca="1">IF(COUNTIF($FO149:$GR149,GP149)&gt;3,INDEX(Hyb_Tech_Value,MATCH(GP148,Hyb_Code,0)),"")</f>
        <v/>
      </c>
      <c r="GQ150" s="15" t="str">
        <f t="array" aca="1" ref="GQ150" ca="1">IF(COUNTIF($FO149:$GR149,GQ149)&gt;3,INDEX(Hyb_Tech_Value,MATCH(GQ148,Hyb_Code,0)),"")</f>
        <v/>
      </c>
      <c r="GR150" s="15" t="str">
        <f t="array" aca="1" ref="GR150" ca="1">IF(COUNTIF($FO149:$GR149,GR149)&gt;3,INDEX(Hyb_Tech_Value,MATCH(GR148,Hyb_Code,0)),"")</f>
        <v/>
      </c>
    </row>
    <row r="151" spans="166:200" ht="12.75" customHeight="1" x14ac:dyDescent="0.3">
      <c r="FJ151" s="5"/>
      <c r="FK151" s="5"/>
      <c r="FL151" s="5"/>
      <c r="FM151" s="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row>
    <row r="152" spans="166:200" ht="12.75" customHeight="1" x14ac:dyDescent="0.3">
      <c r="FJ152" s="5"/>
      <c r="FK152" s="5"/>
      <c r="FL152" s="5"/>
      <c r="FM152" s="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row>
    <row r="153" spans="166:200" ht="12.75" customHeight="1" x14ac:dyDescent="0.3">
      <c r="FJ153" s="5">
        <v>32</v>
      </c>
      <c r="FK153" s="5"/>
      <c r="FL153" s="5"/>
      <c r="FM153" s="15"/>
      <c r="FN153" s="15"/>
      <c r="FO153" s="15">
        <f t="shared" ref="FO153:GR153" ca="1" si="352">IFERROR(IF(AND(OFFSET($E$20,$FJ153,0)="H",OFFSET(J$19,$FJ153,0)&lt;&gt;""),UPPER(OFFSET(J$19,$FJ153,0)),FO$18),FO$18)</f>
        <v>1</v>
      </c>
      <c r="FP153" s="15">
        <f t="shared" ca="1" si="352"/>
        <v>2</v>
      </c>
      <c r="FQ153" s="15">
        <f t="shared" ca="1" si="352"/>
        <v>3</v>
      </c>
      <c r="FR153" s="15">
        <f t="shared" ca="1" si="352"/>
        <v>4</v>
      </c>
      <c r="FS153" s="15">
        <f t="shared" ca="1" si="352"/>
        <v>5</v>
      </c>
      <c r="FT153" s="15">
        <f t="shared" ca="1" si="352"/>
        <v>6</v>
      </c>
      <c r="FU153" s="15">
        <f t="shared" ca="1" si="352"/>
        <v>7</v>
      </c>
      <c r="FV153" s="15">
        <f t="shared" ca="1" si="352"/>
        <v>8</v>
      </c>
      <c r="FW153" s="15">
        <f t="shared" ca="1" si="352"/>
        <v>9</v>
      </c>
      <c r="FX153" s="15">
        <f t="shared" ca="1" si="352"/>
        <v>10</v>
      </c>
      <c r="FY153" s="15">
        <f t="shared" ca="1" si="352"/>
        <v>11</v>
      </c>
      <c r="FZ153" s="15">
        <f t="shared" ca="1" si="352"/>
        <v>12</v>
      </c>
      <c r="GA153" s="15">
        <f t="shared" ca="1" si="352"/>
        <v>13</v>
      </c>
      <c r="GB153" s="15">
        <f t="shared" ca="1" si="352"/>
        <v>14</v>
      </c>
      <c r="GC153" s="15">
        <f t="shared" ca="1" si="352"/>
        <v>15</v>
      </c>
      <c r="GD153" s="15">
        <f t="shared" ca="1" si="352"/>
        <v>16</v>
      </c>
      <c r="GE153" s="15">
        <f t="shared" ca="1" si="352"/>
        <v>17</v>
      </c>
      <c r="GF153" s="15">
        <f t="shared" ca="1" si="352"/>
        <v>18</v>
      </c>
      <c r="GG153" s="15">
        <f t="shared" ca="1" si="352"/>
        <v>19</v>
      </c>
      <c r="GH153" s="15">
        <f t="shared" ca="1" si="352"/>
        <v>20</v>
      </c>
      <c r="GI153" s="15">
        <f t="shared" ca="1" si="352"/>
        <v>21</v>
      </c>
      <c r="GJ153" s="15">
        <f t="shared" ca="1" si="352"/>
        <v>22</v>
      </c>
      <c r="GK153" s="15">
        <f t="shared" ca="1" si="352"/>
        <v>23</v>
      </c>
      <c r="GL153" s="15">
        <f t="shared" ca="1" si="352"/>
        <v>24</v>
      </c>
      <c r="GM153" s="15">
        <f t="shared" ca="1" si="352"/>
        <v>25</v>
      </c>
      <c r="GN153" s="15">
        <f t="shared" ca="1" si="352"/>
        <v>26</v>
      </c>
      <c r="GO153" s="15">
        <f t="shared" ca="1" si="352"/>
        <v>27</v>
      </c>
      <c r="GP153" s="15">
        <f t="shared" ca="1" si="352"/>
        <v>28</v>
      </c>
      <c r="GQ153" s="15">
        <f t="shared" ca="1" si="352"/>
        <v>29</v>
      </c>
      <c r="GR153" s="15">
        <f t="shared" ca="1" si="352"/>
        <v>30</v>
      </c>
    </row>
    <row r="154" spans="166:200" ht="12.75" customHeight="1" x14ac:dyDescent="0.3">
      <c r="FJ154" s="5"/>
      <c r="FK154" s="5"/>
      <c r="FL154" s="5"/>
      <c r="FM154" s="5"/>
      <c r="FN154" s="5"/>
      <c r="FO154" s="15">
        <f t="array" aca="1" ref="FO154" ca="1">IFERROR(IF(AND(OFFSET($E$20,$FJ153,0)="H",OFFSET(J$19,$FJ153,0)&lt;&gt;"",OFFSET($F99,$FJ153,0)&lt;&gt;"Hybrid - Thrust + 2 connections"),INDEX(Hyb_Tech,MATCH(OFFSET(J$19,$FJ153,0),Hyb_Code,0)),FO$72),FO$72)</f>
        <v>1</v>
      </c>
      <c r="FP154" s="15">
        <f t="array" aca="1" ref="FP154" ca="1">IFERROR(IF(AND(OFFSET($E$20,$FJ153,0)="H",OFFSET(K$19,$FJ153,0)&lt;&gt;"",OFFSET($F99,$FJ153,0)&lt;&gt;"Hybrid - Thrust + 2 connections"),INDEX(Hyb_Tech,MATCH(OFFSET(K$19,$FJ153,0),Hyb_Code,0)),FP$72),FP$72)</f>
        <v>2</v>
      </c>
      <c r="FQ154" s="15">
        <f t="array" aca="1" ref="FQ154" ca="1">IFERROR(IF(AND(OFFSET($E$20,$FJ153,0)="H",OFFSET(L$19,$FJ153,0)&lt;&gt;"",OFFSET($F99,$FJ153,0)&lt;&gt;"Hybrid - Thrust + 2 connections"),INDEX(Hyb_Tech,MATCH(OFFSET(L$19,$FJ153,0),Hyb_Code,0)),FQ$72),FQ$72)</f>
        <v>3</v>
      </c>
      <c r="FR154" s="15">
        <f t="array" aca="1" ref="FR154" ca="1">IFERROR(IF(AND(OFFSET($E$20,$FJ153,0)="H",OFFSET(M$19,$FJ153,0)&lt;&gt;"",OFFSET($F99,$FJ153,0)&lt;&gt;"Hybrid - Thrust + 2 connections"),INDEX(Hyb_Tech,MATCH(OFFSET(M$19,$FJ153,0),Hyb_Code,0)),FR$72),FR$72)</f>
        <v>4</v>
      </c>
      <c r="FS154" s="15">
        <f t="array" aca="1" ref="FS154" ca="1">IFERROR(IF(AND(OFFSET($E$20,$FJ153,0)="H",OFFSET(N$19,$FJ153,0)&lt;&gt;"",OFFSET($F99,$FJ153,0)&lt;&gt;"Hybrid - Thrust + 2 connections"),INDEX(Hyb_Tech,MATCH(OFFSET(N$19,$FJ153,0),Hyb_Code,0)),FS$72),FS$72)</f>
        <v>5</v>
      </c>
      <c r="FT154" s="15">
        <f t="array" aca="1" ref="FT154" ca="1">IFERROR(IF(AND(OFFSET($E$20,$FJ153,0)="H",OFFSET(O$19,$FJ153,0)&lt;&gt;"",OFFSET($F99,$FJ153,0)&lt;&gt;"Hybrid - Thrust + 2 connections"),INDEX(Hyb_Tech,MATCH(OFFSET(O$19,$FJ153,0),Hyb_Code,0)),FT$72),FT$72)</f>
        <v>6</v>
      </c>
      <c r="FU154" s="15">
        <f t="array" aca="1" ref="FU154" ca="1">IFERROR(IF(AND(OFFSET($E$20,$FJ153,0)="H",OFFSET(P$19,$FJ153,0)&lt;&gt;"",OFFSET($F99,$FJ153,0)&lt;&gt;"Hybrid - Thrust + 2 connections"),INDEX(Hyb_Tech,MATCH(OFFSET(P$19,$FJ153,0),Hyb_Code,0)),FU$72),FU$72)</f>
        <v>7</v>
      </c>
      <c r="FV154" s="15">
        <f t="array" aca="1" ref="FV154" ca="1">IFERROR(IF(AND(OFFSET($E$20,$FJ153,0)="H",OFFSET(Q$19,$FJ153,0)&lt;&gt;"",OFFSET($F99,$FJ153,0)&lt;&gt;"Hybrid - Thrust + 2 connections"),INDEX(Hyb_Tech,MATCH(OFFSET(Q$19,$FJ153,0),Hyb_Code,0)),FV$72),FV$72)</f>
        <v>8</v>
      </c>
      <c r="FW154" s="15">
        <f t="array" aca="1" ref="FW154" ca="1">IFERROR(IF(AND(OFFSET($E$20,$FJ153,0)="H",OFFSET(R$19,$FJ153,0)&lt;&gt;"",OFFSET($F99,$FJ153,0)&lt;&gt;"Hybrid - Thrust + 2 connections"),INDEX(Hyb_Tech,MATCH(OFFSET(R$19,$FJ153,0),Hyb_Code,0)),FW$72),FW$72)</f>
        <v>9</v>
      </c>
      <c r="FX154" s="15">
        <f t="array" aca="1" ref="FX154" ca="1">IFERROR(IF(AND(OFFSET($E$20,$FJ153,0)="H",OFFSET(S$19,$FJ153,0)&lt;&gt;"",OFFSET($F99,$FJ153,0)&lt;&gt;"Hybrid - Thrust + 2 connections"),INDEX(Hyb_Tech,MATCH(OFFSET(S$19,$FJ153,0),Hyb_Code,0)),FX$72),FX$72)</f>
        <v>10</v>
      </c>
      <c r="FY154" s="15">
        <f t="array" aca="1" ref="FY154" ca="1">IFERROR(IF(AND(OFFSET($E$20,$FJ153,0)="H",OFFSET(T$19,$FJ153,0)&lt;&gt;"",OFFSET($F99,$FJ153,0)&lt;&gt;"Hybrid - Thrust + 2 connections"),INDEX(Hyb_Tech,MATCH(OFFSET(T$19,$FJ153,0),Hyb_Code,0)),FY$72),FY$72)</f>
        <v>11</v>
      </c>
      <c r="FZ154" s="15">
        <f t="array" aca="1" ref="FZ154" ca="1">IFERROR(IF(AND(OFFSET($E$20,$FJ153,0)="H",OFFSET(U$19,$FJ153,0)&lt;&gt;"",OFFSET($F99,$FJ153,0)&lt;&gt;"Hybrid - Thrust + 2 connections"),INDEX(Hyb_Tech,MATCH(OFFSET(U$19,$FJ153,0),Hyb_Code,0)),FZ$72),FZ$72)</f>
        <v>12</v>
      </c>
      <c r="GA154" s="15">
        <f t="array" aca="1" ref="GA154" ca="1">IFERROR(IF(AND(OFFSET($E$20,$FJ153,0)="H",OFFSET(V$19,$FJ153,0)&lt;&gt;"",OFFSET($F99,$FJ153,0)&lt;&gt;"Hybrid - Thrust + 2 connections"),INDEX(Hyb_Tech,MATCH(OFFSET(V$19,$FJ153,0),Hyb_Code,0)),GA$72),GA$72)</f>
        <v>13</v>
      </c>
      <c r="GB154" s="15">
        <f t="array" aca="1" ref="GB154" ca="1">IFERROR(IF(AND(OFFSET($E$20,$FJ153,0)="H",OFFSET(W$19,$FJ153,0)&lt;&gt;"",OFFSET($F99,$FJ153,0)&lt;&gt;"Hybrid - Thrust + 2 connections"),INDEX(Hyb_Tech,MATCH(OFFSET(W$19,$FJ153,0),Hyb_Code,0)),GB$72),GB$72)</f>
        <v>14</v>
      </c>
      <c r="GC154" s="15">
        <f t="array" aca="1" ref="GC154" ca="1">IFERROR(IF(AND(OFFSET($E$20,$FJ153,0)="H",OFFSET(X$19,$FJ153,0)&lt;&gt;"",OFFSET($F99,$FJ153,0)&lt;&gt;"Hybrid - Thrust + 2 connections"),INDEX(Hyb_Tech,MATCH(OFFSET(X$19,$FJ153,0),Hyb_Code,0)),GC$72),GC$72)</f>
        <v>15</v>
      </c>
      <c r="GD154" s="15">
        <f t="array" aca="1" ref="GD154" ca="1">IFERROR(IF(AND(OFFSET($E$20,$FJ153,0)="H",OFFSET(Y$19,$FJ153,0)&lt;&gt;"",OFFSET($F99,$FJ153,0)&lt;&gt;"Hybrid - Thrust + 2 connections"),INDEX(Hyb_Tech,MATCH(OFFSET(Y$19,$FJ153,0),Hyb_Code,0)),GD$72),GD$72)</f>
        <v>16</v>
      </c>
      <c r="GE154" s="15">
        <f t="array" aca="1" ref="GE154" ca="1">IFERROR(IF(AND(OFFSET($E$20,$FJ153,0)="H",OFFSET(Z$19,$FJ153,0)&lt;&gt;"",OFFSET($F99,$FJ153,0)&lt;&gt;"Hybrid - Thrust + 2 connections"),INDEX(Hyb_Tech,MATCH(OFFSET(Z$19,$FJ153,0),Hyb_Code,0)),GE$72),GE$72)</f>
        <v>17</v>
      </c>
      <c r="GF154" s="15">
        <f t="array" aca="1" ref="GF154" ca="1">IFERROR(IF(AND(OFFSET($E$20,$FJ153,0)="H",OFFSET(AA$19,$FJ153,0)&lt;&gt;"",OFFSET($F99,$FJ153,0)&lt;&gt;"Hybrid - Thrust + 2 connections"),INDEX(Hyb_Tech,MATCH(OFFSET(AA$19,$FJ153,0),Hyb_Code,0)),GF$72),GF$72)</f>
        <v>18</v>
      </c>
      <c r="GG154" s="15">
        <f t="array" aca="1" ref="GG154" ca="1">IFERROR(IF(AND(OFFSET($E$20,$FJ153,0)="H",OFFSET(AB$19,$FJ153,0)&lt;&gt;"",OFFSET($F99,$FJ153,0)&lt;&gt;"Hybrid - Thrust + 2 connections"),INDEX(Hyb_Tech,MATCH(OFFSET(AB$19,$FJ153,0),Hyb_Code,0)),GG$72),GG$72)</f>
        <v>19</v>
      </c>
      <c r="GH154" s="15">
        <f t="array" aca="1" ref="GH154" ca="1">IFERROR(IF(AND(OFFSET($E$20,$FJ153,0)="H",OFFSET(AC$19,$FJ153,0)&lt;&gt;"",OFFSET($F99,$FJ153,0)&lt;&gt;"Hybrid - Thrust + 2 connections"),INDEX(Hyb_Tech,MATCH(OFFSET(AC$19,$FJ153,0),Hyb_Code,0)),GH$72),GH$72)</f>
        <v>20</v>
      </c>
      <c r="GI154" s="15">
        <f t="array" aca="1" ref="GI154" ca="1">IFERROR(IF(AND(OFFSET($E$20,$FJ153,0)="H",OFFSET(AD$19,$FJ153,0)&lt;&gt;"",OFFSET($F99,$FJ153,0)&lt;&gt;"Hybrid - Thrust + 2 connections"),INDEX(Hyb_Tech,MATCH(OFFSET(AD$19,$FJ153,0),Hyb_Code,0)),GI$72),GI$72)</f>
        <v>21</v>
      </c>
      <c r="GJ154" s="15">
        <f t="array" aca="1" ref="GJ154" ca="1">IFERROR(IF(AND(OFFSET($E$20,$FJ153,0)="H",OFFSET(AE$19,$FJ153,0)&lt;&gt;"",OFFSET($F99,$FJ153,0)&lt;&gt;"Hybrid - Thrust + 2 connections"),INDEX(Hyb_Tech,MATCH(OFFSET(AE$19,$FJ153,0),Hyb_Code,0)),GJ$72),GJ$72)</f>
        <v>22</v>
      </c>
      <c r="GK154" s="15">
        <f t="array" aca="1" ref="GK154" ca="1">IFERROR(IF(AND(OFFSET($E$20,$FJ153,0)="H",OFFSET(AF$19,$FJ153,0)&lt;&gt;"",OFFSET($F99,$FJ153,0)&lt;&gt;"Hybrid - Thrust + 2 connections"),INDEX(Hyb_Tech,MATCH(OFFSET(AF$19,$FJ153,0),Hyb_Code,0)),GK$72),GK$72)</f>
        <v>23</v>
      </c>
      <c r="GL154" s="15">
        <f t="array" aca="1" ref="GL154" ca="1">IFERROR(IF(AND(OFFSET($E$20,$FJ153,0)="H",OFFSET(AG$19,$FJ153,0)&lt;&gt;"",OFFSET($F99,$FJ153,0)&lt;&gt;"Hybrid - Thrust + 2 connections"),INDEX(Hyb_Tech,MATCH(OFFSET(AG$19,$FJ153,0),Hyb_Code,0)),GL$72),GL$72)</f>
        <v>24</v>
      </c>
      <c r="GM154" s="15">
        <f t="array" aca="1" ref="GM154" ca="1">IFERROR(IF(AND(OFFSET($E$20,$FJ153,0)="H",OFFSET(AH$19,$FJ153,0)&lt;&gt;"",OFFSET($F99,$FJ153,0)&lt;&gt;"Hybrid - Thrust + 2 connections"),INDEX(Hyb_Tech,MATCH(OFFSET(AH$19,$FJ153,0),Hyb_Code,0)),GM$72),GM$72)</f>
        <v>25</v>
      </c>
      <c r="GN154" s="15">
        <f t="array" aca="1" ref="GN154" ca="1">IFERROR(IF(AND(OFFSET($E$20,$FJ153,0)="H",OFFSET(AI$19,$FJ153,0)&lt;&gt;"",OFFSET($F99,$FJ153,0)&lt;&gt;"Hybrid - Thrust + 2 connections"),INDEX(Hyb_Tech,MATCH(OFFSET(AI$19,$FJ153,0),Hyb_Code,0)),GN$72),GN$72)</f>
        <v>26</v>
      </c>
      <c r="GO154" s="15">
        <f t="array" aca="1" ref="GO154" ca="1">IFERROR(IF(AND(OFFSET($E$20,$FJ153,0)="H",OFFSET(AJ$19,$FJ153,0)&lt;&gt;"",OFFSET($F99,$FJ153,0)&lt;&gt;"Hybrid - Thrust + 2 connections"),INDEX(Hyb_Tech,MATCH(OFFSET(AJ$19,$FJ153,0),Hyb_Code,0)),GO$72),GO$72)</f>
        <v>27</v>
      </c>
      <c r="GP154" s="15">
        <f t="array" aca="1" ref="GP154" ca="1">IFERROR(IF(AND(OFFSET($E$20,$FJ153,0)="H",OFFSET(AK$19,$FJ153,0)&lt;&gt;"",OFFSET($F99,$FJ153,0)&lt;&gt;"Hybrid - Thrust + 2 connections"),INDEX(Hyb_Tech,MATCH(OFFSET(AK$19,$FJ153,0),Hyb_Code,0)),GP$72),GP$72)</f>
        <v>28</v>
      </c>
      <c r="GQ154" s="15">
        <f t="array" aca="1" ref="GQ154" ca="1">IFERROR(IF(AND(OFFSET($E$20,$FJ153,0)="H",OFFSET(AL$19,$FJ153,0)&lt;&gt;"",OFFSET($F99,$FJ153,0)&lt;&gt;"Hybrid - Thrust + 2 connections"),INDEX(Hyb_Tech,MATCH(OFFSET(AL$19,$FJ153,0),Hyb_Code,0)),GQ$72),GQ$72)</f>
        <v>29</v>
      </c>
      <c r="GR154" s="15">
        <f t="array" aca="1" ref="GR154" ca="1">IFERROR(IF(AND(OFFSET($E$20,$FJ153,0)="H",OFFSET(AM$19,$FJ153,0)&lt;&gt;"",OFFSET($F99,$FJ153,0)&lt;&gt;"Hybrid - Thrust + 2 connections"),INDEX(Hyb_Tech,MATCH(OFFSET(AM$19,$FJ153,0),Hyb_Code,0)),GR$72),GR$72)</f>
        <v>30</v>
      </c>
    </row>
    <row r="155" spans="166:200" ht="12.75" customHeight="1" x14ac:dyDescent="0.3">
      <c r="FJ155" s="5"/>
      <c r="FK155" s="5"/>
      <c r="FL155" s="5"/>
      <c r="FM155" s="5" t="str">
        <f ca="1">IFERROR(IF(SUM($FO155:$GR155)&gt;3,OFFSET($FO$73,$FJ153*5/2,MATCH(1,FO155:GR155,0)),""),"")</f>
        <v/>
      </c>
      <c r="FN155" s="15" t="str">
        <f ca="1">IFERROR(IF(LEFT(FM155,1)="C",IF(RIGHT(FM155,1)="+",LEFT(FM155,LEN(FM155)-1),CONCATENATE(FM155,"+")),IF(SUM($FO155:$GR155)&gt;3,OFFSET($FO$73,$FJ153*5/2,MATCH(0.5,FO155:GR155,0)),"")),"")</f>
        <v/>
      </c>
      <c r="FO155" s="15" t="str">
        <f t="array" aca="1" ref="FO155" ca="1">IF(COUNTIF($FO154:$GR154,FO154)&gt;3,INDEX(Hyb_Tech_Value,MATCH(FO153,Hyb_Code,0)),"")</f>
        <v/>
      </c>
      <c r="FP155" s="15" t="str">
        <f t="array" aca="1" ref="FP155" ca="1">IF(COUNTIF($FO154:$GR154,FP154)&gt;3,INDEX(Hyb_Tech_Value,MATCH(FP153,Hyb_Code,0)),"")</f>
        <v/>
      </c>
      <c r="FQ155" s="15" t="str">
        <f t="array" aca="1" ref="FQ155" ca="1">IF(COUNTIF($FO154:$GR154,FQ154)&gt;3,INDEX(Hyb_Tech_Value,MATCH(FQ153,Hyb_Code,0)),"")</f>
        <v/>
      </c>
      <c r="FR155" s="15" t="str">
        <f t="array" aca="1" ref="FR155" ca="1">IF(COUNTIF($FO154:$GR154,FR154)&gt;3,INDEX(Hyb_Tech_Value,MATCH(FR153,Hyb_Code,0)),"")</f>
        <v/>
      </c>
      <c r="FS155" s="15" t="str">
        <f t="array" aca="1" ref="FS155" ca="1">IF(COUNTIF($FO154:$GR154,FS154)&gt;3,INDEX(Hyb_Tech_Value,MATCH(FS153,Hyb_Code,0)),"")</f>
        <v/>
      </c>
      <c r="FT155" s="15" t="str">
        <f t="array" aca="1" ref="FT155" ca="1">IF(COUNTIF($FO154:$GR154,FT154)&gt;3,INDEX(Hyb_Tech_Value,MATCH(FT153,Hyb_Code,0)),"")</f>
        <v/>
      </c>
      <c r="FU155" s="15" t="str">
        <f t="array" aca="1" ref="FU155" ca="1">IF(COUNTIF($FO154:$GR154,FU154)&gt;3,INDEX(Hyb_Tech_Value,MATCH(FU153,Hyb_Code,0)),"")</f>
        <v/>
      </c>
      <c r="FV155" s="15" t="str">
        <f t="array" aca="1" ref="FV155" ca="1">IF(COUNTIF($FO154:$GR154,FV154)&gt;3,INDEX(Hyb_Tech_Value,MATCH(FV153,Hyb_Code,0)),"")</f>
        <v/>
      </c>
      <c r="FW155" s="15" t="str">
        <f t="array" aca="1" ref="FW155" ca="1">IF(COUNTIF($FO154:$GR154,FW154)&gt;3,INDEX(Hyb_Tech_Value,MATCH(FW153,Hyb_Code,0)),"")</f>
        <v/>
      </c>
      <c r="FX155" s="15" t="str">
        <f t="array" aca="1" ref="FX155" ca="1">IF(COUNTIF($FO154:$GR154,FX154)&gt;3,INDEX(Hyb_Tech_Value,MATCH(FX153,Hyb_Code,0)),"")</f>
        <v/>
      </c>
      <c r="FY155" s="15" t="str">
        <f t="array" aca="1" ref="FY155" ca="1">IF(COUNTIF($FO154:$GR154,FY154)&gt;3,INDEX(Hyb_Tech_Value,MATCH(FY153,Hyb_Code,0)),"")</f>
        <v/>
      </c>
      <c r="FZ155" s="15" t="str">
        <f t="array" aca="1" ref="FZ155" ca="1">IF(COUNTIF($FO154:$GR154,FZ154)&gt;3,INDEX(Hyb_Tech_Value,MATCH(FZ153,Hyb_Code,0)),"")</f>
        <v/>
      </c>
      <c r="GA155" s="15" t="str">
        <f t="array" aca="1" ref="GA155" ca="1">IF(COUNTIF($FO154:$GR154,GA154)&gt;3,INDEX(Hyb_Tech_Value,MATCH(GA153,Hyb_Code,0)),"")</f>
        <v/>
      </c>
      <c r="GB155" s="15" t="str">
        <f t="array" aca="1" ref="GB155" ca="1">IF(COUNTIF($FO154:$GR154,GB154)&gt;3,INDEX(Hyb_Tech_Value,MATCH(GB153,Hyb_Code,0)),"")</f>
        <v/>
      </c>
      <c r="GC155" s="15" t="str">
        <f t="array" aca="1" ref="GC155" ca="1">IF(COUNTIF($FO154:$GR154,GC154)&gt;3,INDEX(Hyb_Tech_Value,MATCH(GC153,Hyb_Code,0)),"")</f>
        <v/>
      </c>
      <c r="GD155" s="15" t="str">
        <f t="array" aca="1" ref="GD155" ca="1">IF(COUNTIF($FO154:$GR154,GD154)&gt;3,INDEX(Hyb_Tech_Value,MATCH(GD153,Hyb_Code,0)),"")</f>
        <v/>
      </c>
      <c r="GE155" s="15" t="str">
        <f t="array" aca="1" ref="GE155" ca="1">IF(COUNTIF($FO154:$GR154,GE154)&gt;3,INDEX(Hyb_Tech_Value,MATCH(GE153,Hyb_Code,0)),"")</f>
        <v/>
      </c>
      <c r="GF155" s="15" t="str">
        <f t="array" aca="1" ref="GF155" ca="1">IF(COUNTIF($FO154:$GR154,GF154)&gt;3,INDEX(Hyb_Tech_Value,MATCH(GF153,Hyb_Code,0)),"")</f>
        <v/>
      </c>
      <c r="GG155" s="15" t="str">
        <f t="array" aca="1" ref="GG155" ca="1">IF(COUNTIF($FO154:$GR154,GG154)&gt;3,INDEX(Hyb_Tech_Value,MATCH(GG153,Hyb_Code,0)),"")</f>
        <v/>
      </c>
      <c r="GH155" s="15" t="str">
        <f t="array" aca="1" ref="GH155" ca="1">IF(COUNTIF($FO154:$GR154,GH154)&gt;3,INDEX(Hyb_Tech_Value,MATCH(GH153,Hyb_Code,0)),"")</f>
        <v/>
      </c>
      <c r="GI155" s="15" t="str">
        <f t="array" aca="1" ref="GI155" ca="1">IF(COUNTIF($FO154:$GR154,GI154)&gt;3,INDEX(Hyb_Tech_Value,MATCH(GI153,Hyb_Code,0)),"")</f>
        <v/>
      </c>
      <c r="GJ155" s="15" t="str">
        <f t="array" aca="1" ref="GJ155" ca="1">IF(COUNTIF($FO154:$GR154,GJ154)&gt;3,INDEX(Hyb_Tech_Value,MATCH(GJ153,Hyb_Code,0)),"")</f>
        <v/>
      </c>
      <c r="GK155" s="15" t="str">
        <f t="array" aca="1" ref="GK155" ca="1">IF(COUNTIF($FO154:$GR154,GK154)&gt;3,INDEX(Hyb_Tech_Value,MATCH(GK153,Hyb_Code,0)),"")</f>
        <v/>
      </c>
      <c r="GL155" s="15" t="str">
        <f t="array" aca="1" ref="GL155" ca="1">IF(COUNTIF($FO154:$GR154,GL154)&gt;3,INDEX(Hyb_Tech_Value,MATCH(GL153,Hyb_Code,0)),"")</f>
        <v/>
      </c>
      <c r="GM155" s="15" t="str">
        <f t="array" aca="1" ref="GM155" ca="1">IF(COUNTIF($FO154:$GR154,GM154)&gt;3,INDEX(Hyb_Tech_Value,MATCH(GM153,Hyb_Code,0)),"")</f>
        <v/>
      </c>
      <c r="GN155" s="15" t="str">
        <f t="array" aca="1" ref="GN155" ca="1">IF(COUNTIF($FO154:$GR154,GN154)&gt;3,INDEX(Hyb_Tech_Value,MATCH(GN153,Hyb_Code,0)),"")</f>
        <v/>
      </c>
      <c r="GO155" s="15" t="str">
        <f t="array" aca="1" ref="GO155" ca="1">IF(COUNTIF($FO154:$GR154,GO154)&gt;3,INDEX(Hyb_Tech_Value,MATCH(GO153,Hyb_Code,0)),"")</f>
        <v/>
      </c>
      <c r="GP155" s="15" t="str">
        <f t="array" aca="1" ref="GP155" ca="1">IF(COUNTIF($FO154:$GR154,GP154)&gt;3,INDEX(Hyb_Tech_Value,MATCH(GP153,Hyb_Code,0)),"")</f>
        <v/>
      </c>
      <c r="GQ155" s="15" t="str">
        <f t="array" aca="1" ref="GQ155" ca="1">IF(COUNTIF($FO154:$GR154,GQ154)&gt;3,INDEX(Hyb_Tech_Value,MATCH(GQ153,Hyb_Code,0)),"")</f>
        <v/>
      </c>
      <c r="GR155" s="15" t="str">
        <f t="array" aca="1" ref="GR155" ca="1">IF(COUNTIF($FO154:$GR154,GR154)&gt;3,INDEX(Hyb_Tech_Value,MATCH(GR153,Hyb_Code,0)),"")</f>
        <v/>
      </c>
    </row>
    <row r="156" spans="166:200" ht="12.75" customHeight="1" x14ac:dyDescent="0.3">
      <c r="FJ156" s="5"/>
      <c r="FK156" s="5"/>
      <c r="FL156" s="5"/>
      <c r="FM156" s="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row>
    <row r="157" spans="166:200" ht="12.75" customHeight="1" x14ac:dyDescent="0.3">
      <c r="FJ157" s="5"/>
      <c r="FK157" s="5"/>
      <c r="FL157" s="5"/>
      <c r="FM157" s="5"/>
      <c r="FN157" s="15"/>
      <c r="FO157" s="15"/>
      <c r="FP157" s="15"/>
      <c r="FQ157" s="15"/>
      <c r="FR157" s="15"/>
      <c r="FS157" s="15"/>
      <c r="FT157" s="15"/>
      <c r="FU157" s="15"/>
      <c r="FV157" s="15"/>
      <c r="FW157" s="15"/>
      <c r="FX157" s="15"/>
      <c r="FY157" s="15"/>
      <c r="FZ157" s="15"/>
      <c r="GA157" s="15"/>
      <c r="GB157" s="15"/>
      <c r="GC157" s="15"/>
      <c r="GD157" s="15"/>
      <c r="GE157" s="15"/>
      <c r="GF157" s="15"/>
      <c r="GG157" s="15"/>
      <c r="GH157" s="15"/>
      <c r="GI157" s="15"/>
      <c r="GJ157" s="15"/>
      <c r="GK157" s="15"/>
      <c r="GL157" s="15"/>
      <c r="GM157" s="15"/>
      <c r="GN157" s="15"/>
      <c r="GO157" s="15"/>
      <c r="GP157" s="15"/>
      <c r="GQ157" s="15"/>
      <c r="GR157" s="15"/>
    </row>
    <row r="158" spans="166:200" ht="12.75" customHeight="1" x14ac:dyDescent="0.3">
      <c r="FJ158" s="5">
        <v>34</v>
      </c>
      <c r="FK158" s="5"/>
      <c r="FL158" s="5"/>
      <c r="FM158" s="15"/>
      <c r="FN158" s="15"/>
      <c r="FO158" s="15">
        <f t="shared" ref="FO158:GR158" ca="1" si="353">IFERROR(IF(AND(OFFSET($E$20,$FJ158,0)="H",OFFSET(J$19,$FJ158,0)&lt;&gt;""),UPPER(OFFSET(J$19,$FJ158,0)),FO$18),FO$18)</f>
        <v>1</v>
      </c>
      <c r="FP158" s="15">
        <f t="shared" ca="1" si="353"/>
        <v>2</v>
      </c>
      <c r="FQ158" s="15">
        <f t="shared" ca="1" si="353"/>
        <v>3</v>
      </c>
      <c r="FR158" s="15">
        <f t="shared" ca="1" si="353"/>
        <v>4</v>
      </c>
      <c r="FS158" s="15">
        <f t="shared" ca="1" si="353"/>
        <v>5</v>
      </c>
      <c r="FT158" s="15">
        <f t="shared" ca="1" si="353"/>
        <v>6</v>
      </c>
      <c r="FU158" s="15">
        <f t="shared" ca="1" si="353"/>
        <v>7</v>
      </c>
      <c r="FV158" s="15">
        <f t="shared" ca="1" si="353"/>
        <v>8</v>
      </c>
      <c r="FW158" s="15">
        <f t="shared" ca="1" si="353"/>
        <v>9</v>
      </c>
      <c r="FX158" s="15">
        <f t="shared" ca="1" si="353"/>
        <v>10</v>
      </c>
      <c r="FY158" s="15">
        <f t="shared" ca="1" si="353"/>
        <v>11</v>
      </c>
      <c r="FZ158" s="15">
        <f t="shared" ca="1" si="353"/>
        <v>12</v>
      </c>
      <c r="GA158" s="15">
        <f t="shared" ca="1" si="353"/>
        <v>13</v>
      </c>
      <c r="GB158" s="15">
        <f t="shared" ca="1" si="353"/>
        <v>14</v>
      </c>
      <c r="GC158" s="15">
        <f t="shared" ca="1" si="353"/>
        <v>15</v>
      </c>
      <c r="GD158" s="15">
        <f t="shared" ca="1" si="353"/>
        <v>16</v>
      </c>
      <c r="GE158" s="15">
        <f t="shared" ca="1" si="353"/>
        <v>17</v>
      </c>
      <c r="GF158" s="15">
        <f t="shared" ca="1" si="353"/>
        <v>18</v>
      </c>
      <c r="GG158" s="15">
        <f t="shared" ca="1" si="353"/>
        <v>19</v>
      </c>
      <c r="GH158" s="15">
        <f t="shared" ca="1" si="353"/>
        <v>20</v>
      </c>
      <c r="GI158" s="15">
        <f t="shared" ca="1" si="353"/>
        <v>21</v>
      </c>
      <c r="GJ158" s="15">
        <f t="shared" ca="1" si="353"/>
        <v>22</v>
      </c>
      <c r="GK158" s="15">
        <f t="shared" ca="1" si="353"/>
        <v>23</v>
      </c>
      <c r="GL158" s="15">
        <f t="shared" ca="1" si="353"/>
        <v>24</v>
      </c>
      <c r="GM158" s="15">
        <f t="shared" ca="1" si="353"/>
        <v>25</v>
      </c>
      <c r="GN158" s="15">
        <f t="shared" ca="1" si="353"/>
        <v>26</v>
      </c>
      <c r="GO158" s="15">
        <f t="shared" ca="1" si="353"/>
        <v>27</v>
      </c>
      <c r="GP158" s="15">
        <f t="shared" ca="1" si="353"/>
        <v>28</v>
      </c>
      <c r="GQ158" s="15">
        <f t="shared" ca="1" si="353"/>
        <v>29</v>
      </c>
      <c r="GR158" s="15">
        <f t="shared" ca="1" si="353"/>
        <v>30</v>
      </c>
    </row>
    <row r="159" spans="166:200" ht="12.75" customHeight="1" x14ac:dyDescent="0.3">
      <c r="FJ159" s="5"/>
      <c r="FK159" s="5"/>
      <c r="FL159" s="5"/>
      <c r="FM159" s="5"/>
      <c r="FN159" s="5"/>
      <c r="FO159" s="15">
        <f t="array" aca="1" ref="FO159" ca="1">IFERROR(IF(AND(OFFSET($E$20,$FJ158,0)="H",OFFSET(J$19,$FJ158,0)&lt;&gt;"",OFFSET($F104,$FJ158,0)&lt;&gt;"Hybrid - Thrust + 2 connections"),INDEX(Hyb_Tech,MATCH(OFFSET(J$19,$FJ158,0),Hyb_Code,0)),FO$72),FO$72)</f>
        <v>1</v>
      </c>
      <c r="FP159" s="15">
        <f t="array" aca="1" ref="FP159" ca="1">IFERROR(IF(AND(OFFSET($E$20,$FJ158,0)="H",OFFSET(K$19,$FJ158,0)&lt;&gt;"",OFFSET($F104,$FJ158,0)&lt;&gt;"Hybrid - Thrust + 2 connections"),INDEX(Hyb_Tech,MATCH(OFFSET(K$19,$FJ158,0),Hyb_Code,0)),FP$72),FP$72)</f>
        <v>2</v>
      </c>
      <c r="FQ159" s="15">
        <f t="array" aca="1" ref="FQ159" ca="1">IFERROR(IF(AND(OFFSET($E$20,$FJ158,0)="H",OFFSET(L$19,$FJ158,0)&lt;&gt;"",OFFSET($F104,$FJ158,0)&lt;&gt;"Hybrid - Thrust + 2 connections"),INDEX(Hyb_Tech,MATCH(OFFSET(L$19,$FJ158,0),Hyb_Code,0)),FQ$72),FQ$72)</f>
        <v>3</v>
      </c>
      <c r="FR159" s="15">
        <f t="array" aca="1" ref="FR159" ca="1">IFERROR(IF(AND(OFFSET($E$20,$FJ158,0)="H",OFFSET(M$19,$FJ158,0)&lt;&gt;"",OFFSET($F104,$FJ158,0)&lt;&gt;"Hybrid - Thrust + 2 connections"),INDEX(Hyb_Tech,MATCH(OFFSET(M$19,$FJ158,0),Hyb_Code,0)),FR$72),FR$72)</f>
        <v>4</v>
      </c>
      <c r="FS159" s="15">
        <f t="array" aca="1" ref="FS159" ca="1">IFERROR(IF(AND(OFFSET($E$20,$FJ158,0)="H",OFFSET(N$19,$FJ158,0)&lt;&gt;"",OFFSET($F104,$FJ158,0)&lt;&gt;"Hybrid - Thrust + 2 connections"),INDEX(Hyb_Tech,MATCH(OFFSET(N$19,$FJ158,0),Hyb_Code,0)),FS$72),FS$72)</f>
        <v>5</v>
      </c>
      <c r="FT159" s="15">
        <f t="array" aca="1" ref="FT159" ca="1">IFERROR(IF(AND(OFFSET($E$20,$FJ158,0)="H",OFFSET(O$19,$FJ158,0)&lt;&gt;"",OFFSET($F104,$FJ158,0)&lt;&gt;"Hybrid - Thrust + 2 connections"),INDEX(Hyb_Tech,MATCH(OFFSET(O$19,$FJ158,0),Hyb_Code,0)),FT$72),FT$72)</f>
        <v>6</v>
      </c>
      <c r="FU159" s="15">
        <f t="array" aca="1" ref="FU159" ca="1">IFERROR(IF(AND(OFFSET($E$20,$FJ158,0)="H",OFFSET(P$19,$FJ158,0)&lt;&gt;"",OFFSET($F104,$FJ158,0)&lt;&gt;"Hybrid - Thrust + 2 connections"),INDEX(Hyb_Tech,MATCH(OFFSET(P$19,$FJ158,0),Hyb_Code,0)),FU$72),FU$72)</f>
        <v>7</v>
      </c>
      <c r="FV159" s="15">
        <f t="array" aca="1" ref="FV159" ca="1">IFERROR(IF(AND(OFFSET($E$20,$FJ158,0)="H",OFFSET(Q$19,$FJ158,0)&lt;&gt;"",OFFSET($F104,$FJ158,0)&lt;&gt;"Hybrid - Thrust + 2 connections"),INDEX(Hyb_Tech,MATCH(OFFSET(Q$19,$FJ158,0),Hyb_Code,0)),FV$72),FV$72)</f>
        <v>8</v>
      </c>
      <c r="FW159" s="15">
        <f t="array" aca="1" ref="FW159" ca="1">IFERROR(IF(AND(OFFSET($E$20,$FJ158,0)="H",OFFSET(R$19,$FJ158,0)&lt;&gt;"",OFFSET($F104,$FJ158,0)&lt;&gt;"Hybrid - Thrust + 2 connections"),INDEX(Hyb_Tech,MATCH(OFFSET(R$19,$FJ158,0),Hyb_Code,0)),FW$72),FW$72)</f>
        <v>9</v>
      </c>
      <c r="FX159" s="15">
        <f t="array" aca="1" ref="FX159" ca="1">IFERROR(IF(AND(OFFSET($E$20,$FJ158,0)="H",OFFSET(S$19,$FJ158,0)&lt;&gt;"",OFFSET($F104,$FJ158,0)&lt;&gt;"Hybrid - Thrust + 2 connections"),INDEX(Hyb_Tech,MATCH(OFFSET(S$19,$FJ158,0),Hyb_Code,0)),FX$72),FX$72)</f>
        <v>10</v>
      </c>
      <c r="FY159" s="15">
        <f t="array" aca="1" ref="FY159" ca="1">IFERROR(IF(AND(OFFSET($E$20,$FJ158,0)="H",OFFSET(T$19,$FJ158,0)&lt;&gt;"",OFFSET($F104,$FJ158,0)&lt;&gt;"Hybrid - Thrust + 2 connections"),INDEX(Hyb_Tech,MATCH(OFFSET(T$19,$FJ158,0),Hyb_Code,0)),FY$72),FY$72)</f>
        <v>11</v>
      </c>
      <c r="FZ159" s="15">
        <f t="array" aca="1" ref="FZ159" ca="1">IFERROR(IF(AND(OFFSET($E$20,$FJ158,0)="H",OFFSET(U$19,$FJ158,0)&lt;&gt;"",OFFSET($F104,$FJ158,0)&lt;&gt;"Hybrid - Thrust + 2 connections"),INDEX(Hyb_Tech,MATCH(OFFSET(U$19,$FJ158,0),Hyb_Code,0)),FZ$72),FZ$72)</f>
        <v>12</v>
      </c>
      <c r="GA159" s="15">
        <f t="array" aca="1" ref="GA159" ca="1">IFERROR(IF(AND(OFFSET($E$20,$FJ158,0)="H",OFFSET(V$19,$FJ158,0)&lt;&gt;"",OFFSET($F104,$FJ158,0)&lt;&gt;"Hybrid - Thrust + 2 connections"),INDEX(Hyb_Tech,MATCH(OFFSET(V$19,$FJ158,0),Hyb_Code,0)),GA$72),GA$72)</f>
        <v>13</v>
      </c>
      <c r="GB159" s="15">
        <f t="array" aca="1" ref="GB159" ca="1">IFERROR(IF(AND(OFFSET($E$20,$FJ158,0)="H",OFFSET(W$19,$FJ158,0)&lt;&gt;"",OFFSET($F104,$FJ158,0)&lt;&gt;"Hybrid - Thrust + 2 connections"),INDEX(Hyb_Tech,MATCH(OFFSET(W$19,$FJ158,0),Hyb_Code,0)),GB$72),GB$72)</f>
        <v>14</v>
      </c>
      <c r="GC159" s="15">
        <f t="array" aca="1" ref="GC159" ca="1">IFERROR(IF(AND(OFFSET($E$20,$FJ158,0)="H",OFFSET(X$19,$FJ158,0)&lt;&gt;"",OFFSET($F104,$FJ158,0)&lt;&gt;"Hybrid - Thrust + 2 connections"),INDEX(Hyb_Tech,MATCH(OFFSET(X$19,$FJ158,0),Hyb_Code,0)),GC$72),GC$72)</f>
        <v>15</v>
      </c>
      <c r="GD159" s="15">
        <f t="array" aca="1" ref="GD159" ca="1">IFERROR(IF(AND(OFFSET($E$20,$FJ158,0)="H",OFFSET(Y$19,$FJ158,0)&lt;&gt;"",OFFSET($F104,$FJ158,0)&lt;&gt;"Hybrid - Thrust + 2 connections"),INDEX(Hyb_Tech,MATCH(OFFSET(Y$19,$FJ158,0),Hyb_Code,0)),GD$72),GD$72)</f>
        <v>16</v>
      </c>
      <c r="GE159" s="15">
        <f t="array" aca="1" ref="GE159" ca="1">IFERROR(IF(AND(OFFSET($E$20,$FJ158,0)="H",OFFSET(Z$19,$FJ158,0)&lt;&gt;"",OFFSET($F104,$FJ158,0)&lt;&gt;"Hybrid - Thrust + 2 connections"),INDEX(Hyb_Tech,MATCH(OFFSET(Z$19,$FJ158,0),Hyb_Code,0)),GE$72),GE$72)</f>
        <v>17</v>
      </c>
      <c r="GF159" s="15">
        <f t="array" aca="1" ref="GF159" ca="1">IFERROR(IF(AND(OFFSET($E$20,$FJ158,0)="H",OFFSET(AA$19,$FJ158,0)&lt;&gt;"",OFFSET($F104,$FJ158,0)&lt;&gt;"Hybrid - Thrust + 2 connections"),INDEX(Hyb_Tech,MATCH(OFFSET(AA$19,$FJ158,0),Hyb_Code,0)),GF$72),GF$72)</f>
        <v>18</v>
      </c>
      <c r="GG159" s="15">
        <f t="array" aca="1" ref="GG159" ca="1">IFERROR(IF(AND(OFFSET($E$20,$FJ158,0)="H",OFFSET(AB$19,$FJ158,0)&lt;&gt;"",OFFSET($F104,$FJ158,0)&lt;&gt;"Hybrid - Thrust + 2 connections"),INDEX(Hyb_Tech,MATCH(OFFSET(AB$19,$FJ158,0),Hyb_Code,0)),GG$72),GG$72)</f>
        <v>19</v>
      </c>
      <c r="GH159" s="15">
        <f t="array" aca="1" ref="GH159" ca="1">IFERROR(IF(AND(OFFSET($E$20,$FJ158,0)="H",OFFSET(AC$19,$FJ158,0)&lt;&gt;"",OFFSET($F104,$FJ158,0)&lt;&gt;"Hybrid - Thrust + 2 connections"),INDEX(Hyb_Tech,MATCH(OFFSET(AC$19,$FJ158,0),Hyb_Code,0)),GH$72),GH$72)</f>
        <v>20</v>
      </c>
      <c r="GI159" s="15">
        <f t="array" aca="1" ref="GI159" ca="1">IFERROR(IF(AND(OFFSET($E$20,$FJ158,0)="H",OFFSET(AD$19,$FJ158,0)&lt;&gt;"",OFFSET($F104,$FJ158,0)&lt;&gt;"Hybrid - Thrust + 2 connections"),INDEX(Hyb_Tech,MATCH(OFFSET(AD$19,$FJ158,0),Hyb_Code,0)),GI$72),GI$72)</f>
        <v>21</v>
      </c>
      <c r="GJ159" s="15">
        <f t="array" aca="1" ref="GJ159" ca="1">IFERROR(IF(AND(OFFSET($E$20,$FJ158,0)="H",OFFSET(AE$19,$FJ158,0)&lt;&gt;"",OFFSET($F104,$FJ158,0)&lt;&gt;"Hybrid - Thrust + 2 connections"),INDEX(Hyb_Tech,MATCH(OFFSET(AE$19,$FJ158,0),Hyb_Code,0)),GJ$72),GJ$72)</f>
        <v>22</v>
      </c>
      <c r="GK159" s="15">
        <f t="array" aca="1" ref="GK159" ca="1">IFERROR(IF(AND(OFFSET($E$20,$FJ158,0)="H",OFFSET(AF$19,$FJ158,0)&lt;&gt;"",OFFSET($F104,$FJ158,0)&lt;&gt;"Hybrid - Thrust + 2 connections"),INDEX(Hyb_Tech,MATCH(OFFSET(AF$19,$FJ158,0),Hyb_Code,0)),GK$72),GK$72)</f>
        <v>23</v>
      </c>
      <c r="GL159" s="15">
        <f t="array" aca="1" ref="GL159" ca="1">IFERROR(IF(AND(OFFSET($E$20,$FJ158,0)="H",OFFSET(AG$19,$FJ158,0)&lt;&gt;"",OFFSET($F104,$FJ158,0)&lt;&gt;"Hybrid - Thrust + 2 connections"),INDEX(Hyb_Tech,MATCH(OFFSET(AG$19,$FJ158,0),Hyb_Code,0)),GL$72),GL$72)</f>
        <v>24</v>
      </c>
      <c r="GM159" s="15">
        <f t="array" aca="1" ref="GM159" ca="1">IFERROR(IF(AND(OFFSET($E$20,$FJ158,0)="H",OFFSET(AH$19,$FJ158,0)&lt;&gt;"",OFFSET($F104,$FJ158,0)&lt;&gt;"Hybrid - Thrust + 2 connections"),INDEX(Hyb_Tech,MATCH(OFFSET(AH$19,$FJ158,0),Hyb_Code,0)),GM$72),GM$72)</f>
        <v>25</v>
      </c>
      <c r="GN159" s="15">
        <f t="array" aca="1" ref="GN159" ca="1">IFERROR(IF(AND(OFFSET($E$20,$FJ158,0)="H",OFFSET(AI$19,$FJ158,0)&lt;&gt;"",OFFSET($F104,$FJ158,0)&lt;&gt;"Hybrid - Thrust + 2 connections"),INDEX(Hyb_Tech,MATCH(OFFSET(AI$19,$FJ158,0),Hyb_Code,0)),GN$72),GN$72)</f>
        <v>26</v>
      </c>
      <c r="GO159" s="15">
        <f t="array" aca="1" ref="GO159" ca="1">IFERROR(IF(AND(OFFSET($E$20,$FJ158,0)="H",OFFSET(AJ$19,$FJ158,0)&lt;&gt;"",OFFSET($F104,$FJ158,0)&lt;&gt;"Hybrid - Thrust + 2 connections"),INDEX(Hyb_Tech,MATCH(OFFSET(AJ$19,$FJ158,0),Hyb_Code,0)),GO$72),GO$72)</f>
        <v>27</v>
      </c>
      <c r="GP159" s="15">
        <f t="array" aca="1" ref="GP159" ca="1">IFERROR(IF(AND(OFFSET($E$20,$FJ158,0)="H",OFFSET(AK$19,$FJ158,0)&lt;&gt;"",OFFSET($F104,$FJ158,0)&lt;&gt;"Hybrid - Thrust + 2 connections"),INDEX(Hyb_Tech,MATCH(OFFSET(AK$19,$FJ158,0),Hyb_Code,0)),GP$72),GP$72)</f>
        <v>28</v>
      </c>
      <c r="GQ159" s="15">
        <f t="array" aca="1" ref="GQ159" ca="1">IFERROR(IF(AND(OFFSET($E$20,$FJ158,0)="H",OFFSET(AL$19,$FJ158,0)&lt;&gt;"",OFFSET($F104,$FJ158,0)&lt;&gt;"Hybrid - Thrust + 2 connections"),INDEX(Hyb_Tech,MATCH(OFFSET(AL$19,$FJ158,0),Hyb_Code,0)),GQ$72),GQ$72)</f>
        <v>29</v>
      </c>
      <c r="GR159" s="15">
        <f t="array" aca="1" ref="GR159" ca="1">IFERROR(IF(AND(OFFSET($E$20,$FJ158,0)="H",OFFSET(AM$19,$FJ158,0)&lt;&gt;"",OFFSET($F104,$FJ158,0)&lt;&gt;"Hybrid - Thrust + 2 connections"),INDEX(Hyb_Tech,MATCH(OFFSET(AM$19,$FJ158,0),Hyb_Code,0)),GR$72),GR$72)</f>
        <v>30</v>
      </c>
    </row>
    <row r="160" spans="166:200" ht="12.75" customHeight="1" x14ac:dyDescent="0.3">
      <c r="FJ160" s="5"/>
      <c r="FK160" s="5"/>
      <c r="FL160" s="5"/>
      <c r="FM160" s="5" t="str">
        <f ca="1">IFERROR(IF(SUM($FO160:$GR160)&gt;3,OFFSET($FO$73,$FJ158*5/2,MATCH(1,FO160:GR160,0)),""),"")</f>
        <v/>
      </c>
      <c r="FN160" s="15" t="str">
        <f ca="1">IFERROR(IF(LEFT(FM160,1)="C",IF(RIGHT(FM160,1)="+",LEFT(FM160,LEN(FM160)-1),CONCATENATE(FM160,"+")),IF(SUM($FO160:$GR160)&gt;3,OFFSET($FO$73,$FJ158*5/2,MATCH(0.5,FO160:GR160,0)),"")),"")</f>
        <v/>
      </c>
      <c r="FO160" s="15" t="str">
        <f t="array" aca="1" ref="FO160" ca="1">IF(COUNTIF($FO159:$GR159,FO159)&gt;3,INDEX(Hyb_Tech_Value,MATCH(FO158,Hyb_Code,0)),"")</f>
        <v/>
      </c>
      <c r="FP160" s="15" t="str">
        <f t="array" aca="1" ref="FP160" ca="1">IF(COUNTIF($FO159:$GR159,FP159)&gt;3,INDEX(Hyb_Tech_Value,MATCH(FP158,Hyb_Code,0)),"")</f>
        <v/>
      </c>
      <c r="FQ160" s="15" t="str">
        <f t="array" aca="1" ref="FQ160" ca="1">IF(COUNTIF($FO159:$GR159,FQ159)&gt;3,INDEX(Hyb_Tech_Value,MATCH(FQ158,Hyb_Code,0)),"")</f>
        <v/>
      </c>
      <c r="FR160" s="15" t="str">
        <f t="array" aca="1" ref="FR160" ca="1">IF(COUNTIF($FO159:$GR159,FR159)&gt;3,INDEX(Hyb_Tech_Value,MATCH(FR158,Hyb_Code,0)),"")</f>
        <v/>
      </c>
      <c r="FS160" s="15" t="str">
        <f t="array" aca="1" ref="FS160" ca="1">IF(COUNTIF($FO159:$GR159,FS159)&gt;3,INDEX(Hyb_Tech_Value,MATCH(FS158,Hyb_Code,0)),"")</f>
        <v/>
      </c>
      <c r="FT160" s="15" t="str">
        <f t="array" aca="1" ref="FT160" ca="1">IF(COUNTIF($FO159:$GR159,FT159)&gt;3,INDEX(Hyb_Tech_Value,MATCH(FT158,Hyb_Code,0)),"")</f>
        <v/>
      </c>
      <c r="FU160" s="15" t="str">
        <f t="array" aca="1" ref="FU160" ca="1">IF(COUNTIF($FO159:$GR159,FU159)&gt;3,INDEX(Hyb_Tech_Value,MATCH(FU158,Hyb_Code,0)),"")</f>
        <v/>
      </c>
      <c r="FV160" s="15" t="str">
        <f t="array" aca="1" ref="FV160" ca="1">IF(COUNTIF($FO159:$GR159,FV159)&gt;3,INDEX(Hyb_Tech_Value,MATCH(FV158,Hyb_Code,0)),"")</f>
        <v/>
      </c>
      <c r="FW160" s="15" t="str">
        <f t="array" aca="1" ref="FW160" ca="1">IF(COUNTIF($FO159:$GR159,FW159)&gt;3,INDEX(Hyb_Tech_Value,MATCH(FW158,Hyb_Code,0)),"")</f>
        <v/>
      </c>
      <c r="FX160" s="15" t="str">
        <f t="array" aca="1" ref="FX160" ca="1">IF(COUNTIF($FO159:$GR159,FX159)&gt;3,INDEX(Hyb_Tech_Value,MATCH(FX158,Hyb_Code,0)),"")</f>
        <v/>
      </c>
      <c r="FY160" s="15" t="str">
        <f t="array" aca="1" ref="FY160" ca="1">IF(COUNTIF($FO159:$GR159,FY159)&gt;3,INDEX(Hyb_Tech_Value,MATCH(FY158,Hyb_Code,0)),"")</f>
        <v/>
      </c>
      <c r="FZ160" s="15" t="str">
        <f t="array" aca="1" ref="FZ160" ca="1">IF(COUNTIF($FO159:$GR159,FZ159)&gt;3,INDEX(Hyb_Tech_Value,MATCH(FZ158,Hyb_Code,0)),"")</f>
        <v/>
      </c>
      <c r="GA160" s="15" t="str">
        <f t="array" aca="1" ref="GA160" ca="1">IF(COUNTIF($FO159:$GR159,GA159)&gt;3,INDEX(Hyb_Tech_Value,MATCH(GA158,Hyb_Code,0)),"")</f>
        <v/>
      </c>
      <c r="GB160" s="15" t="str">
        <f t="array" aca="1" ref="GB160" ca="1">IF(COUNTIF($FO159:$GR159,GB159)&gt;3,INDEX(Hyb_Tech_Value,MATCH(GB158,Hyb_Code,0)),"")</f>
        <v/>
      </c>
      <c r="GC160" s="15" t="str">
        <f t="array" aca="1" ref="GC160" ca="1">IF(COUNTIF($FO159:$GR159,GC159)&gt;3,INDEX(Hyb_Tech_Value,MATCH(GC158,Hyb_Code,0)),"")</f>
        <v/>
      </c>
      <c r="GD160" s="15" t="str">
        <f t="array" aca="1" ref="GD160" ca="1">IF(COUNTIF($FO159:$GR159,GD159)&gt;3,INDEX(Hyb_Tech_Value,MATCH(GD158,Hyb_Code,0)),"")</f>
        <v/>
      </c>
      <c r="GE160" s="15" t="str">
        <f t="array" aca="1" ref="GE160" ca="1">IF(COUNTIF($FO159:$GR159,GE159)&gt;3,INDEX(Hyb_Tech_Value,MATCH(GE158,Hyb_Code,0)),"")</f>
        <v/>
      </c>
      <c r="GF160" s="15" t="str">
        <f t="array" aca="1" ref="GF160" ca="1">IF(COUNTIF($FO159:$GR159,GF159)&gt;3,INDEX(Hyb_Tech_Value,MATCH(GF158,Hyb_Code,0)),"")</f>
        <v/>
      </c>
      <c r="GG160" s="15" t="str">
        <f t="array" aca="1" ref="GG160" ca="1">IF(COUNTIF($FO159:$GR159,GG159)&gt;3,INDEX(Hyb_Tech_Value,MATCH(GG158,Hyb_Code,0)),"")</f>
        <v/>
      </c>
      <c r="GH160" s="15" t="str">
        <f t="array" aca="1" ref="GH160" ca="1">IF(COUNTIF($FO159:$GR159,GH159)&gt;3,INDEX(Hyb_Tech_Value,MATCH(GH158,Hyb_Code,0)),"")</f>
        <v/>
      </c>
      <c r="GI160" s="15" t="str">
        <f t="array" aca="1" ref="GI160" ca="1">IF(COUNTIF($FO159:$GR159,GI159)&gt;3,INDEX(Hyb_Tech_Value,MATCH(GI158,Hyb_Code,0)),"")</f>
        <v/>
      </c>
      <c r="GJ160" s="15" t="str">
        <f t="array" aca="1" ref="GJ160" ca="1">IF(COUNTIF($FO159:$GR159,GJ159)&gt;3,INDEX(Hyb_Tech_Value,MATCH(GJ158,Hyb_Code,0)),"")</f>
        <v/>
      </c>
      <c r="GK160" s="15" t="str">
        <f t="array" aca="1" ref="GK160" ca="1">IF(COUNTIF($FO159:$GR159,GK159)&gt;3,INDEX(Hyb_Tech_Value,MATCH(GK158,Hyb_Code,0)),"")</f>
        <v/>
      </c>
      <c r="GL160" s="15" t="str">
        <f t="array" aca="1" ref="GL160" ca="1">IF(COUNTIF($FO159:$GR159,GL159)&gt;3,INDEX(Hyb_Tech_Value,MATCH(GL158,Hyb_Code,0)),"")</f>
        <v/>
      </c>
      <c r="GM160" s="15" t="str">
        <f t="array" aca="1" ref="GM160" ca="1">IF(COUNTIF($FO159:$GR159,GM159)&gt;3,INDEX(Hyb_Tech_Value,MATCH(GM158,Hyb_Code,0)),"")</f>
        <v/>
      </c>
      <c r="GN160" s="15" t="str">
        <f t="array" aca="1" ref="GN160" ca="1">IF(COUNTIF($FO159:$GR159,GN159)&gt;3,INDEX(Hyb_Tech_Value,MATCH(GN158,Hyb_Code,0)),"")</f>
        <v/>
      </c>
      <c r="GO160" s="15" t="str">
        <f t="array" aca="1" ref="GO160" ca="1">IF(COUNTIF($FO159:$GR159,GO159)&gt;3,INDEX(Hyb_Tech_Value,MATCH(GO158,Hyb_Code,0)),"")</f>
        <v/>
      </c>
      <c r="GP160" s="15" t="str">
        <f t="array" aca="1" ref="GP160" ca="1">IF(COUNTIF($FO159:$GR159,GP159)&gt;3,INDEX(Hyb_Tech_Value,MATCH(GP158,Hyb_Code,0)),"")</f>
        <v/>
      </c>
      <c r="GQ160" s="15" t="str">
        <f t="array" aca="1" ref="GQ160" ca="1">IF(COUNTIF($FO159:$GR159,GQ159)&gt;3,INDEX(Hyb_Tech_Value,MATCH(GQ158,Hyb_Code,0)),"")</f>
        <v/>
      </c>
      <c r="GR160" s="15" t="str">
        <f t="array" aca="1" ref="GR160" ca="1">IF(COUNTIF($FO159:$GR159,GR159)&gt;3,INDEX(Hyb_Tech_Value,MATCH(GR158,Hyb_Code,0)),"")</f>
        <v/>
      </c>
    </row>
    <row r="163" spans="166:200" ht="12.75" customHeight="1" x14ac:dyDescent="0.3">
      <c r="FJ163" s="5">
        <v>36</v>
      </c>
      <c r="FK163" s="5"/>
      <c r="FL163" s="5"/>
      <c r="FM163" s="15"/>
      <c r="FN163" s="15"/>
      <c r="FO163" s="15">
        <f t="shared" ref="FO163:GR163" ca="1" si="354">IFERROR(IF(AND(OFFSET($E$20,$FJ163,0)="H",OFFSET(J$19,$FJ163,0)&lt;&gt;""),UPPER(OFFSET(J$19,$FJ163,0)),FO$18),FO$18)</f>
        <v>1</v>
      </c>
      <c r="FP163" s="15">
        <f t="shared" ca="1" si="354"/>
        <v>2</v>
      </c>
      <c r="FQ163" s="15">
        <f t="shared" ca="1" si="354"/>
        <v>3</v>
      </c>
      <c r="FR163" s="15">
        <f t="shared" ca="1" si="354"/>
        <v>4</v>
      </c>
      <c r="FS163" s="15">
        <f t="shared" ca="1" si="354"/>
        <v>5</v>
      </c>
      <c r="FT163" s="15">
        <f t="shared" ca="1" si="354"/>
        <v>6</v>
      </c>
      <c r="FU163" s="15">
        <f t="shared" ca="1" si="354"/>
        <v>7</v>
      </c>
      <c r="FV163" s="15">
        <f t="shared" ca="1" si="354"/>
        <v>8</v>
      </c>
      <c r="FW163" s="15">
        <f t="shared" ca="1" si="354"/>
        <v>9</v>
      </c>
      <c r="FX163" s="15">
        <f t="shared" ca="1" si="354"/>
        <v>10</v>
      </c>
      <c r="FY163" s="15">
        <f t="shared" ca="1" si="354"/>
        <v>11</v>
      </c>
      <c r="FZ163" s="15">
        <f t="shared" ca="1" si="354"/>
        <v>12</v>
      </c>
      <c r="GA163" s="15">
        <f t="shared" ca="1" si="354"/>
        <v>13</v>
      </c>
      <c r="GB163" s="15">
        <f t="shared" ca="1" si="354"/>
        <v>14</v>
      </c>
      <c r="GC163" s="15">
        <f t="shared" ca="1" si="354"/>
        <v>15</v>
      </c>
      <c r="GD163" s="15">
        <f t="shared" ca="1" si="354"/>
        <v>16</v>
      </c>
      <c r="GE163" s="15">
        <f t="shared" ca="1" si="354"/>
        <v>17</v>
      </c>
      <c r="GF163" s="15">
        <f t="shared" ca="1" si="354"/>
        <v>18</v>
      </c>
      <c r="GG163" s="15">
        <f t="shared" ca="1" si="354"/>
        <v>19</v>
      </c>
      <c r="GH163" s="15">
        <f t="shared" ca="1" si="354"/>
        <v>20</v>
      </c>
      <c r="GI163" s="15">
        <f t="shared" ca="1" si="354"/>
        <v>21</v>
      </c>
      <c r="GJ163" s="15">
        <f t="shared" ca="1" si="354"/>
        <v>22</v>
      </c>
      <c r="GK163" s="15">
        <f t="shared" ca="1" si="354"/>
        <v>23</v>
      </c>
      <c r="GL163" s="15">
        <f t="shared" ca="1" si="354"/>
        <v>24</v>
      </c>
      <c r="GM163" s="15">
        <f t="shared" ca="1" si="354"/>
        <v>25</v>
      </c>
      <c r="GN163" s="15">
        <f t="shared" ca="1" si="354"/>
        <v>26</v>
      </c>
      <c r="GO163" s="15">
        <f t="shared" ca="1" si="354"/>
        <v>27</v>
      </c>
      <c r="GP163" s="15">
        <f t="shared" ca="1" si="354"/>
        <v>28</v>
      </c>
      <c r="GQ163" s="15">
        <f t="shared" ca="1" si="354"/>
        <v>29</v>
      </c>
      <c r="GR163" s="15">
        <f t="shared" ca="1" si="354"/>
        <v>30</v>
      </c>
    </row>
    <row r="164" spans="166:200" ht="12.75" customHeight="1" x14ac:dyDescent="0.3">
      <c r="FJ164" s="5"/>
      <c r="FK164" s="5"/>
      <c r="FL164" s="5"/>
      <c r="FM164" s="5"/>
      <c r="FN164" s="5"/>
      <c r="FO164" s="15">
        <f t="array" aca="1" ref="FO164" ca="1">IFERROR(IF(AND(OFFSET($E$20,$FJ163,0)="H",OFFSET(J$19,$FJ163,0)&lt;&gt;"",OFFSET($F109,$FJ163,0)&lt;&gt;"Hybrid - Thrust + 2 connections"),INDEX(Hyb_Tech,MATCH(OFFSET(J$19,$FJ163,0),Hyb_Code,0)),FO$72),FO$72)</f>
        <v>1</v>
      </c>
      <c r="FP164" s="15">
        <f t="array" aca="1" ref="FP164" ca="1">IFERROR(IF(AND(OFFSET($E$20,$FJ163,0)="H",OFFSET(K$19,$FJ163,0)&lt;&gt;"",OFFSET($F109,$FJ163,0)&lt;&gt;"Hybrid - Thrust + 2 connections"),INDEX(Hyb_Tech,MATCH(OFFSET(K$19,$FJ163,0),Hyb_Code,0)),FP$72),FP$72)</f>
        <v>2</v>
      </c>
      <c r="FQ164" s="15">
        <f t="array" aca="1" ref="FQ164" ca="1">IFERROR(IF(AND(OFFSET($E$20,$FJ163,0)="H",OFFSET(L$19,$FJ163,0)&lt;&gt;"",OFFSET($F109,$FJ163,0)&lt;&gt;"Hybrid - Thrust + 2 connections"),INDEX(Hyb_Tech,MATCH(OFFSET(L$19,$FJ163,0),Hyb_Code,0)),FQ$72),FQ$72)</f>
        <v>3</v>
      </c>
      <c r="FR164" s="15">
        <f t="array" aca="1" ref="FR164" ca="1">IFERROR(IF(AND(OFFSET($E$20,$FJ163,0)="H",OFFSET(M$19,$FJ163,0)&lt;&gt;"",OFFSET($F109,$FJ163,0)&lt;&gt;"Hybrid - Thrust + 2 connections"),INDEX(Hyb_Tech,MATCH(OFFSET(M$19,$FJ163,0),Hyb_Code,0)),FR$72),FR$72)</f>
        <v>4</v>
      </c>
      <c r="FS164" s="15">
        <f t="array" aca="1" ref="FS164" ca="1">IFERROR(IF(AND(OFFSET($E$20,$FJ163,0)="H",OFFSET(N$19,$FJ163,0)&lt;&gt;"",OFFSET($F109,$FJ163,0)&lt;&gt;"Hybrid - Thrust + 2 connections"),INDEX(Hyb_Tech,MATCH(OFFSET(N$19,$FJ163,0),Hyb_Code,0)),FS$72),FS$72)</f>
        <v>5</v>
      </c>
      <c r="FT164" s="15">
        <f t="array" aca="1" ref="FT164" ca="1">IFERROR(IF(AND(OFFSET($E$20,$FJ163,0)="H",OFFSET(O$19,$FJ163,0)&lt;&gt;"",OFFSET($F109,$FJ163,0)&lt;&gt;"Hybrid - Thrust + 2 connections"),INDEX(Hyb_Tech,MATCH(OFFSET(O$19,$FJ163,0),Hyb_Code,0)),FT$72),FT$72)</f>
        <v>6</v>
      </c>
      <c r="FU164" s="15">
        <f t="array" aca="1" ref="FU164" ca="1">IFERROR(IF(AND(OFFSET($E$20,$FJ163,0)="H",OFFSET(P$19,$FJ163,0)&lt;&gt;"",OFFSET($F109,$FJ163,0)&lt;&gt;"Hybrid - Thrust + 2 connections"),INDEX(Hyb_Tech,MATCH(OFFSET(P$19,$FJ163,0),Hyb_Code,0)),FU$72),FU$72)</f>
        <v>7</v>
      </c>
      <c r="FV164" s="15">
        <f t="array" aca="1" ref="FV164" ca="1">IFERROR(IF(AND(OFFSET($E$20,$FJ163,0)="H",OFFSET(Q$19,$FJ163,0)&lt;&gt;"",OFFSET($F109,$FJ163,0)&lt;&gt;"Hybrid - Thrust + 2 connections"),INDEX(Hyb_Tech,MATCH(OFFSET(Q$19,$FJ163,0),Hyb_Code,0)),FV$72),FV$72)</f>
        <v>8</v>
      </c>
      <c r="FW164" s="15">
        <f t="array" aca="1" ref="FW164" ca="1">IFERROR(IF(AND(OFFSET($E$20,$FJ163,0)="H",OFFSET(R$19,$FJ163,0)&lt;&gt;"",OFFSET($F109,$FJ163,0)&lt;&gt;"Hybrid - Thrust + 2 connections"),INDEX(Hyb_Tech,MATCH(OFFSET(R$19,$FJ163,0),Hyb_Code,0)),FW$72),FW$72)</f>
        <v>9</v>
      </c>
      <c r="FX164" s="15">
        <f t="array" aca="1" ref="FX164" ca="1">IFERROR(IF(AND(OFFSET($E$20,$FJ163,0)="H",OFFSET(S$19,$FJ163,0)&lt;&gt;"",OFFSET($F109,$FJ163,0)&lt;&gt;"Hybrid - Thrust + 2 connections"),INDEX(Hyb_Tech,MATCH(OFFSET(S$19,$FJ163,0),Hyb_Code,0)),FX$72),FX$72)</f>
        <v>10</v>
      </c>
      <c r="FY164" s="15">
        <f t="array" aca="1" ref="FY164" ca="1">IFERROR(IF(AND(OFFSET($E$20,$FJ163,0)="H",OFFSET(T$19,$FJ163,0)&lt;&gt;"",OFFSET($F109,$FJ163,0)&lt;&gt;"Hybrid - Thrust + 2 connections"),INDEX(Hyb_Tech,MATCH(OFFSET(T$19,$FJ163,0),Hyb_Code,0)),FY$72),FY$72)</f>
        <v>11</v>
      </c>
      <c r="FZ164" s="15">
        <f t="array" aca="1" ref="FZ164" ca="1">IFERROR(IF(AND(OFFSET($E$20,$FJ163,0)="H",OFFSET(U$19,$FJ163,0)&lt;&gt;"",OFFSET($F109,$FJ163,0)&lt;&gt;"Hybrid - Thrust + 2 connections"),INDEX(Hyb_Tech,MATCH(OFFSET(U$19,$FJ163,0),Hyb_Code,0)),FZ$72),FZ$72)</f>
        <v>12</v>
      </c>
      <c r="GA164" s="15">
        <f t="array" aca="1" ref="GA164" ca="1">IFERROR(IF(AND(OFFSET($E$20,$FJ163,0)="H",OFFSET(V$19,$FJ163,0)&lt;&gt;"",OFFSET($F109,$FJ163,0)&lt;&gt;"Hybrid - Thrust + 2 connections"),INDEX(Hyb_Tech,MATCH(OFFSET(V$19,$FJ163,0),Hyb_Code,0)),GA$72),GA$72)</f>
        <v>13</v>
      </c>
      <c r="GB164" s="15">
        <f t="array" aca="1" ref="GB164" ca="1">IFERROR(IF(AND(OFFSET($E$20,$FJ163,0)="H",OFFSET(W$19,$FJ163,0)&lt;&gt;"",OFFSET($F109,$FJ163,0)&lt;&gt;"Hybrid - Thrust + 2 connections"),INDEX(Hyb_Tech,MATCH(OFFSET(W$19,$FJ163,0),Hyb_Code,0)),GB$72),GB$72)</f>
        <v>14</v>
      </c>
      <c r="GC164" s="15">
        <f t="array" aca="1" ref="GC164" ca="1">IFERROR(IF(AND(OFFSET($E$20,$FJ163,0)="H",OFFSET(X$19,$FJ163,0)&lt;&gt;"",OFFSET($F109,$FJ163,0)&lt;&gt;"Hybrid - Thrust + 2 connections"),INDEX(Hyb_Tech,MATCH(OFFSET(X$19,$FJ163,0),Hyb_Code,0)),GC$72),GC$72)</f>
        <v>15</v>
      </c>
      <c r="GD164" s="15">
        <f t="array" aca="1" ref="GD164" ca="1">IFERROR(IF(AND(OFFSET($E$20,$FJ163,0)="H",OFFSET(Y$19,$FJ163,0)&lt;&gt;"",OFFSET($F109,$FJ163,0)&lt;&gt;"Hybrid - Thrust + 2 connections"),INDEX(Hyb_Tech,MATCH(OFFSET(Y$19,$FJ163,0),Hyb_Code,0)),GD$72),GD$72)</f>
        <v>16</v>
      </c>
      <c r="GE164" s="15">
        <f t="array" aca="1" ref="GE164" ca="1">IFERROR(IF(AND(OFFSET($E$20,$FJ163,0)="H",OFFSET(Z$19,$FJ163,0)&lt;&gt;"",OFFSET($F109,$FJ163,0)&lt;&gt;"Hybrid - Thrust + 2 connections"),INDEX(Hyb_Tech,MATCH(OFFSET(Z$19,$FJ163,0),Hyb_Code,0)),GE$72),GE$72)</f>
        <v>17</v>
      </c>
      <c r="GF164" s="15">
        <f t="array" aca="1" ref="GF164" ca="1">IFERROR(IF(AND(OFFSET($E$20,$FJ163,0)="H",OFFSET(AA$19,$FJ163,0)&lt;&gt;"",OFFSET($F109,$FJ163,0)&lt;&gt;"Hybrid - Thrust + 2 connections"),INDEX(Hyb_Tech,MATCH(OFFSET(AA$19,$FJ163,0),Hyb_Code,0)),GF$72),GF$72)</f>
        <v>18</v>
      </c>
      <c r="GG164" s="15">
        <f t="array" aca="1" ref="GG164" ca="1">IFERROR(IF(AND(OFFSET($E$20,$FJ163,0)="H",OFFSET(AB$19,$FJ163,0)&lt;&gt;"",OFFSET($F109,$FJ163,0)&lt;&gt;"Hybrid - Thrust + 2 connections"),INDEX(Hyb_Tech,MATCH(OFFSET(AB$19,$FJ163,0),Hyb_Code,0)),GG$72),GG$72)</f>
        <v>19</v>
      </c>
      <c r="GH164" s="15">
        <f t="array" aca="1" ref="GH164" ca="1">IFERROR(IF(AND(OFFSET($E$20,$FJ163,0)="H",OFFSET(AC$19,$FJ163,0)&lt;&gt;"",OFFSET($F109,$FJ163,0)&lt;&gt;"Hybrid - Thrust + 2 connections"),INDEX(Hyb_Tech,MATCH(OFFSET(AC$19,$FJ163,0),Hyb_Code,0)),GH$72),GH$72)</f>
        <v>20</v>
      </c>
      <c r="GI164" s="15">
        <f t="array" aca="1" ref="GI164" ca="1">IFERROR(IF(AND(OFFSET($E$20,$FJ163,0)="H",OFFSET(AD$19,$FJ163,0)&lt;&gt;"",OFFSET($F109,$FJ163,0)&lt;&gt;"Hybrid - Thrust + 2 connections"),INDEX(Hyb_Tech,MATCH(OFFSET(AD$19,$FJ163,0),Hyb_Code,0)),GI$72),GI$72)</f>
        <v>21</v>
      </c>
      <c r="GJ164" s="15">
        <f t="array" aca="1" ref="GJ164" ca="1">IFERROR(IF(AND(OFFSET($E$20,$FJ163,0)="H",OFFSET(AE$19,$FJ163,0)&lt;&gt;"",OFFSET($F109,$FJ163,0)&lt;&gt;"Hybrid - Thrust + 2 connections"),INDEX(Hyb_Tech,MATCH(OFFSET(AE$19,$FJ163,0),Hyb_Code,0)),GJ$72),GJ$72)</f>
        <v>22</v>
      </c>
      <c r="GK164" s="15">
        <f t="array" aca="1" ref="GK164" ca="1">IFERROR(IF(AND(OFFSET($E$20,$FJ163,0)="H",OFFSET(AF$19,$FJ163,0)&lt;&gt;"",OFFSET($F109,$FJ163,0)&lt;&gt;"Hybrid - Thrust + 2 connections"),INDEX(Hyb_Tech,MATCH(OFFSET(AF$19,$FJ163,0),Hyb_Code,0)),GK$72),GK$72)</f>
        <v>23</v>
      </c>
      <c r="GL164" s="15">
        <f t="array" aca="1" ref="GL164" ca="1">IFERROR(IF(AND(OFFSET($E$20,$FJ163,0)="H",OFFSET(AG$19,$FJ163,0)&lt;&gt;"",OFFSET($F109,$FJ163,0)&lt;&gt;"Hybrid - Thrust + 2 connections"),INDEX(Hyb_Tech,MATCH(OFFSET(AG$19,$FJ163,0),Hyb_Code,0)),GL$72),GL$72)</f>
        <v>24</v>
      </c>
      <c r="GM164" s="15">
        <f t="array" aca="1" ref="GM164" ca="1">IFERROR(IF(AND(OFFSET($E$20,$FJ163,0)="H",OFFSET(AH$19,$FJ163,0)&lt;&gt;"",OFFSET($F109,$FJ163,0)&lt;&gt;"Hybrid - Thrust + 2 connections"),INDEX(Hyb_Tech,MATCH(OFFSET(AH$19,$FJ163,0),Hyb_Code,0)),GM$72),GM$72)</f>
        <v>25</v>
      </c>
      <c r="GN164" s="15">
        <f t="array" aca="1" ref="GN164" ca="1">IFERROR(IF(AND(OFFSET($E$20,$FJ163,0)="H",OFFSET(AI$19,$FJ163,0)&lt;&gt;"",OFFSET($F109,$FJ163,0)&lt;&gt;"Hybrid - Thrust + 2 connections"),INDEX(Hyb_Tech,MATCH(OFFSET(AI$19,$FJ163,0),Hyb_Code,0)),GN$72),GN$72)</f>
        <v>26</v>
      </c>
      <c r="GO164" s="15">
        <f t="array" aca="1" ref="GO164" ca="1">IFERROR(IF(AND(OFFSET($E$20,$FJ163,0)="H",OFFSET(AJ$19,$FJ163,0)&lt;&gt;"",OFFSET($F109,$FJ163,0)&lt;&gt;"Hybrid - Thrust + 2 connections"),INDEX(Hyb_Tech,MATCH(OFFSET(AJ$19,$FJ163,0),Hyb_Code,0)),GO$72),GO$72)</f>
        <v>27</v>
      </c>
      <c r="GP164" s="15">
        <f t="array" aca="1" ref="GP164" ca="1">IFERROR(IF(AND(OFFSET($E$20,$FJ163,0)="H",OFFSET(AK$19,$FJ163,0)&lt;&gt;"",OFFSET($F109,$FJ163,0)&lt;&gt;"Hybrid - Thrust + 2 connections"),INDEX(Hyb_Tech,MATCH(OFFSET(AK$19,$FJ163,0),Hyb_Code,0)),GP$72),GP$72)</f>
        <v>28</v>
      </c>
      <c r="GQ164" s="15">
        <f t="array" aca="1" ref="GQ164" ca="1">IFERROR(IF(AND(OFFSET($E$20,$FJ163,0)="H",OFFSET(AL$19,$FJ163,0)&lt;&gt;"",OFFSET($F109,$FJ163,0)&lt;&gt;"Hybrid - Thrust + 2 connections"),INDEX(Hyb_Tech,MATCH(OFFSET(AL$19,$FJ163,0),Hyb_Code,0)),GQ$72),GQ$72)</f>
        <v>29</v>
      </c>
      <c r="GR164" s="15">
        <f t="array" aca="1" ref="GR164" ca="1">IFERROR(IF(AND(OFFSET($E$20,$FJ163,0)="H",OFFSET(AM$19,$FJ163,0)&lt;&gt;"",OFFSET($F109,$FJ163,0)&lt;&gt;"Hybrid - Thrust + 2 connections"),INDEX(Hyb_Tech,MATCH(OFFSET(AM$19,$FJ163,0),Hyb_Code,0)),GR$72),GR$72)</f>
        <v>30</v>
      </c>
    </row>
    <row r="165" spans="166:200" ht="12.75" customHeight="1" x14ac:dyDescent="0.3">
      <c r="FJ165" s="5"/>
      <c r="FK165" s="5"/>
      <c r="FL165" s="5"/>
      <c r="FM165" s="5" t="str">
        <f ca="1">IFERROR(IF(SUM($FO165:$GR165)&gt;3,OFFSET($FO$73,$FJ163*5/2,MATCH(1,FO165:GR165,0)),""),"")</f>
        <v/>
      </c>
      <c r="FN165" s="15" t="str">
        <f ca="1">IFERROR(IF(LEFT(FM165,1)="C",IF(RIGHT(FM165,1)="+",LEFT(FM165,LEN(FM165)-1),CONCATENATE(FM165,"+")),IF(SUM($FO165:$GR165)&gt;3,OFFSET($FO$73,$FJ163*5/2,MATCH(0.5,FO165:GR165,0)),"")),"")</f>
        <v/>
      </c>
      <c r="FO165" s="15" t="str">
        <f t="array" aca="1" ref="FO165" ca="1">IF(COUNTIF($FO164:$GR164,FO164)&gt;3,INDEX(Hyb_Tech_Value,MATCH(FO163,Hyb_Code,0)),"")</f>
        <v/>
      </c>
      <c r="FP165" s="15" t="str">
        <f t="array" aca="1" ref="FP165" ca="1">IF(COUNTIF($FO164:$GR164,FP164)&gt;3,INDEX(Hyb_Tech_Value,MATCH(FP163,Hyb_Code,0)),"")</f>
        <v/>
      </c>
      <c r="FQ165" s="15" t="str">
        <f t="array" aca="1" ref="FQ165" ca="1">IF(COUNTIF($FO164:$GR164,FQ164)&gt;3,INDEX(Hyb_Tech_Value,MATCH(FQ163,Hyb_Code,0)),"")</f>
        <v/>
      </c>
      <c r="FR165" s="15" t="str">
        <f t="array" aca="1" ref="FR165" ca="1">IF(COUNTIF($FO164:$GR164,FR164)&gt;3,INDEX(Hyb_Tech_Value,MATCH(FR163,Hyb_Code,0)),"")</f>
        <v/>
      </c>
      <c r="FS165" s="15" t="str">
        <f t="array" aca="1" ref="FS165" ca="1">IF(COUNTIF($FO164:$GR164,FS164)&gt;3,INDEX(Hyb_Tech_Value,MATCH(FS163,Hyb_Code,0)),"")</f>
        <v/>
      </c>
      <c r="FT165" s="15" t="str">
        <f t="array" aca="1" ref="FT165" ca="1">IF(COUNTIF($FO164:$GR164,FT164)&gt;3,INDEX(Hyb_Tech_Value,MATCH(FT163,Hyb_Code,0)),"")</f>
        <v/>
      </c>
      <c r="FU165" s="15" t="str">
        <f t="array" aca="1" ref="FU165" ca="1">IF(COUNTIF($FO164:$GR164,FU164)&gt;3,INDEX(Hyb_Tech_Value,MATCH(FU163,Hyb_Code,0)),"")</f>
        <v/>
      </c>
      <c r="FV165" s="15" t="str">
        <f t="array" aca="1" ref="FV165" ca="1">IF(COUNTIF($FO164:$GR164,FV164)&gt;3,INDEX(Hyb_Tech_Value,MATCH(FV163,Hyb_Code,0)),"")</f>
        <v/>
      </c>
      <c r="FW165" s="15" t="str">
        <f t="array" aca="1" ref="FW165" ca="1">IF(COUNTIF($FO164:$GR164,FW164)&gt;3,INDEX(Hyb_Tech_Value,MATCH(FW163,Hyb_Code,0)),"")</f>
        <v/>
      </c>
      <c r="FX165" s="15" t="str">
        <f t="array" aca="1" ref="FX165" ca="1">IF(COUNTIF($FO164:$GR164,FX164)&gt;3,INDEX(Hyb_Tech_Value,MATCH(FX163,Hyb_Code,0)),"")</f>
        <v/>
      </c>
      <c r="FY165" s="15" t="str">
        <f t="array" aca="1" ref="FY165" ca="1">IF(COUNTIF($FO164:$GR164,FY164)&gt;3,INDEX(Hyb_Tech_Value,MATCH(FY163,Hyb_Code,0)),"")</f>
        <v/>
      </c>
      <c r="FZ165" s="15" t="str">
        <f t="array" aca="1" ref="FZ165" ca="1">IF(COUNTIF($FO164:$GR164,FZ164)&gt;3,INDEX(Hyb_Tech_Value,MATCH(FZ163,Hyb_Code,0)),"")</f>
        <v/>
      </c>
      <c r="GA165" s="15" t="str">
        <f t="array" aca="1" ref="GA165" ca="1">IF(COUNTIF($FO164:$GR164,GA164)&gt;3,INDEX(Hyb_Tech_Value,MATCH(GA163,Hyb_Code,0)),"")</f>
        <v/>
      </c>
      <c r="GB165" s="15" t="str">
        <f t="array" aca="1" ref="GB165" ca="1">IF(COUNTIF($FO164:$GR164,GB164)&gt;3,INDEX(Hyb_Tech_Value,MATCH(GB163,Hyb_Code,0)),"")</f>
        <v/>
      </c>
      <c r="GC165" s="15" t="str">
        <f t="array" aca="1" ref="GC165" ca="1">IF(COUNTIF($FO164:$GR164,GC164)&gt;3,INDEX(Hyb_Tech_Value,MATCH(GC163,Hyb_Code,0)),"")</f>
        <v/>
      </c>
      <c r="GD165" s="15" t="str">
        <f t="array" aca="1" ref="GD165" ca="1">IF(COUNTIF($FO164:$GR164,GD164)&gt;3,INDEX(Hyb_Tech_Value,MATCH(GD163,Hyb_Code,0)),"")</f>
        <v/>
      </c>
      <c r="GE165" s="15" t="str">
        <f t="array" aca="1" ref="GE165" ca="1">IF(COUNTIF($FO164:$GR164,GE164)&gt;3,INDEX(Hyb_Tech_Value,MATCH(GE163,Hyb_Code,0)),"")</f>
        <v/>
      </c>
      <c r="GF165" s="15" t="str">
        <f t="array" aca="1" ref="GF165" ca="1">IF(COUNTIF($FO164:$GR164,GF164)&gt;3,INDEX(Hyb_Tech_Value,MATCH(GF163,Hyb_Code,0)),"")</f>
        <v/>
      </c>
      <c r="GG165" s="15" t="str">
        <f t="array" aca="1" ref="GG165" ca="1">IF(COUNTIF($FO164:$GR164,GG164)&gt;3,INDEX(Hyb_Tech_Value,MATCH(GG163,Hyb_Code,0)),"")</f>
        <v/>
      </c>
      <c r="GH165" s="15" t="str">
        <f t="array" aca="1" ref="GH165" ca="1">IF(COUNTIF($FO164:$GR164,GH164)&gt;3,INDEX(Hyb_Tech_Value,MATCH(GH163,Hyb_Code,0)),"")</f>
        <v/>
      </c>
      <c r="GI165" s="15" t="str">
        <f t="array" aca="1" ref="GI165" ca="1">IF(COUNTIF($FO164:$GR164,GI164)&gt;3,INDEX(Hyb_Tech_Value,MATCH(GI163,Hyb_Code,0)),"")</f>
        <v/>
      </c>
      <c r="GJ165" s="15" t="str">
        <f t="array" aca="1" ref="GJ165" ca="1">IF(COUNTIF($FO164:$GR164,GJ164)&gt;3,INDEX(Hyb_Tech_Value,MATCH(GJ163,Hyb_Code,0)),"")</f>
        <v/>
      </c>
      <c r="GK165" s="15" t="str">
        <f t="array" aca="1" ref="GK165" ca="1">IF(COUNTIF($FO164:$GR164,GK164)&gt;3,INDEX(Hyb_Tech_Value,MATCH(GK163,Hyb_Code,0)),"")</f>
        <v/>
      </c>
      <c r="GL165" s="15" t="str">
        <f t="array" aca="1" ref="GL165" ca="1">IF(COUNTIF($FO164:$GR164,GL164)&gt;3,INDEX(Hyb_Tech_Value,MATCH(GL163,Hyb_Code,0)),"")</f>
        <v/>
      </c>
      <c r="GM165" s="15" t="str">
        <f t="array" aca="1" ref="GM165" ca="1">IF(COUNTIF($FO164:$GR164,GM164)&gt;3,INDEX(Hyb_Tech_Value,MATCH(GM163,Hyb_Code,0)),"")</f>
        <v/>
      </c>
      <c r="GN165" s="15" t="str">
        <f t="array" aca="1" ref="GN165" ca="1">IF(COUNTIF($FO164:$GR164,GN164)&gt;3,INDEX(Hyb_Tech_Value,MATCH(GN163,Hyb_Code,0)),"")</f>
        <v/>
      </c>
      <c r="GO165" s="15" t="str">
        <f t="array" aca="1" ref="GO165" ca="1">IF(COUNTIF($FO164:$GR164,GO164)&gt;3,INDEX(Hyb_Tech_Value,MATCH(GO163,Hyb_Code,0)),"")</f>
        <v/>
      </c>
      <c r="GP165" s="15" t="str">
        <f t="array" aca="1" ref="GP165" ca="1">IF(COUNTIF($FO164:$GR164,GP164)&gt;3,INDEX(Hyb_Tech_Value,MATCH(GP163,Hyb_Code,0)),"")</f>
        <v/>
      </c>
      <c r="GQ165" s="15" t="str">
        <f t="array" aca="1" ref="GQ165" ca="1">IF(COUNTIF($FO164:$GR164,GQ164)&gt;3,INDEX(Hyb_Tech_Value,MATCH(GQ163,Hyb_Code,0)),"")</f>
        <v/>
      </c>
      <c r="GR165" s="15" t="str">
        <f t="array" aca="1" ref="GR165" ca="1">IF(COUNTIF($FO164:$GR164,GR164)&gt;3,INDEX(Hyb_Tech_Value,MATCH(GR163,Hyb_Code,0)),"")</f>
        <v/>
      </c>
    </row>
    <row r="166" spans="166:200" ht="12.75" customHeight="1" x14ac:dyDescent="0.3">
      <c r="FJ166" s="5"/>
      <c r="FK166" s="5"/>
      <c r="FL166" s="5"/>
      <c r="FM166" s="5"/>
      <c r="FN166" s="15"/>
      <c r="FO166" s="15"/>
      <c r="FP166" s="15"/>
      <c r="FQ166" s="15"/>
      <c r="FR166" s="15"/>
      <c r="FS166" s="15"/>
      <c r="FT166" s="15"/>
      <c r="FU166" s="15"/>
      <c r="FV166" s="15"/>
      <c r="FW166" s="15"/>
      <c r="FX166" s="15"/>
      <c r="FY166" s="15"/>
      <c r="FZ166" s="15"/>
      <c r="GA166" s="15"/>
      <c r="GB166" s="15"/>
      <c r="GC166" s="15"/>
      <c r="GD166" s="15"/>
      <c r="GE166" s="15"/>
      <c r="GF166" s="15"/>
      <c r="GG166" s="15"/>
      <c r="GH166" s="15"/>
      <c r="GI166" s="15"/>
      <c r="GJ166" s="15"/>
      <c r="GK166" s="15"/>
      <c r="GL166" s="15"/>
      <c r="GM166" s="15"/>
      <c r="GN166" s="15"/>
      <c r="GO166" s="15"/>
      <c r="GP166" s="15"/>
      <c r="GQ166" s="15"/>
      <c r="GR166" s="15"/>
    </row>
    <row r="167" spans="166:200" ht="12.75" customHeight="1" x14ac:dyDescent="0.3">
      <c r="FJ167" s="5"/>
      <c r="FK167" s="5"/>
      <c r="FL167" s="5"/>
      <c r="FM167" s="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row>
    <row r="168" spans="166:200" ht="12.75" customHeight="1" x14ac:dyDescent="0.3">
      <c r="FJ168" s="5">
        <v>38</v>
      </c>
      <c r="FK168" s="5"/>
      <c r="FL168" s="5"/>
      <c r="FM168" s="15"/>
      <c r="FN168" s="15"/>
      <c r="FO168" s="15">
        <f t="shared" ref="FO168:GR168" ca="1" si="355">IFERROR(IF(AND(OFFSET($E$20,$FJ168,0)="H",OFFSET(J$19,$FJ168,0)&lt;&gt;""),UPPER(OFFSET(J$19,$FJ168,0)),FO$18),FO$18)</f>
        <v>1</v>
      </c>
      <c r="FP168" s="15">
        <f t="shared" ca="1" si="355"/>
        <v>2</v>
      </c>
      <c r="FQ168" s="15">
        <f t="shared" ca="1" si="355"/>
        <v>3</v>
      </c>
      <c r="FR168" s="15">
        <f t="shared" ca="1" si="355"/>
        <v>4</v>
      </c>
      <c r="FS168" s="15">
        <f t="shared" ca="1" si="355"/>
        <v>5</v>
      </c>
      <c r="FT168" s="15">
        <f t="shared" ca="1" si="355"/>
        <v>6</v>
      </c>
      <c r="FU168" s="15">
        <f t="shared" ca="1" si="355"/>
        <v>7</v>
      </c>
      <c r="FV168" s="15">
        <f t="shared" ca="1" si="355"/>
        <v>8</v>
      </c>
      <c r="FW168" s="15">
        <f t="shared" ca="1" si="355"/>
        <v>9</v>
      </c>
      <c r="FX168" s="15">
        <f t="shared" ca="1" si="355"/>
        <v>10</v>
      </c>
      <c r="FY168" s="15">
        <f t="shared" ca="1" si="355"/>
        <v>11</v>
      </c>
      <c r="FZ168" s="15">
        <f t="shared" ca="1" si="355"/>
        <v>12</v>
      </c>
      <c r="GA168" s="15">
        <f t="shared" ca="1" si="355"/>
        <v>13</v>
      </c>
      <c r="GB168" s="15">
        <f t="shared" ca="1" si="355"/>
        <v>14</v>
      </c>
      <c r="GC168" s="15">
        <f t="shared" ca="1" si="355"/>
        <v>15</v>
      </c>
      <c r="GD168" s="15">
        <f t="shared" ca="1" si="355"/>
        <v>16</v>
      </c>
      <c r="GE168" s="15">
        <f t="shared" ca="1" si="355"/>
        <v>17</v>
      </c>
      <c r="GF168" s="15">
        <f t="shared" ca="1" si="355"/>
        <v>18</v>
      </c>
      <c r="GG168" s="15">
        <f t="shared" ca="1" si="355"/>
        <v>19</v>
      </c>
      <c r="GH168" s="15">
        <f t="shared" ca="1" si="355"/>
        <v>20</v>
      </c>
      <c r="GI168" s="15">
        <f t="shared" ca="1" si="355"/>
        <v>21</v>
      </c>
      <c r="GJ168" s="15">
        <f t="shared" ca="1" si="355"/>
        <v>22</v>
      </c>
      <c r="GK168" s="15">
        <f t="shared" ca="1" si="355"/>
        <v>23</v>
      </c>
      <c r="GL168" s="15">
        <f t="shared" ca="1" si="355"/>
        <v>24</v>
      </c>
      <c r="GM168" s="15">
        <f t="shared" ca="1" si="355"/>
        <v>25</v>
      </c>
      <c r="GN168" s="15">
        <f t="shared" ca="1" si="355"/>
        <v>26</v>
      </c>
      <c r="GO168" s="15">
        <f t="shared" ca="1" si="355"/>
        <v>27</v>
      </c>
      <c r="GP168" s="15">
        <f t="shared" ca="1" si="355"/>
        <v>28</v>
      </c>
      <c r="GQ168" s="15">
        <f t="shared" ca="1" si="355"/>
        <v>29</v>
      </c>
      <c r="GR168" s="15">
        <f t="shared" ca="1" si="355"/>
        <v>30</v>
      </c>
    </row>
    <row r="169" spans="166:200" ht="12.75" customHeight="1" x14ac:dyDescent="0.3">
      <c r="FJ169" s="5"/>
      <c r="FK169" s="5"/>
      <c r="FL169" s="5"/>
      <c r="FM169" s="5"/>
      <c r="FN169" s="5"/>
      <c r="FO169" s="15">
        <f t="array" aca="1" ref="FO169" ca="1">IFERROR(IF(AND(OFFSET($E$20,$FJ168,0)="H",OFFSET(J$19,$FJ168,0)&lt;&gt;"",OFFSET($F114,$FJ168,0)&lt;&gt;"Hybrid - Thrust + 2 connections"),INDEX(Hyb_Tech,MATCH(OFFSET(J$19,$FJ168,0),Hyb_Code,0)),FO$72),FO$72)</f>
        <v>1</v>
      </c>
      <c r="FP169" s="15">
        <f t="array" aca="1" ref="FP169" ca="1">IFERROR(IF(AND(OFFSET($E$20,$FJ168,0)="H",OFFSET(K$19,$FJ168,0)&lt;&gt;"",OFFSET($F114,$FJ168,0)&lt;&gt;"Hybrid - Thrust + 2 connections"),INDEX(Hyb_Tech,MATCH(OFFSET(K$19,$FJ168,0),Hyb_Code,0)),FP$72),FP$72)</f>
        <v>2</v>
      </c>
      <c r="FQ169" s="15">
        <f t="array" aca="1" ref="FQ169" ca="1">IFERROR(IF(AND(OFFSET($E$20,$FJ168,0)="H",OFFSET(L$19,$FJ168,0)&lt;&gt;"",OFFSET($F114,$FJ168,0)&lt;&gt;"Hybrid - Thrust + 2 connections"),INDEX(Hyb_Tech,MATCH(OFFSET(L$19,$FJ168,0),Hyb_Code,0)),FQ$72),FQ$72)</f>
        <v>3</v>
      </c>
      <c r="FR169" s="15">
        <f t="array" aca="1" ref="FR169" ca="1">IFERROR(IF(AND(OFFSET($E$20,$FJ168,0)="H",OFFSET(M$19,$FJ168,0)&lt;&gt;"",OFFSET($F114,$FJ168,0)&lt;&gt;"Hybrid - Thrust + 2 connections"),INDEX(Hyb_Tech,MATCH(OFFSET(M$19,$FJ168,0),Hyb_Code,0)),FR$72),FR$72)</f>
        <v>4</v>
      </c>
      <c r="FS169" s="15">
        <f t="array" aca="1" ref="FS169" ca="1">IFERROR(IF(AND(OFFSET($E$20,$FJ168,0)="H",OFFSET(N$19,$FJ168,0)&lt;&gt;"",OFFSET($F114,$FJ168,0)&lt;&gt;"Hybrid - Thrust + 2 connections"),INDEX(Hyb_Tech,MATCH(OFFSET(N$19,$FJ168,0),Hyb_Code,0)),FS$72),FS$72)</f>
        <v>5</v>
      </c>
      <c r="FT169" s="15">
        <f t="array" aca="1" ref="FT169" ca="1">IFERROR(IF(AND(OFFSET($E$20,$FJ168,0)="H",OFFSET(O$19,$FJ168,0)&lt;&gt;"",OFFSET($F114,$FJ168,0)&lt;&gt;"Hybrid - Thrust + 2 connections"),INDEX(Hyb_Tech,MATCH(OFFSET(O$19,$FJ168,0),Hyb_Code,0)),FT$72),FT$72)</f>
        <v>6</v>
      </c>
      <c r="FU169" s="15">
        <f t="array" aca="1" ref="FU169" ca="1">IFERROR(IF(AND(OFFSET($E$20,$FJ168,0)="H",OFFSET(P$19,$FJ168,0)&lt;&gt;"",OFFSET($F114,$FJ168,0)&lt;&gt;"Hybrid - Thrust + 2 connections"),INDEX(Hyb_Tech,MATCH(OFFSET(P$19,$FJ168,0),Hyb_Code,0)),FU$72),FU$72)</f>
        <v>7</v>
      </c>
      <c r="FV169" s="15">
        <f t="array" aca="1" ref="FV169" ca="1">IFERROR(IF(AND(OFFSET($E$20,$FJ168,0)="H",OFFSET(Q$19,$FJ168,0)&lt;&gt;"",OFFSET($F114,$FJ168,0)&lt;&gt;"Hybrid - Thrust + 2 connections"),INDEX(Hyb_Tech,MATCH(OFFSET(Q$19,$FJ168,0),Hyb_Code,0)),FV$72),FV$72)</f>
        <v>8</v>
      </c>
      <c r="FW169" s="15">
        <f t="array" aca="1" ref="FW169" ca="1">IFERROR(IF(AND(OFFSET($E$20,$FJ168,0)="H",OFFSET(R$19,$FJ168,0)&lt;&gt;"",OFFSET($F114,$FJ168,0)&lt;&gt;"Hybrid - Thrust + 2 connections"),INDEX(Hyb_Tech,MATCH(OFFSET(R$19,$FJ168,0),Hyb_Code,0)),FW$72),FW$72)</f>
        <v>9</v>
      </c>
      <c r="FX169" s="15">
        <f t="array" aca="1" ref="FX169" ca="1">IFERROR(IF(AND(OFFSET($E$20,$FJ168,0)="H",OFFSET(S$19,$FJ168,0)&lt;&gt;"",OFFSET($F114,$FJ168,0)&lt;&gt;"Hybrid - Thrust + 2 connections"),INDEX(Hyb_Tech,MATCH(OFFSET(S$19,$FJ168,0),Hyb_Code,0)),FX$72),FX$72)</f>
        <v>10</v>
      </c>
      <c r="FY169" s="15">
        <f t="array" aca="1" ref="FY169" ca="1">IFERROR(IF(AND(OFFSET($E$20,$FJ168,0)="H",OFFSET(T$19,$FJ168,0)&lt;&gt;"",OFFSET($F114,$FJ168,0)&lt;&gt;"Hybrid - Thrust + 2 connections"),INDEX(Hyb_Tech,MATCH(OFFSET(T$19,$FJ168,0),Hyb_Code,0)),FY$72),FY$72)</f>
        <v>11</v>
      </c>
      <c r="FZ169" s="15">
        <f t="array" aca="1" ref="FZ169" ca="1">IFERROR(IF(AND(OFFSET($E$20,$FJ168,0)="H",OFFSET(U$19,$FJ168,0)&lt;&gt;"",OFFSET($F114,$FJ168,0)&lt;&gt;"Hybrid - Thrust + 2 connections"),INDEX(Hyb_Tech,MATCH(OFFSET(U$19,$FJ168,0),Hyb_Code,0)),FZ$72),FZ$72)</f>
        <v>12</v>
      </c>
      <c r="GA169" s="15">
        <f t="array" aca="1" ref="GA169" ca="1">IFERROR(IF(AND(OFFSET($E$20,$FJ168,0)="H",OFFSET(V$19,$FJ168,0)&lt;&gt;"",OFFSET($F114,$FJ168,0)&lt;&gt;"Hybrid - Thrust + 2 connections"),INDEX(Hyb_Tech,MATCH(OFFSET(V$19,$FJ168,0),Hyb_Code,0)),GA$72),GA$72)</f>
        <v>13</v>
      </c>
      <c r="GB169" s="15">
        <f t="array" aca="1" ref="GB169" ca="1">IFERROR(IF(AND(OFFSET($E$20,$FJ168,0)="H",OFFSET(W$19,$FJ168,0)&lt;&gt;"",OFFSET($F114,$FJ168,0)&lt;&gt;"Hybrid - Thrust + 2 connections"),INDEX(Hyb_Tech,MATCH(OFFSET(W$19,$FJ168,0),Hyb_Code,0)),GB$72),GB$72)</f>
        <v>14</v>
      </c>
      <c r="GC169" s="15">
        <f t="array" aca="1" ref="GC169" ca="1">IFERROR(IF(AND(OFFSET($E$20,$FJ168,0)="H",OFFSET(X$19,$FJ168,0)&lt;&gt;"",OFFSET($F114,$FJ168,0)&lt;&gt;"Hybrid - Thrust + 2 connections"),INDEX(Hyb_Tech,MATCH(OFFSET(X$19,$FJ168,0),Hyb_Code,0)),GC$72),GC$72)</f>
        <v>15</v>
      </c>
      <c r="GD169" s="15">
        <f t="array" aca="1" ref="GD169" ca="1">IFERROR(IF(AND(OFFSET($E$20,$FJ168,0)="H",OFFSET(Y$19,$FJ168,0)&lt;&gt;"",OFFSET($F114,$FJ168,0)&lt;&gt;"Hybrid - Thrust + 2 connections"),INDEX(Hyb_Tech,MATCH(OFFSET(Y$19,$FJ168,0),Hyb_Code,0)),GD$72),GD$72)</f>
        <v>16</v>
      </c>
      <c r="GE169" s="15">
        <f t="array" aca="1" ref="GE169" ca="1">IFERROR(IF(AND(OFFSET($E$20,$FJ168,0)="H",OFFSET(Z$19,$FJ168,0)&lt;&gt;"",OFFSET($F114,$FJ168,0)&lt;&gt;"Hybrid - Thrust + 2 connections"),INDEX(Hyb_Tech,MATCH(OFFSET(Z$19,$FJ168,0),Hyb_Code,0)),GE$72),GE$72)</f>
        <v>17</v>
      </c>
      <c r="GF169" s="15">
        <f t="array" aca="1" ref="GF169" ca="1">IFERROR(IF(AND(OFFSET($E$20,$FJ168,0)="H",OFFSET(AA$19,$FJ168,0)&lt;&gt;"",OFFSET($F114,$FJ168,0)&lt;&gt;"Hybrid - Thrust + 2 connections"),INDEX(Hyb_Tech,MATCH(OFFSET(AA$19,$FJ168,0),Hyb_Code,0)),GF$72),GF$72)</f>
        <v>18</v>
      </c>
      <c r="GG169" s="15">
        <f t="array" aca="1" ref="GG169" ca="1">IFERROR(IF(AND(OFFSET($E$20,$FJ168,0)="H",OFFSET(AB$19,$FJ168,0)&lt;&gt;"",OFFSET($F114,$FJ168,0)&lt;&gt;"Hybrid - Thrust + 2 connections"),INDEX(Hyb_Tech,MATCH(OFFSET(AB$19,$FJ168,0),Hyb_Code,0)),GG$72),GG$72)</f>
        <v>19</v>
      </c>
      <c r="GH169" s="15">
        <f t="array" aca="1" ref="GH169" ca="1">IFERROR(IF(AND(OFFSET($E$20,$FJ168,0)="H",OFFSET(AC$19,$FJ168,0)&lt;&gt;"",OFFSET($F114,$FJ168,0)&lt;&gt;"Hybrid - Thrust + 2 connections"),INDEX(Hyb_Tech,MATCH(OFFSET(AC$19,$FJ168,0),Hyb_Code,0)),GH$72),GH$72)</f>
        <v>20</v>
      </c>
      <c r="GI169" s="15">
        <f t="array" aca="1" ref="GI169" ca="1">IFERROR(IF(AND(OFFSET($E$20,$FJ168,0)="H",OFFSET(AD$19,$FJ168,0)&lt;&gt;"",OFFSET($F114,$FJ168,0)&lt;&gt;"Hybrid - Thrust + 2 connections"),INDEX(Hyb_Tech,MATCH(OFFSET(AD$19,$FJ168,0),Hyb_Code,0)),GI$72),GI$72)</f>
        <v>21</v>
      </c>
      <c r="GJ169" s="15">
        <f t="array" aca="1" ref="GJ169" ca="1">IFERROR(IF(AND(OFFSET($E$20,$FJ168,0)="H",OFFSET(AE$19,$FJ168,0)&lt;&gt;"",OFFSET($F114,$FJ168,0)&lt;&gt;"Hybrid - Thrust + 2 connections"),INDEX(Hyb_Tech,MATCH(OFFSET(AE$19,$FJ168,0),Hyb_Code,0)),GJ$72),GJ$72)</f>
        <v>22</v>
      </c>
      <c r="GK169" s="15">
        <f t="array" aca="1" ref="GK169" ca="1">IFERROR(IF(AND(OFFSET($E$20,$FJ168,0)="H",OFFSET(AF$19,$FJ168,0)&lt;&gt;"",OFFSET($F114,$FJ168,0)&lt;&gt;"Hybrid - Thrust + 2 connections"),INDEX(Hyb_Tech,MATCH(OFFSET(AF$19,$FJ168,0),Hyb_Code,0)),GK$72),GK$72)</f>
        <v>23</v>
      </c>
      <c r="GL169" s="15">
        <f t="array" aca="1" ref="GL169" ca="1">IFERROR(IF(AND(OFFSET($E$20,$FJ168,0)="H",OFFSET(AG$19,$FJ168,0)&lt;&gt;"",OFFSET($F114,$FJ168,0)&lt;&gt;"Hybrid - Thrust + 2 connections"),INDEX(Hyb_Tech,MATCH(OFFSET(AG$19,$FJ168,0),Hyb_Code,0)),GL$72),GL$72)</f>
        <v>24</v>
      </c>
      <c r="GM169" s="15">
        <f t="array" aca="1" ref="GM169" ca="1">IFERROR(IF(AND(OFFSET($E$20,$FJ168,0)="H",OFFSET(AH$19,$FJ168,0)&lt;&gt;"",OFFSET($F114,$FJ168,0)&lt;&gt;"Hybrid - Thrust + 2 connections"),INDEX(Hyb_Tech,MATCH(OFFSET(AH$19,$FJ168,0),Hyb_Code,0)),GM$72),GM$72)</f>
        <v>25</v>
      </c>
      <c r="GN169" s="15">
        <f t="array" aca="1" ref="GN169" ca="1">IFERROR(IF(AND(OFFSET($E$20,$FJ168,0)="H",OFFSET(AI$19,$FJ168,0)&lt;&gt;"",OFFSET($F114,$FJ168,0)&lt;&gt;"Hybrid - Thrust + 2 connections"),INDEX(Hyb_Tech,MATCH(OFFSET(AI$19,$FJ168,0),Hyb_Code,0)),GN$72),GN$72)</f>
        <v>26</v>
      </c>
      <c r="GO169" s="15">
        <f t="array" aca="1" ref="GO169" ca="1">IFERROR(IF(AND(OFFSET($E$20,$FJ168,0)="H",OFFSET(AJ$19,$FJ168,0)&lt;&gt;"",OFFSET($F114,$FJ168,0)&lt;&gt;"Hybrid - Thrust + 2 connections"),INDEX(Hyb_Tech,MATCH(OFFSET(AJ$19,$FJ168,0),Hyb_Code,0)),GO$72),GO$72)</f>
        <v>27</v>
      </c>
      <c r="GP169" s="15">
        <f t="array" aca="1" ref="GP169" ca="1">IFERROR(IF(AND(OFFSET($E$20,$FJ168,0)="H",OFFSET(AK$19,$FJ168,0)&lt;&gt;"",OFFSET($F114,$FJ168,0)&lt;&gt;"Hybrid - Thrust + 2 connections"),INDEX(Hyb_Tech,MATCH(OFFSET(AK$19,$FJ168,0),Hyb_Code,0)),GP$72),GP$72)</f>
        <v>28</v>
      </c>
      <c r="GQ169" s="15">
        <f t="array" aca="1" ref="GQ169" ca="1">IFERROR(IF(AND(OFFSET($E$20,$FJ168,0)="H",OFFSET(AL$19,$FJ168,0)&lt;&gt;"",OFFSET($F114,$FJ168,0)&lt;&gt;"Hybrid - Thrust + 2 connections"),INDEX(Hyb_Tech,MATCH(OFFSET(AL$19,$FJ168,0),Hyb_Code,0)),GQ$72),GQ$72)</f>
        <v>29</v>
      </c>
      <c r="GR169" s="15">
        <f t="array" aca="1" ref="GR169" ca="1">IFERROR(IF(AND(OFFSET($E$20,$FJ168,0)="H",OFFSET(AM$19,$FJ168,0)&lt;&gt;"",OFFSET($F114,$FJ168,0)&lt;&gt;"Hybrid - Thrust + 2 connections"),INDEX(Hyb_Tech,MATCH(OFFSET(AM$19,$FJ168,0),Hyb_Code,0)),GR$72),GR$72)</f>
        <v>30</v>
      </c>
    </row>
    <row r="170" spans="166:200" ht="12.75" customHeight="1" x14ac:dyDescent="0.3">
      <c r="FJ170" s="5"/>
      <c r="FK170" s="5"/>
      <c r="FL170" s="5"/>
      <c r="FM170" s="5" t="str">
        <f ca="1">IFERROR(IF(SUM($FO170:$GR170)&gt;3,OFFSET($FO$73,$FJ168*5/2,MATCH(1,FO170:GR170,0)),""),"")</f>
        <v/>
      </c>
      <c r="FN170" s="15" t="str">
        <f ca="1">IFERROR(IF(LEFT(FM170,1)="C",IF(RIGHT(FM170,1)="+",LEFT(FM170,LEN(FM170)-1),CONCATENATE(FM170,"+")),IF(SUM($FO170:$GR170)&gt;3,OFFSET($FO$73,$FJ168*5/2,MATCH(0.5,FO170:GR170,0)),"")),"")</f>
        <v/>
      </c>
      <c r="FO170" s="15" t="str">
        <f t="array" aca="1" ref="FO170" ca="1">IF(COUNTIF($FO169:$GR169,FO169)&gt;3,INDEX(Hyb_Tech_Value,MATCH(FO168,Hyb_Code,0)),"")</f>
        <v/>
      </c>
      <c r="FP170" s="15" t="str">
        <f t="array" aca="1" ref="FP170" ca="1">IF(COUNTIF($FO169:$GR169,FP169)&gt;3,INDEX(Hyb_Tech_Value,MATCH(FP168,Hyb_Code,0)),"")</f>
        <v/>
      </c>
      <c r="FQ170" s="15" t="str">
        <f t="array" aca="1" ref="FQ170" ca="1">IF(COUNTIF($FO169:$GR169,FQ169)&gt;3,INDEX(Hyb_Tech_Value,MATCH(FQ168,Hyb_Code,0)),"")</f>
        <v/>
      </c>
      <c r="FR170" s="15" t="str">
        <f t="array" aca="1" ref="FR170" ca="1">IF(COUNTIF($FO169:$GR169,FR169)&gt;3,INDEX(Hyb_Tech_Value,MATCH(FR168,Hyb_Code,0)),"")</f>
        <v/>
      </c>
      <c r="FS170" s="15" t="str">
        <f t="array" aca="1" ref="FS170" ca="1">IF(COUNTIF($FO169:$GR169,FS169)&gt;3,INDEX(Hyb_Tech_Value,MATCH(FS168,Hyb_Code,0)),"")</f>
        <v/>
      </c>
      <c r="FT170" s="15" t="str">
        <f t="array" aca="1" ref="FT170" ca="1">IF(COUNTIF($FO169:$GR169,FT169)&gt;3,INDEX(Hyb_Tech_Value,MATCH(FT168,Hyb_Code,0)),"")</f>
        <v/>
      </c>
      <c r="FU170" s="15" t="str">
        <f t="array" aca="1" ref="FU170" ca="1">IF(COUNTIF($FO169:$GR169,FU169)&gt;3,INDEX(Hyb_Tech_Value,MATCH(FU168,Hyb_Code,0)),"")</f>
        <v/>
      </c>
      <c r="FV170" s="15" t="str">
        <f t="array" aca="1" ref="FV170" ca="1">IF(COUNTIF($FO169:$GR169,FV169)&gt;3,INDEX(Hyb_Tech_Value,MATCH(FV168,Hyb_Code,0)),"")</f>
        <v/>
      </c>
      <c r="FW170" s="15" t="str">
        <f t="array" aca="1" ref="FW170" ca="1">IF(COUNTIF($FO169:$GR169,FW169)&gt;3,INDEX(Hyb_Tech_Value,MATCH(FW168,Hyb_Code,0)),"")</f>
        <v/>
      </c>
      <c r="FX170" s="15" t="str">
        <f t="array" aca="1" ref="FX170" ca="1">IF(COUNTIF($FO169:$GR169,FX169)&gt;3,INDEX(Hyb_Tech_Value,MATCH(FX168,Hyb_Code,0)),"")</f>
        <v/>
      </c>
      <c r="FY170" s="15" t="str">
        <f t="array" aca="1" ref="FY170" ca="1">IF(COUNTIF($FO169:$GR169,FY169)&gt;3,INDEX(Hyb_Tech_Value,MATCH(FY168,Hyb_Code,0)),"")</f>
        <v/>
      </c>
      <c r="FZ170" s="15" t="str">
        <f t="array" aca="1" ref="FZ170" ca="1">IF(COUNTIF($FO169:$GR169,FZ169)&gt;3,INDEX(Hyb_Tech_Value,MATCH(FZ168,Hyb_Code,0)),"")</f>
        <v/>
      </c>
      <c r="GA170" s="15" t="str">
        <f t="array" aca="1" ref="GA170" ca="1">IF(COUNTIF($FO169:$GR169,GA169)&gt;3,INDEX(Hyb_Tech_Value,MATCH(GA168,Hyb_Code,0)),"")</f>
        <v/>
      </c>
      <c r="GB170" s="15" t="str">
        <f t="array" aca="1" ref="GB170" ca="1">IF(COUNTIF($FO169:$GR169,GB169)&gt;3,INDEX(Hyb_Tech_Value,MATCH(GB168,Hyb_Code,0)),"")</f>
        <v/>
      </c>
      <c r="GC170" s="15" t="str">
        <f t="array" aca="1" ref="GC170" ca="1">IF(COUNTIF($FO169:$GR169,GC169)&gt;3,INDEX(Hyb_Tech_Value,MATCH(GC168,Hyb_Code,0)),"")</f>
        <v/>
      </c>
      <c r="GD170" s="15" t="str">
        <f t="array" aca="1" ref="GD170" ca="1">IF(COUNTIF($FO169:$GR169,GD169)&gt;3,INDEX(Hyb_Tech_Value,MATCH(GD168,Hyb_Code,0)),"")</f>
        <v/>
      </c>
      <c r="GE170" s="15" t="str">
        <f t="array" aca="1" ref="GE170" ca="1">IF(COUNTIF($FO169:$GR169,GE169)&gt;3,INDEX(Hyb_Tech_Value,MATCH(GE168,Hyb_Code,0)),"")</f>
        <v/>
      </c>
      <c r="GF170" s="15" t="str">
        <f t="array" aca="1" ref="GF170" ca="1">IF(COUNTIF($FO169:$GR169,GF169)&gt;3,INDEX(Hyb_Tech_Value,MATCH(GF168,Hyb_Code,0)),"")</f>
        <v/>
      </c>
      <c r="GG170" s="15" t="str">
        <f t="array" aca="1" ref="GG170" ca="1">IF(COUNTIF($FO169:$GR169,GG169)&gt;3,INDEX(Hyb_Tech_Value,MATCH(GG168,Hyb_Code,0)),"")</f>
        <v/>
      </c>
      <c r="GH170" s="15" t="str">
        <f t="array" aca="1" ref="GH170" ca="1">IF(COUNTIF($FO169:$GR169,GH169)&gt;3,INDEX(Hyb_Tech_Value,MATCH(GH168,Hyb_Code,0)),"")</f>
        <v/>
      </c>
      <c r="GI170" s="15" t="str">
        <f t="array" aca="1" ref="GI170" ca="1">IF(COUNTIF($FO169:$GR169,GI169)&gt;3,INDEX(Hyb_Tech_Value,MATCH(GI168,Hyb_Code,0)),"")</f>
        <v/>
      </c>
      <c r="GJ170" s="15" t="str">
        <f t="array" aca="1" ref="GJ170" ca="1">IF(COUNTIF($FO169:$GR169,GJ169)&gt;3,INDEX(Hyb_Tech_Value,MATCH(GJ168,Hyb_Code,0)),"")</f>
        <v/>
      </c>
      <c r="GK170" s="15" t="str">
        <f t="array" aca="1" ref="GK170" ca="1">IF(COUNTIF($FO169:$GR169,GK169)&gt;3,INDEX(Hyb_Tech_Value,MATCH(GK168,Hyb_Code,0)),"")</f>
        <v/>
      </c>
      <c r="GL170" s="15" t="str">
        <f t="array" aca="1" ref="GL170" ca="1">IF(COUNTIF($FO169:$GR169,GL169)&gt;3,INDEX(Hyb_Tech_Value,MATCH(GL168,Hyb_Code,0)),"")</f>
        <v/>
      </c>
      <c r="GM170" s="15" t="str">
        <f t="array" aca="1" ref="GM170" ca="1">IF(COUNTIF($FO169:$GR169,GM169)&gt;3,INDEX(Hyb_Tech_Value,MATCH(GM168,Hyb_Code,0)),"")</f>
        <v/>
      </c>
      <c r="GN170" s="15" t="str">
        <f t="array" aca="1" ref="GN170" ca="1">IF(COUNTIF($FO169:$GR169,GN169)&gt;3,INDEX(Hyb_Tech_Value,MATCH(GN168,Hyb_Code,0)),"")</f>
        <v/>
      </c>
      <c r="GO170" s="15" t="str">
        <f t="array" aca="1" ref="GO170" ca="1">IF(COUNTIF($FO169:$GR169,GO169)&gt;3,INDEX(Hyb_Tech_Value,MATCH(GO168,Hyb_Code,0)),"")</f>
        <v/>
      </c>
      <c r="GP170" s="15" t="str">
        <f t="array" aca="1" ref="GP170" ca="1">IF(COUNTIF($FO169:$GR169,GP169)&gt;3,INDEX(Hyb_Tech_Value,MATCH(GP168,Hyb_Code,0)),"")</f>
        <v/>
      </c>
      <c r="GQ170" s="15" t="str">
        <f t="array" aca="1" ref="GQ170" ca="1">IF(COUNTIF($FO169:$GR169,GQ169)&gt;3,INDEX(Hyb_Tech_Value,MATCH(GQ168,Hyb_Code,0)),"")</f>
        <v/>
      </c>
      <c r="GR170" s="15" t="str">
        <f t="array" aca="1" ref="GR170" ca="1">IF(COUNTIF($FO169:$GR169,GR169)&gt;3,INDEX(Hyb_Tech_Value,MATCH(GR168,Hyb_Code,0)),"")</f>
        <v/>
      </c>
    </row>
  </sheetData>
  <mergeCells count="66">
    <mergeCell ref="H29:I29"/>
    <mergeCell ref="H31:I31"/>
    <mergeCell ref="H33:I33"/>
    <mergeCell ref="H35:I35"/>
    <mergeCell ref="H37:I37"/>
    <mergeCell ref="H59:I59"/>
    <mergeCell ref="H47:I47"/>
    <mergeCell ref="H49:I49"/>
    <mergeCell ref="H51:I51"/>
    <mergeCell ref="H53:I53"/>
    <mergeCell ref="H55:I55"/>
    <mergeCell ref="H57:I57"/>
    <mergeCell ref="H61:I61"/>
    <mergeCell ref="H63:I63"/>
    <mergeCell ref="H65:I65"/>
    <mergeCell ref="H67:I67"/>
    <mergeCell ref="G106:H106"/>
    <mergeCell ref="G107:H107"/>
    <mergeCell ref="H69:I69"/>
    <mergeCell ref="G91:H91"/>
    <mergeCell ref="G101:H101"/>
    <mergeCell ref="G102:H102"/>
    <mergeCell ref="G103:H103"/>
    <mergeCell ref="G104:H104"/>
    <mergeCell ref="G105:H105"/>
    <mergeCell ref="G1:AM4"/>
    <mergeCell ref="BX2:BY2"/>
    <mergeCell ref="CA2:CN2"/>
    <mergeCell ref="A5:D5"/>
    <mergeCell ref="F5:I5"/>
    <mergeCell ref="Q5:AO5"/>
    <mergeCell ref="FO19:GR58"/>
    <mergeCell ref="A6:D6"/>
    <mergeCell ref="Y11:AB11"/>
    <mergeCell ref="DG11:DO11"/>
    <mergeCell ref="DQ11:DT11"/>
    <mergeCell ref="F6:L6"/>
    <mergeCell ref="N6:AC6"/>
    <mergeCell ref="A7:D7"/>
    <mergeCell ref="A8:D8"/>
    <mergeCell ref="A9:D9"/>
    <mergeCell ref="F9:AO9"/>
    <mergeCell ref="BU9:BW9"/>
    <mergeCell ref="H39:I39"/>
    <mergeCell ref="H41:I41"/>
    <mergeCell ref="H43:I43"/>
    <mergeCell ref="H45:I45"/>
    <mergeCell ref="H16:I17"/>
    <mergeCell ref="AN16:AN17"/>
    <mergeCell ref="DQ16:DY16"/>
    <mergeCell ref="GT16:GY16"/>
    <mergeCell ref="A17:B17"/>
    <mergeCell ref="C17:D17"/>
    <mergeCell ref="BI17:CL17"/>
    <mergeCell ref="EC17:ED17"/>
    <mergeCell ref="CU17:DC17"/>
    <mergeCell ref="DD17:DJ17"/>
    <mergeCell ref="DK17:DM17"/>
    <mergeCell ref="DQ17:DR17"/>
    <mergeCell ref="DS17:DT17"/>
    <mergeCell ref="DV17:DY17"/>
    <mergeCell ref="H19:I19"/>
    <mergeCell ref="H21:I21"/>
    <mergeCell ref="H23:I23"/>
    <mergeCell ref="H25:I25"/>
    <mergeCell ref="H27:I27"/>
  </mergeCells>
  <conditionalFormatting sqref="A6:C6 A7 A8:C12 A13:B14 BW14 CQ15 A15:C16">
    <cfRule type="containsText" dxfId="263" priority="1" operator="containsText" text=" ">
      <formula>NOT(ISERROR(SEARCH((" "),(A6))))</formula>
    </cfRule>
    <cfRule type="containsText" dxfId="262" priority="2" operator="containsText" text="BONUSES">
      <formula>NOT(ISERROR(SEARCH(("BONUSES"),(A6))))</formula>
    </cfRule>
    <cfRule type="containsText" dxfId="261" priority="3" operator="containsText" text="TRANSITION">
      <formula>NOT(ISERROR(SEARCH(("TRANSITION"),(A6))))</formula>
    </cfRule>
    <cfRule type="containsText" dxfId="260" priority="4" operator="containsText" text="ACROBATIC">
      <formula>NOT(ISERROR(SEARCH(("ACROBATIC"),(A6))))</formula>
    </cfRule>
    <cfRule type="containsText" dxfId="259" priority="5" operator="containsText" text="HYBRID">
      <formula>NOT(ISERROR(SEARCH(("HYBRID"),(A6))))</formula>
    </cfRule>
  </conditionalFormatting>
  <conditionalFormatting sqref="C19 C21 C23 C25 C27 C29 C31 C33 C35 C37 C39 C41 C43 C45 C47 C49 C51 C53 C55 C57 C59 C61 C63 C65 C67 C69">
    <cfRule type="cellIs" dxfId="258" priority="6" operator="lessThan">
      <formula>0</formula>
    </cfRule>
  </conditionalFormatting>
  <conditionalFormatting sqref="C21 C23 C25 C27 C29 C31 C33 C35 C37 C39 C41 C43 C45 C47 C49 C51 C53 C55 C57 C59 C61 C63 C65 C67">
    <cfRule type="expression" dxfId="257" priority="7">
      <formula>AND(B21&lt;&gt;"",E19="",C21="")</formula>
    </cfRule>
  </conditionalFormatting>
  <conditionalFormatting sqref="C14:D14">
    <cfRule type="expression" dxfId="256" priority="8" stopIfTrue="1">
      <formula>AND($F$8&lt;&gt;"",$C$13="Y")</formula>
    </cfRule>
    <cfRule type="notContainsBlanks" dxfId="255" priority="9">
      <formula>LEN(TRIM(C14))&gt;0</formula>
    </cfRule>
  </conditionalFormatting>
  <conditionalFormatting sqref="C19:D68">
    <cfRule type="expression" dxfId="254" priority="11">
      <formula>$CP19&lt;=$CO19</formula>
    </cfRule>
  </conditionalFormatting>
  <conditionalFormatting sqref="C21:D21 C23:D23 C25:D25 C27:D27 C29:D29 C31:D31 C33:D33 C35:D35 C37:D37 C39:D39 C41:D41 C43:D43 C45:D45 C47:D47 C49:D49 C51:D51 C53:D53 C55:D55 C57:D57 C59:D59 C61:D61 C63:D63 C65:D65 C67:D67 C19:D19 C69:D69">
    <cfRule type="expression" dxfId="253" priority="13">
      <formula>AND(C19="",A19=0)</formula>
    </cfRule>
  </conditionalFormatting>
  <conditionalFormatting sqref="C21:D21 C23:D23 C25:D25 C27:D27 C29:D29 C31:D31 C33:D33 C35:D35 C37:D37 C39:D39 C41:D41 C43:D43 C45:D45 C47:D47 C49:D49 C51:D51 C53:D53 C55:D55 C57:D57 C59:D59 C61:D61 C63:D63 C65:D65 C67:D67 C19:D19">
    <cfRule type="expression" dxfId="252" priority="10">
      <formula>$CQ19="X"</formula>
    </cfRule>
  </conditionalFormatting>
  <conditionalFormatting sqref="C21:D21 C23:D23 C25:D25 C27:D27 C29:D29 C31:D31 C33:D33 C35:D35 C37:D37 C39:D39 C41:D41 C43:D43 C45:D45 C47:D47 C49:D49 C51:D51 C53:D53 C55:D55 C57:D57 C59:D59 C61:D61 C63:D63 C65:D65 C67:D67">
    <cfRule type="expression" dxfId="251" priority="12" stopIfTrue="1">
      <formula>$CO21=""</formula>
    </cfRule>
  </conditionalFormatting>
  <conditionalFormatting sqref="C69:D69 C71:D71">
    <cfRule type="expression" dxfId="250" priority="14" stopIfTrue="1">
      <formula>$BT69=""</formula>
    </cfRule>
  </conditionalFormatting>
  <conditionalFormatting sqref="C69:D69">
    <cfRule type="expression" dxfId="249" priority="15">
      <formula>AND(OR($BU69&gt;$D$12,AND($E70="H",$AB$14=1)),$Q$14="")</formula>
    </cfRule>
  </conditionalFormatting>
  <conditionalFormatting sqref="C69:D71">
    <cfRule type="expression" dxfId="248" priority="16">
      <formula>$BU69&lt;=$BT69</formula>
    </cfRule>
  </conditionalFormatting>
  <conditionalFormatting sqref="C72:D72">
    <cfRule type="expression" dxfId="247" priority="17">
      <formula>$BS72&lt;=$BR72</formula>
    </cfRule>
  </conditionalFormatting>
  <conditionalFormatting sqref="C73:D73">
    <cfRule type="expression" dxfId="246" priority="18" stopIfTrue="1">
      <formula>$AI73=""</formula>
    </cfRule>
  </conditionalFormatting>
  <conditionalFormatting sqref="C73:D77">
    <cfRule type="expression" dxfId="245" priority="19">
      <formula>$AJ73&lt;=$AI73</formula>
    </cfRule>
  </conditionalFormatting>
  <conditionalFormatting sqref="C75:D75">
    <cfRule type="expression" dxfId="244" priority="21" stopIfTrue="1">
      <formula>$AI75=""</formula>
    </cfRule>
  </conditionalFormatting>
  <conditionalFormatting sqref="D11:D12">
    <cfRule type="containsText" dxfId="243" priority="22" operator="containsText" text=" ">
      <formula>NOT(ISERROR(SEARCH((" "),(D11))))</formula>
    </cfRule>
    <cfRule type="containsText" dxfId="242" priority="23" operator="containsText" text="BONUSES">
      <formula>NOT(ISERROR(SEARCH(("BONUSES"),(D11))))</formula>
    </cfRule>
    <cfRule type="containsText" dxfId="241" priority="24" operator="containsText" text="TRANSITION">
      <formula>NOT(ISERROR(SEARCH(("TRANSITION"),(D11))))</formula>
    </cfRule>
    <cfRule type="containsText" dxfId="240" priority="25" operator="containsText" text="ACROBATIC">
      <formula>NOT(ISERROR(SEARCH(("ACROBATIC"),(D11))))</formula>
    </cfRule>
    <cfRule type="containsText" dxfId="239" priority="26" operator="containsText" text="HYBRID">
      <formula>NOT(ISERROR(SEARCH(("HYBRID"),(D11))))</formula>
    </cfRule>
  </conditionalFormatting>
  <conditionalFormatting sqref="D21 D23 D25 D27 D29 D31 D33 D35 D37 D39 D41 D43 D45 D47 D49 D51 D53 D55 D57 D59 D61 D63 D65 D67">
    <cfRule type="expression" dxfId="238" priority="27">
      <formula>AND(B21&lt;&gt;"",E19="",D21="")</formula>
    </cfRule>
  </conditionalFormatting>
  <conditionalFormatting sqref="F5 F9">
    <cfRule type="expression" dxfId="237" priority="28">
      <formula>AND(F5="",$F$19&lt;&gt;"")</formula>
    </cfRule>
  </conditionalFormatting>
  <conditionalFormatting sqref="F19 F21 F23 F25 F27 F29 F31 F33 F35 F37 F39 F41 F43 F45 F47 F49 F51 F53 F55 F57 F59 F61 F63 F65 F67 F69:F72">
    <cfRule type="expression" dxfId="236" priority="29">
      <formula>AND(F19="",A19&lt;&gt;"")</formula>
    </cfRule>
    <cfRule type="containsText" dxfId="235" priority="30" operator="containsText" text="Technical Required Element">
      <formula>NOT(ISERROR(SEARCH(("Technical Required Element"),(F19))))</formula>
    </cfRule>
    <cfRule type="containsText" dxfId="234" priority="31" operator="containsText" text="Hybrid">
      <formula>NOT(ISERROR(SEARCH(("Hybrid"),(F19))))</formula>
    </cfRule>
    <cfRule type="containsText" dxfId="233" priority="32" operator="containsText" text="Acrobatic">
      <formula>NOT(ISERROR(SEARCH(("Acrobatic"),(F19))))</formula>
    </cfRule>
    <cfRule type="containsText" dxfId="232" priority="33" operator="containsText" text="Transition">
      <formula>NOT(ISERROR(SEARCH(("Transition"),(F19))))</formula>
    </cfRule>
    <cfRule type="cellIs" dxfId="231" priority="35" operator="equal">
      <formula>"Connected Surface Movment"</formula>
    </cfRule>
  </conditionalFormatting>
  <conditionalFormatting sqref="F19 F21 F23 F25 F27 F29 F31 F33 F35 F37 F39 F41 F43 F45 F47 F49 F51 F53 F55 F57 F59 F61 F63 F65 F67">
    <cfRule type="expression" dxfId="230" priority="34" stopIfTrue="1">
      <formula>AND(F19&lt;&gt;"",OR(ED19="X",AND(F19=F17,F19&lt;&gt;"Transition - Surface Connection"),AND(F19=F21,F19&lt;&gt;"Transition - Surface Connection"),BG19="No"))</formula>
    </cfRule>
  </conditionalFormatting>
  <conditionalFormatting sqref="F69:F72">
    <cfRule type="expression" dxfId="229" priority="36" stopIfTrue="1">
      <formula>AND(F69="Hybrid",F67="Hybrid")</formula>
    </cfRule>
  </conditionalFormatting>
  <conditionalFormatting sqref="G76">
    <cfRule type="expression" dxfId="228" priority="37" stopIfTrue="1">
      <formula>G76&lt;&gt;""</formula>
    </cfRule>
    <cfRule type="expression" dxfId="227" priority="38">
      <formula>G76=""</formula>
    </cfRule>
  </conditionalFormatting>
  <conditionalFormatting sqref="G81">
    <cfRule type="expression" dxfId="226" priority="39" stopIfTrue="1">
      <formula>G81&lt;&gt;""</formula>
    </cfRule>
    <cfRule type="expression" dxfId="225" priority="40">
      <formula>G81=""</formula>
    </cfRule>
  </conditionalFormatting>
  <conditionalFormatting sqref="G12:R13 J20:AN20 J22:AN22 J24:AN24 J26:AN26 J28:AN28 J30:AN30 J32:AN32 J34:AN34 J36:AN36 J38:AN38 J40:AN40 J42:AN42 J44:AN44 J46:AN46 J48:AN48 J50:AN50 J52:AN52 J54:AN54 J56:AN56 J58:AN58 J60:AN60 J62:AN62 J64:AN64 J66:AN66 J68:AN68">
    <cfRule type="cellIs" dxfId="224" priority="41" stopIfTrue="1" operator="equal">
      <formula>0</formula>
    </cfRule>
  </conditionalFormatting>
  <conditionalFormatting sqref="G19:AN19 G21:AN21 G23:AN23 G25:AN25 G27:AN27 G29:AN29 G31:AN31 G33:AN33 G35:AN35 G37:AN37 G39:AN39 G41:AN41 G43:AN43 G45:AN45 G47:AN47 G49:AN49 G51:AN51 G53:AN53 G55:AN55 G57:AN57 G59:AN59 G61:AN61 G63:AN63 G65:AN65 G67:AN67 G69:AC69">
    <cfRule type="expression" dxfId="223" priority="42">
      <formula>AND($F19&lt;&gt;"",$F21="")</formula>
    </cfRule>
  </conditionalFormatting>
  <conditionalFormatting sqref="H76">
    <cfRule type="expression" dxfId="222" priority="43" stopIfTrue="1">
      <formula>G76&lt;&gt;""</formula>
    </cfRule>
    <cfRule type="expression" dxfId="221" priority="44">
      <formula>G76=""</formula>
    </cfRule>
  </conditionalFormatting>
  <conditionalFormatting sqref="H81">
    <cfRule type="expression" dxfId="220" priority="45" stopIfTrue="1">
      <formula>G81&lt;&gt;""</formula>
    </cfRule>
    <cfRule type="expression" dxfId="219" priority="46">
      <formula>G81=""</formula>
    </cfRule>
  </conditionalFormatting>
  <conditionalFormatting sqref="H13:R13">
    <cfRule type="expression" dxfId="218" priority="47" stopIfTrue="1">
      <formula>H13&gt;H12</formula>
    </cfRule>
    <cfRule type="expression" dxfId="217" priority="48">
      <formula>H$13&lt;H$12</formula>
    </cfRule>
    <cfRule type="expression" dxfId="216" priority="49">
      <formula>H$13=H$12</formula>
    </cfRule>
  </conditionalFormatting>
  <conditionalFormatting sqref="I76">
    <cfRule type="expression" dxfId="215" priority="50" stopIfTrue="1">
      <formula>G76&lt;&gt;""</formula>
    </cfRule>
    <cfRule type="expression" dxfId="214" priority="51">
      <formula>G76=""</formula>
    </cfRule>
  </conditionalFormatting>
  <conditionalFormatting sqref="I81">
    <cfRule type="expression" dxfId="213" priority="52" stopIfTrue="1">
      <formula>G81&lt;&gt;""</formula>
    </cfRule>
    <cfRule type="expression" dxfId="212" priority="53">
      <formula>G81=""</formula>
    </cfRule>
  </conditionalFormatting>
  <conditionalFormatting sqref="J13">
    <cfRule type="expression" dxfId="211" priority="54">
      <formula>$F$8="Acrobatic"</formula>
    </cfRule>
  </conditionalFormatting>
  <conditionalFormatting sqref="J19 J21 J23 J25 J27 J29 J31 J33 J35 J37 J39 J41 J43 J45 J47 J49 J51 J53 J55 J57 J59 J61 J63 J65 J67 J69">
    <cfRule type="expression" dxfId="210" priority="55" stopIfTrue="1">
      <formula>AND(LEFT(H20,4)&lt;&gt;"Acro",J19&lt;&gt;"",J20=0,H19&lt;&gt;"No DD")</formula>
    </cfRule>
  </conditionalFormatting>
  <conditionalFormatting sqref="J19 J21 J23 J25 J27 J29 J31 J33 J35 J37 J39 J41 J43 J45 J47 J49 J51 J53 J55 J57 J59 J61 J63 J65 J67">
    <cfRule type="expression" dxfId="209" priority="56" stopIfTrue="1">
      <formula>AND(E20&lt;&gt;"",J19="")</formula>
    </cfRule>
    <cfRule type="expression" dxfId="208" priority="57">
      <formula>OR(AND($J19&lt;&gt;"",$E20="B",$DI$12=$J19),AND($J19&lt;&gt;"",$E20="C",$DK$12=$J19),AND($J19&lt;&gt;"",$E20="P",$DL$12=$J19))</formula>
    </cfRule>
    <cfRule type="expression" dxfId="207" priority="58">
      <formula>AND($E20="PA",$DN$15="YES",J19=$DO$15)</formula>
    </cfRule>
  </conditionalFormatting>
  <conditionalFormatting sqref="J19:J68">
    <cfRule type="expression" dxfId="206" priority="59" stopIfTrue="1">
      <formula>AND(F19="Transition",J19&lt;&gt;"")</formula>
    </cfRule>
    <cfRule type="containsBlanks" dxfId="205" priority="60">
      <formula>LEN(TRIM(J19))=0</formula>
    </cfRule>
  </conditionalFormatting>
  <conditionalFormatting sqref="J76 AP76">
    <cfRule type="expression" dxfId="204" priority="61" stopIfTrue="1">
      <formula>G76&lt;&gt;""</formula>
    </cfRule>
    <cfRule type="expression" dxfId="203" priority="62">
      <formula>G76=""</formula>
    </cfRule>
  </conditionalFormatting>
  <conditionalFormatting sqref="J81">
    <cfRule type="expression" dxfId="202" priority="63" stopIfTrue="1">
      <formula>J81&lt;&gt;""</formula>
    </cfRule>
    <cfRule type="expression" dxfId="201" priority="64">
      <formula>J81=""</formula>
    </cfRule>
  </conditionalFormatting>
  <conditionalFormatting sqref="J19:L19 J21:L21 J23:L23 J25:L25 J27:L27 J29:L29 J31:L31 J33:L33 J35:L35 J37:L37 J39:L39 J41:L41 J43:L43 J45:L45 J47:L47 J49:L49 J51:L51 J53:L53 J55:L55 J57:L57 J59:L59 J61:L61 J63:L63 J65:L65 J67:L67">
    <cfRule type="expression" dxfId="200" priority="65">
      <formula>AND($F19="Hybrid - Thrust + 2 connections",$HA19="X")</formula>
    </cfRule>
  </conditionalFormatting>
  <conditionalFormatting sqref="J18:R18">
    <cfRule type="expression" dxfId="199" priority="66">
      <formula>$Q$14&lt;&gt;"X"</formula>
    </cfRule>
  </conditionalFormatting>
  <conditionalFormatting sqref="J19:R19 J21:R21 J23:R23 J25:R25 J27:R27 J29:R29 J31:R31 J33:R33 J35:R35 J37:R37 J39:R39 J41:R41 J43:R43 J45:R45 J47:R47 J49:R49 J51:R51 J53:R53 J55:R55 J57:R57 J59:R59 J61:R61 J63:R63 J65:R65 J67:R67">
    <cfRule type="expression" dxfId="198" priority="67" stopIfTrue="1">
      <formula>CU19="X"</formula>
    </cfRule>
  </conditionalFormatting>
  <conditionalFormatting sqref="J19:AM19 J21:AM21 J23:AM23 J25:AM25 J27:AM27 J29:AM29 J31:AM31 J33:AM33 J35:AM35 J37:AM37 J39:AM39 J41:AM41 J43:AM43 J45:AM45 J47:AM47 J49:AM49 J51:AM51 J53:AM53 J55:AM55 J57:AM57 J59:AM59 J61:AM61 J63:AM63 J65:AM65 J67:AM67">
    <cfRule type="expression" dxfId="197" priority="68" stopIfTrue="1">
      <formula>AND(J19&lt;&gt;"",J20=0,$H19&lt;&gt;"No DD")</formula>
    </cfRule>
    <cfRule type="expression" dxfId="196" priority="69">
      <formula>AND(OR(J19=$FN20,J19=$FM20),J19&lt;&gt;"",$FN$15="Yes")</formula>
    </cfRule>
  </conditionalFormatting>
  <conditionalFormatting sqref="J19:AN58">
    <cfRule type="expression" dxfId="195" priority="70" stopIfTrue="1">
      <formula>AND($G19&lt;&gt;"",J19&lt;&gt;"",J20=0)</formula>
    </cfRule>
  </conditionalFormatting>
  <conditionalFormatting sqref="J19:AN68 J69:AC69">
    <cfRule type="expression" dxfId="194" priority="71" stopIfTrue="1">
      <formula>AND(OR($F19="Transition",$F19="Transition - Surface Connection"),$F21="")</formula>
    </cfRule>
  </conditionalFormatting>
  <conditionalFormatting sqref="K7">
    <cfRule type="expression" dxfId="193" priority="72">
      <formula>$M$7="X"</formula>
    </cfRule>
  </conditionalFormatting>
  <conditionalFormatting sqref="K8">
    <cfRule type="expression" dxfId="192" priority="73">
      <formula>$M$8="X"</formula>
    </cfRule>
  </conditionalFormatting>
  <conditionalFormatting sqref="K19 K21 K23 K25 K27 K29 K31 K33 K35 K37 K39 K41 K43 K45 K47 K49 K51 K53 K55 K57 K59 K61 K63 K65 K67">
    <cfRule type="expression" dxfId="191" priority="74">
      <formula>OR(AND($K19&lt;&gt;"",$E20="B",$DJ$12=$K19),AND($K19&lt;&gt;"",$E20="P",$DM$12=$K19))</formula>
    </cfRule>
  </conditionalFormatting>
  <conditionalFormatting sqref="K76">
    <cfRule type="expression" dxfId="190" priority="75" stopIfTrue="1">
      <formula>K76&lt;&gt;""</formula>
    </cfRule>
    <cfRule type="expression" dxfId="189" priority="76">
      <formula>K76=""</formula>
    </cfRule>
  </conditionalFormatting>
  <conditionalFormatting sqref="K81">
    <cfRule type="expression" dxfId="188" priority="77" stopIfTrue="1">
      <formula>J81&lt;&gt;""</formula>
    </cfRule>
    <cfRule type="expression" dxfId="187" priority="78">
      <formula>J81=""</formula>
    </cfRule>
  </conditionalFormatting>
  <conditionalFormatting sqref="K19:L19 K21:L21 K23:L23 K25:L25 K27:L27 K29:L29 K31:L31 K33:L33 K35:L35 K37:L37 K39:L39 K41:L41 K43:L43 K45:L45 K47:L47 K49:L49 K51:L51 K53:L53 K55:L55 K57:L57 K59:L59 K61:L61 K63:L63 K65:L65 K67:L67">
    <cfRule type="expression" dxfId="186" priority="79">
      <formula>AND($F19="Hybrid - Thrust + 2 connections",K19="")</formula>
    </cfRule>
  </conditionalFormatting>
  <conditionalFormatting sqref="K13:M13">
    <cfRule type="expression" dxfId="185" priority="80" stopIfTrue="1">
      <formula>(AND(K12&lt;1,K13&gt;K12))</formula>
    </cfRule>
  </conditionalFormatting>
  <conditionalFormatting sqref="K19:M19 K21:M21 K23:M23 K25:M25 K27:M27 K29:M29 K31:M31 K33:M33 K35:M35 K37:M37 K39:M39 K41:M41 K43:M43 K45:M45 K47:M47 K49:M49 K51:M51 K53:M53 K55:M55 K57:M57 K59:M59 K61:M61 K63:M63 K65:M65 K67:M67">
    <cfRule type="expression" dxfId="184" priority="81" stopIfTrue="1">
      <formula>AND(K19="",DE19="Z")</formula>
    </cfRule>
  </conditionalFormatting>
  <conditionalFormatting sqref="K19:Z19 K21:Z21 K23:Z23 K25:Z25 K27:Z27 K29:Z29 K31:Z31 K33:Z33 K35:Z35 K37:Z37 K39:Z39 K41:Z41 K43:Z43 K45:Z45 K47:Z47 K49:Z49 K51:Z51 K53:Z53 K55:Z55 K57:Z57 K59:Z59 K61:Z61 K63:Z63 K65:Z65 K67:Z67">
    <cfRule type="expression" dxfId="183" priority="82" stopIfTrue="1">
      <formula>AND($F21="",OR($E20=3,$E20="PA",$F19="Hybrid - min 4 swimmers (no DD)"))</formula>
    </cfRule>
  </conditionalFormatting>
  <conditionalFormatting sqref="K19:AN68">
    <cfRule type="containsBlanks" dxfId="182" priority="83" stopIfTrue="1">
      <formula>LEN(TRIM(K19))=0</formula>
    </cfRule>
  </conditionalFormatting>
  <conditionalFormatting sqref="L5">
    <cfRule type="expression" dxfId="181" priority="84">
      <formula>$A$5="Club:"</formula>
    </cfRule>
  </conditionalFormatting>
  <conditionalFormatting sqref="L7">
    <cfRule type="expression" dxfId="180" priority="85">
      <formula>$M$7&lt;&gt;"X"</formula>
    </cfRule>
  </conditionalFormatting>
  <conditionalFormatting sqref="L8">
    <cfRule type="expression" dxfId="179" priority="86">
      <formula>$M$8=""</formula>
    </cfRule>
  </conditionalFormatting>
  <conditionalFormatting sqref="L76">
    <cfRule type="expression" dxfId="178" priority="87" stopIfTrue="1">
      <formula>K76&lt;&gt;""</formula>
    </cfRule>
    <cfRule type="expression" dxfId="177" priority="88">
      <formula>K76=""</formula>
    </cfRule>
  </conditionalFormatting>
  <conditionalFormatting sqref="L81">
    <cfRule type="expression" dxfId="176" priority="89" stopIfTrue="1">
      <formula>J81&lt;&gt;""</formula>
    </cfRule>
    <cfRule type="expression" dxfId="175" priority="90">
      <formula>J81=""</formula>
    </cfRule>
  </conditionalFormatting>
  <conditionalFormatting sqref="L13:Q13">
    <cfRule type="expression" dxfId="174" priority="91" stopIfTrue="1">
      <formula>L13&gt;L12</formula>
    </cfRule>
  </conditionalFormatting>
  <conditionalFormatting sqref="M5">
    <cfRule type="containsText" dxfId="173" priority="92" operator="containsText" text=" ">
      <formula>NOT(ISERROR(SEARCH((" "),(M5))))</formula>
    </cfRule>
    <cfRule type="containsText" dxfId="172" priority="93" operator="containsText" text="BONUSES">
      <formula>NOT(ISERROR(SEARCH(("BONUSES"),(M5))))</formula>
    </cfRule>
    <cfRule type="containsText" dxfId="171" priority="94" operator="containsText" text="TRANSITION">
      <formula>NOT(ISERROR(SEARCH(("TRANSITION"),(M5))))</formula>
    </cfRule>
    <cfRule type="containsText" dxfId="170" priority="95" operator="containsText" text="ACROBATIC">
      <formula>NOT(ISERROR(SEARCH(("ACROBATIC"),(M5))))</formula>
    </cfRule>
    <cfRule type="containsText" dxfId="169" priority="96" operator="containsText" text="HYBRID">
      <formula>NOT(ISERROR(SEARCH(("HYBRID"),(M5))))</formula>
    </cfRule>
  </conditionalFormatting>
  <conditionalFormatting sqref="M76">
    <cfRule type="expression" dxfId="168" priority="97" stopIfTrue="1">
      <formula>K76&lt;&gt;""</formula>
    </cfRule>
    <cfRule type="expression" dxfId="167" priority="98">
      <formula>K76=""</formula>
    </cfRule>
  </conditionalFormatting>
  <conditionalFormatting sqref="M81">
    <cfRule type="expression" dxfId="166" priority="99" stopIfTrue="1">
      <formula>M81&lt;&gt;""</formula>
    </cfRule>
    <cfRule type="expression" dxfId="165" priority="100">
      <formula>M81=""</formula>
    </cfRule>
  </conditionalFormatting>
  <conditionalFormatting sqref="M6:N6">
    <cfRule type="containsText" dxfId="164" priority="101" operator="containsText" text=" ">
      <formula>NOT(ISERROR(SEARCH((" "),(M6))))</formula>
    </cfRule>
    <cfRule type="containsText" dxfId="163" priority="102" operator="containsText" text="BONUSES">
      <formula>NOT(ISERROR(SEARCH(("BONUSES"),(M6))))</formula>
    </cfRule>
    <cfRule type="containsText" dxfId="162" priority="103" operator="containsText" text="TRANSITION">
      <formula>NOT(ISERROR(SEARCH(("TRANSITION"),(M6))))</formula>
    </cfRule>
    <cfRule type="containsText" dxfId="161" priority="104" operator="containsText" text="ACROBATIC">
      <formula>NOT(ISERROR(SEARCH(("ACROBATIC"),(M6))))</formula>
    </cfRule>
    <cfRule type="containsText" dxfId="160" priority="105" operator="containsText" text="HYBRID">
      <formula>NOT(ISERROR(SEARCH(("HYBRID"),(M6))))</formula>
    </cfRule>
  </conditionalFormatting>
  <conditionalFormatting sqref="M19:N19 M21:N21 M23:N23 M25:N25 M27:N27 M29:N29 M31:N31 M33:N33 M35:N35 M37:N37 M39:N39 M41:N41 M43:N43 M45:N45 M47:N47 M49:N49 M51:N51 M53:N53 M55:N55 M57:N57 M59:N59 M61:N61 M63:N63 M65:N65 M67:N67">
    <cfRule type="expression" dxfId="159" priority="106">
      <formula>OR(AND(M19&lt;&gt;"",$E20="A",OR($DG$12=M19,$DH$12=M19)),AND(M19&lt;&gt;"",$E20="P",OR($DN$12=M19,$DO$12=M19)))</formula>
    </cfRule>
    <cfRule type="expression" dxfId="158" priority="107">
      <formula>$CT19="X"</formula>
    </cfRule>
  </conditionalFormatting>
  <conditionalFormatting sqref="M19:AN68">
    <cfRule type="expression" dxfId="157" priority="108">
      <formula>$F19="Hybrid - Thrust + 2 connections"</formula>
    </cfRule>
  </conditionalFormatting>
  <conditionalFormatting sqref="N6">
    <cfRule type="expression" dxfId="156" priority="109">
      <formula>AND($N$6="",OR($F$8="Open Free Combination",$F$8="Open Team Acrobatic"),$F$19&lt;&gt;"")</formula>
    </cfRule>
  </conditionalFormatting>
  <conditionalFormatting sqref="N76">
    <cfRule type="expression" dxfId="155" priority="110" stopIfTrue="1">
      <formula>K76&lt;&gt;""</formula>
    </cfRule>
    <cfRule type="expression" dxfId="154" priority="111">
      <formula>K76=""</formula>
    </cfRule>
  </conditionalFormatting>
  <conditionalFormatting sqref="N81">
    <cfRule type="expression" dxfId="153" priority="112" stopIfTrue="1">
      <formula>M81&lt;&gt;""</formula>
    </cfRule>
    <cfRule type="expression" dxfId="152" priority="113">
      <formula>M81=""</formula>
    </cfRule>
  </conditionalFormatting>
  <conditionalFormatting sqref="O5">
    <cfRule type="containsText" dxfId="151" priority="114" operator="containsText" text=" ">
      <formula>NOT(ISERROR(SEARCH((" "),(O5))))</formula>
    </cfRule>
    <cfRule type="containsText" dxfId="150" priority="115" operator="containsText" text="BONUSES">
      <formula>NOT(ISERROR(SEARCH(("BONUSES"),(O5))))</formula>
    </cfRule>
    <cfRule type="containsText" dxfId="149" priority="116" operator="containsText" text="TRANSITION">
      <formula>NOT(ISERROR(SEARCH(("TRANSITION"),(O5))))</formula>
    </cfRule>
    <cfRule type="containsText" dxfId="148" priority="117" operator="containsText" text="ACROBATIC">
      <formula>NOT(ISERROR(SEARCH(("ACROBATIC"),(O5))))</formula>
    </cfRule>
    <cfRule type="containsText" dxfId="147" priority="118" operator="containsText" text="HYBRID">
      <formula>NOT(ISERROR(SEARCH(("HYBRID"),(O5))))</formula>
    </cfRule>
  </conditionalFormatting>
  <conditionalFormatting sqref="O76">
    <cfRule type="expression" dxfId="146" priority="119" stopIfTrue="1">
      <formula>O76&lt;&gt;""</formula>
    </cfRule>
    <cfRule type="expression" dxfId="145" priority="120">
      <formula>O76=""</formula>
    </cfRule>
  </conditionalFormatting>
  <conditionalFormatting sqref="O81">
    <cfRule type="expression" dxfId="144" priority="121" stopIfTrue="1">
      <formula>M81&lt;&gt;""</formula>
    </cfRule>
    <cfRule type="expression" dxfId="143" priority="122">
      <formula>M81=""</formula>
    </cfRule>
  </conditionalFormatting>
  <conditionalFormatting sqref="P76">
    <cfRule type="expression" dxfId="142" priority="123" stopIfTrue="1">
      <formula>O76&lt;&gt;""</formula>
    </cfRule>
    <cfRule type="expression" dxfId="141" priority="124">
      <formula>O76=""</formula>
    </cfRule>
  </conditionalFormatting>
  <conditionalFormatting sqref="P81">
    <cfRule type="expression" dxfId="140" priority="125" stopIfTrue="1">
      <formula>P81&lt;&gt;""</formula>
    </cfRule>
    <cfRule type="expression" dxfId="139" priority="126">
      <formula>P81=""</formula>
    </cfRule>
  </conditionalFormatting>
  <conditionalFormatting sqref="Q76">
    <cfRule type="expression" dxfId="138" priority="127" stopIfTrue="1">
      <formula>O76&lt;&gt;""</formula>
    </cfRule>
    <cfRule type="expression" dxfId="137" priority="128">
      <formula>O76=""</formula>
    </cfRule>
  </conditionalFormatting>
  <conditionalFormatting sqref="Q81">
    <cfRule type="expression" dxfId="136" priority="129" stopIfTrue="1">
      <formula>P81&lt;&gt;""</formula>
    </cfRule>
    <cfRule type="expression" dxfId="135" priority="130">
      <formula>P81=""</formula>
    </cfRule>
  </conditionalFormatting>
  <conditionalFormatting sqref="Q19:R68">
    <cfRule type="expression" dxfId="134" priority="131">
      <formula>$DM19="X"</formula>
    </cfRule>
  </conditionalFormatting>
  <conditionalFormatting sqref="R76">
    <cfRule type="expression" dxfId="133" priority="132" stopIfTrue="1">
      <formula>O76&lt;&gt;""</formula>
    </cfRule>
    <cfRule type="expression" dxfId="132" priority="133">
      <formula>O76=""</formula>
    </cfRule>
  </conditionalFormatting>
  <conditionalFormatting sqref="R81">
    <cfRule type="expression" dxfId="131" priority="134" stopIfTrue="1">
      <formula>P81&lt;&gt;""</formula>
    </cfRule>
    <cfRule type="expression" dxfId="130" priority="135">
      <formula>P81=""</formula>
    </cfRule>
  </conditionalFormatting>
  <conditionalFormatting sqref="S76">
    <cfRule type="expression" dxfId="129" priority="136" stopIfTrue="1">
      <formula>S76&lt;&gt;""</formula>
    </cfRule>
    <cfRule type="expression" dxfId="128" priority="137">
      <formula>S76=""</formula>
    </cfRule>
  </conditionalFormatting>
  <conditionalFormatting sqref="S81">
    <cfRule type="expression" dxfId="127" priority="138" stopIfTrue="1">
      <formula>S81&lt;&gt;""</formula>
    </cfRule>
    <cfRule type="expression" dxfId="126" priority="139">
      <formula>S81=""</formula>
    </cfRule>
  </conditionalFormatting>
  <conditionalFormatting sqref="S13:W13">
    <cfRule type="expression" dxfId="125" priority="140">
      <formula>OR(AND($BV$8="T",GT14="X"),AND($BV$3="No",$BV$8&lt;&gt;"T",GT17&gt;0))</formula>
    </cfRule>
  </conditionalFormatting>
  <conditionalFormatting sqref="S11:X13">
    <cfRule type="expression" dxfId="124" priority="141">
      <formula>$BV$3="Yes"</formula>
    </cfRule>
  </conditionalFormatting>
  <conditionalFormatting sqref="S13:X13 H12:R12 Y12:AD12">
    <cfRule type="cellIs" dxfId="123" priority="142" operator="greaterThan">
      <formula>0</formula>
    </cfRule>
  </conditionalFormatting>
  <conditionalFormatting sqref="S13:X13">
    <cfRule type="expression" dxfId="122" priority="143">
      <formula>AND(S12&lt;&gt;"",S13="Not OK")</formula>
    </cfRule>
  </conditionalFormatting>
  <conditionalFormatting sqref="T76">
    <cfRule type="expression" dxfId="121" priority="144" stopIfTrue="1">
      <formula>S76&lt;&gt;""</formula>
    </cfRule>
    <cfRule type="expression" dxfId="120" priority="145">
      <formula>S76=""</formula>
    </cfRule>
  </conditionalFormatting>
  <conditionalFormatting sqref="T81">
    <cfRule type="expression" dxfId="119" priority="146" stopIfTrue="1">
      <formula>S81&lt;&gt;""</formula>
    </cfRule>
    <cfRule type="expression" dxfId="118" priority="147">
      <formula>S81=""</formula>
    </cfRule>
  </conditionalFormatting>
  <conditionalFormatting sqref="U76">
    <cfRule type="expression" dxfId="117" priority="148" stopIfTrue="1">
      <formula>S76&lt;&gt;""</formula>
    </cfRule>
    <cfRule type="expression" dxfId="116" priority="149">
      <formula>S76=""</formula>
    </cfRule>
  </conditionalFormatting>
  <conditionalFormatting sqref="U81">
    <cfRule type="expression" dxfId="115" priority="150" stopIfTrue="1">
      <formula>S81&lt;&gt;""</formula>
    </cfRule>
    <cfRule type="expression" dxfId="114" priority="151">
      <formula>S81=""</formula>
    </cfRule>
  </conditionalFormatting>
  <conditionalFormatting sqref="V76">
    <cfRule type="expression" dxfId="113" priority="152" stopIfTrue="1">
      <formula>S76&lt;&gt;""</formula>
    </cfRule>
    <cfRule type="expression" dxfId="112" priority="153">
      <formula>S76=""</formula>
    </cfRule>
  </conditionalFormatting>
  <conditionalFormatting sqref="V81">
    <cfRule type="expression" dxfId="111" priority="154" stopIfTrue="1">
      <formula>V81&lt;&gt;""</formula>
    </cfRule>
    <cfRule type="expression" dxfId="110" priority="155">
      <formula>V81=""</formula>
    </cfRule>
  </conditionalFormatting>
  <conditionalFormatting sqref="W76">
    <cfRule type="expression" dxfId="109" priority="156" stopIfTrue="1">
      <formula>W76&lt;&gt;""</formula>
    </cfRule>
    <cfRule type="expression" dxfId="108" priority="157">
      <formula>W76=""</formula>
    </cfRule>
  </conditionalFormatting>
  <conditionalFormatting sqref="W81">
    <cfRule type="expression" dxfId="107" priority="158" stopIfTrue="1">
      <formula>V81&lt;&gt;""</formula>
    </cfRule>
    <cfRule type="expression" dxfId="106" priority="159">
      <formula>V81=""</formula>
    </cfRule>
  </conditionalFormatting>
  <conditionalFormatting sqref="X11">
    <cfRule type="expression" dxfId="105" priority="160">
      <formula>OR($BV$4="Yes",$BV$8="T")</formula>
    </cfRule>
  </conditionalFormatting>
  <conditionalFormatting sqref="X12:X13">
    <cfRule type="expression" dxfId="104" priority="161">
      <formula>OR($BV$4="Yes",$BV$8="T")</formula>
    </cfRule>
  </conditionalFormatting>
  <conditionalFormatting sqref="X13">
    <cfRule type="expression" dxfId="103" priority="162" stopIfTrue="1">
      <formula>AND($X$12="C",$X$13="OK")</formula>
    </cfRule>
  </conditionalFormatting>
  <conditionalFormatting sqref="X14">
    <cfRule type="notContainsBlanks" dxfId="102" priority="163">
      <formula>LEN(TRIM(X14))&gt;0</formula>
    </cfRule>
  </conditionalFormatting>
  <conditionalFormatting sqref="X76">
    <cfRule type="expression" dxfId="101" priority="164" stopIfTrue="1">
      <formula>W76&lt;&gt;""</formula>
    </cfRule>
    <cfRule type="expression" dxfId="100" priority="165">
      <formula>W76=""</formula>
    </cfRule>
  </conditionalFormatting>
  <conditionalFormatting sqref="X81">
    <cfRule type="expression" dxfId="99" priority="166" stopIfTrue="1">
      <formula>V81&lt;&gt;""</formula>
    </cfRule>
    <cfRule type="expression" dxfId="98" priority="167">
      <formula>V81=""</formula>
    </cfRule>
  </conditionalFormatting>
  <conditionalFormatting sqref="Y76">
    <cfRule type="expression" dxfId="97" priority="168" stopIfTrue="1">
      <formula>W76&lt;&gt;""</formula>
    </cfRule>
    <cfRule type="expression" dxfId="96" priority="169">
      <formula>W76=""</formula>
    </cfRule>
  </conditionalFormatting>
  <conditionalFormatting sqref="Y81">
    <cfRule type="expression" dxfId="95" priority="170" stopIfTrue="1">
      <formula>Y81&lt;&gt;""</formula>
    </cfRule>
    <cfRule type="expression" dxfId="94" priority="171">
      <formula>Y81=""</formula>
    </cfRule>
  </conditionalFormatting>
  <conditionalFormatting sqref="Y11:AB13">
    <cfRule type="expression" dxfId="93" priority="172">
      <formula>$F$8&lt;&gt;"Open Team Acrobatic"</formula>
    </cfRule>
  </conditionalFormatting>
  <conditionalFormatting sqref="Y13:AB13">
    <cfRule type="beginsWith" dxfId="92" priority="173" operator="beginsWith" text="Not">
      <formula>LEFT((Y13),LEN("Not"))=("Not")</formula>
    </cfRule>
    <cfRule type="beginsWith" dxfId="91" priority="174" operator="beginsWith" text="OK">
      <formula>LEFT((Y13),LEN("OK"))=("OK")</formula>
    </cfRule>
  </conditionalFormatting>
  <conditionalFormatting sqref="Z76">
    <cfRule type="expression" dxfId="90" priority="175" stopIfTrue="1">
      <formula>W76&lt;&gt;""</formula>
    </cfRule>
    <cfRule type="expression" dxfId="89" priority="176">
      <formula>W76=""</formula>
    </cfRule>
  </conditionalFormatting>
  <conditionalFormatting sqref="Z81">
    <cfRule type="expression" dxfId="88" priority="177" stopIfTrue="1">
      <formula>Y81&lt;&gt;""</formula>
    </cfRule>
    <cfRule type="expression" dxfId="87" priority="178">
      <formula>Y81=""</formula>
    </cfRule>
  </conditionalFormatting>
  <conditionalFormatting sqref="AA76">
    <cfRule type="expression" dxfId="86" priority="179" stopIfTrue="1">
      <formula>AA76&lt;&gt;""</formula>
    </cfRule>
    <cfRule type="expression" dxfId="85" priority="180">
      <formula>AA76=""</formula>
    </cfRule>
  </conditionalFormatting>
  <conditionalFormatting sqref="AA81">
    <cfRule type="expression" dxfId="84" priority="181" stopIfTrue="1">
      <formula>Y81&lt;&gt;""</formula>
    </cfRule>
    <cfRule type="expression" dxfId="83" priority="182">
      <formula>Y81=""</formula>
    </cfRule>
  </conditionalFormatting>
  <conditionalFormatting sqref="AA19:AB19 AA21:AB21 AA23:AB23 AA25:AB25 AA27:AB27 AA29:AB29 AA31:AB31 AA33:AB33 AA35:AB35 AA37:AB37 AA39:AB39 AA41:AB41 AA43:AB43 AA45:AB45 AA47:AB47 AA49:AB49 AA51:AB51 AA53:AB53 AA55:AB55 AA57:AB57 AA59:AB59 AA61:AB61 AA63:AB63 AA65:AB65 AA67:AB67">
    <cfRule type="expression" dxfId="82" priority="183" stopIfTrue="1">
      <formula>AND($E20="H",X19&lt;&gt;"",AA19="",#REF!="No")</formula>
    </cfRule>
  </conditionalFormatting>
  <conditionalFormatting sqref="AA19:AM19 AA21:AM21 AA23:AM23 AA25:AM25 AA27:AM27 AA29:AM29 AA31:AM31 AA33:AM33 AA35:AM35 AA37:AM37 AA39:AM39 AA41:AM41 AA43:AM43 AA45:AM45 AA47:AM47 AA49:AM49 AA51:AM51 AA53:AM53 AA55:AM55 AA57:AM57 AA59:AM59 AA61:AM61 AA63:AM63 AA65:AM65 AA67:AM67">
    <cfRule type="expression" dxfId="81" priority="184" stopIfTrue="1">
      <formula>AND($F21="",OR($E20=3,$E20="PA"))</formula>
    </cfRule>
  </conditionalFormatting>
  <conditionalFormatting sqref="AB76">
    <cfRule type="expression" dxfId="80" priority="185" stopIfTrue="1">
      <formula>AA76&lt;&gt;""</formula>
    </cfRule>
    <cfRule type="expression" dxfId="79" priority="186">
      <formula>AA76=""</formula>
    </cfRule>
  </conditionalFormatting>
  <conditionalFormatting sqref="AB81">
    <cfRule type="expression" dxfId="78" priority="187" stopIfTrue="1">
      <formula>AB81&lt;&gt;""</formula>
    </cfRule>
    <cfRule type="expression" dxfId="77" priority="188">
      <formula>AB81=""</formula>
    </cfRule>
  </conditionalFormatting>
  <conditionalFormatting sqref="AC76">
    <cfRule type="expression" dxfId="76" priority="189" stopIfTrue="1">
      <formula>AA76&lt;&gt;""</formula>
    </cfRule>
    <cfRule type="expression" dxfId="75" priority="190">
      <formula>AA76=""</formula>
    </cfRule>
  </conditionalFormatting>
  <conditionalFormatting sqref="AC81">
    <cfRule type="expression" dxfId="74" priority="191" stopIfTrue="1">
      <formula>AB81&lt;&gt;""</formula>
    </cfRule>
    <cfRule type="expression" dxfId="73" priority="192">
      <formula>AB81=""</formula>
    </cfRule>
  </conditionalFormatting>
  <conditionalFormatting sqref="AC19:AD19 AC21:AD21 AC23:AD23 AC25:AD25 AC27:AD27 AC29:AD29 AC31:AD31 AC33:AD33 AC35:AD35 AC37:AD37 AC39:AD39 AC41:AD41 AC43:AD43 AC45:AD45 AC47:AD47 AC49:AD49 AC51:AD51 AC53:AD53 AC55:AD55 AC57:AD57 AC59:AD59 AC61:AD61 AC63:AD63 AC65:AD65 AC67:AD67">
    <cfRule type="expression" dxfId="72" priority="193" stopIfTrue="1">
      <formula>AND($E20="H",X19&lt;&gt;"",AC19="",#REF!="No")</formula>
    </cfRule>
  </conditionalFormatting>
  <conditionalFormatting sqref="AD76">
    <cfRule type="expression" dxfId="71" priority="194" stopIfTrue="1">
      <formula>AA76&lt;&gt;""</formula>
    </cfRule>
    <cfRule type="expression" dxfId="70" priority="195">
      <formula>AA76=""</formula>
    </cfRule>
  </conditionalFormatting>
  <conditionalFormatting sqref="AD81">
    <cfRule type="expression" dxfId="69" priority="196" stopIfTrue="1">
      <formula>AB81&lt;&gt;""</formula>
    </cfRule>
    <cfRule type="expression" dxfId="68" priority="197">
      <formula>AB81=""</formula>
    </cfRule>
  </conditionalFormatting>
  <conditionalFormatting sqref="AE76">
    <cfRule type="expression" dxfId="67" priority="198" stopIfTrue="1">
      <formula>AE76&lt;&gt;""</formula>
    </cfRule>
    <cfRule type="expression" dxfId="66" priority="199">
      <formula>AE76=""</formula>
    </cfRule>
  </conditionalFormatting>
  <conditionalFormatting sqref="AE81">
    <cfRule type="expression" dxfId="65" priority="200" stopIfTrue="1">
      <formula>AE81&lt;&gt;""</formula>
    </cfRule>
    <cfRule type="expression" dxfId="64" priority="201">
      <formula>AE81=""</formula>
    </cfRule>
  </conditionalFormatting>
  <conditionalFormatting sqref="AE19:AF19 AE21:AF21 AE23:AF23 AE25:AF25 AE27:AF27 AE29:AF29 AE31:AF31 AE33:AF33 AE35:AF35 AE37:AF37 AE39:AF39 AE41:AF41 AE43:AF43 AE45:AF45 AE47:AF47 AE49:AF49 AE51:AF51 AE53:AF53 AE55:AF55 AE57:AF57 AE59:AF59 AE61:AF61 AE63:AF63 AE65:AF65 AE67:AF67">
    <cfRule type="expression" dxfId="63" priority="202" stopIfTrue="1">
      <formula>AND($E20="H",X19&lt;&gt;"",AE19="",#REF!="No")</formula>
    </cfRule>
  </conditionalFormatting>
  <conditionalFormatting sqref="AF76">
    <cfRule type="expression" dxfId="62" priority="203" stopIfTrue="1">
      <formula>AE76&lt;&gt;""</formula>
    </cfRule>
    <cfRule type="expression" dxfId="61" priority="204">
      <formula>AE76=""</formula>
    </cfRule>
  </conditionalFormatting>
  <conditionalFormatting sqref="AF81">
    <cfRule type="expression" dxfId="60" priority="205" stopIfTrue="1">
      <formula>AE81&lt;&gt;""</formula>
    </cfRule>
    <cfRule type="expression" dxfId="59" priority="206">
      <formula>AE81=""</formula>
    </cfRule>
  </conditionalFormatting>
  <conditionalFormatting sqref="AG76">
    <cfRule type="expression" dxfId="58" priority="207" stopIfTrue="1">
      <formula>AE76&lt;&gt;""</formula>
    </cfRule>
    <cfRule type="expression" dxfId="57" priority="208">
      <formula>AE76=""</formula>
    </cfRule>
  </conditionalFormatting>
  <conditionalFormatting sqref="AG81">
    <cfRule type="expression" dxfId="56" priority="209" stopIfTrue="1">
      <formula>AE81&lt;&gt;""</formula>
    </cfRule>
    <cfRule type="expression" dxfId="55" priority="210">
      <formula>AE81=""</formula>
    </cfRule>
  </conditionalFormatting>
  <conditionalFormatting sqref="AG19:AH19 AG21:AH21 AG23:AH23 AG25:AH25 AG27:AH27 AG29:AH29 AG31:AH31 AG33:AH33 AG35:AH35 AG37:AH37 AG39:AH39 AG41:AH41 AG43:AH43 AG45:AH45 AG47:AH47 AG49:AH49 AG51:AH51 AG53:AH53 AG55:AH55 AG57:AH57 AG59:AH59 AG61:AH61 AG63:AH63 AG65:AH65 AG67:AH67">
    <cfRule type="expression" dxfId="54" priority="211" stopIfTrue="1">
      <formula>AND($E20="H",X19&lt;&gt;"",AG19="",#REF!="No")</formula>
    </cfRule>
  </conditionalFormatting>
  <conditionalFormatting sqref="AH76">
    <cfRule type="expression" dxfId="53" priority="212" stopIfTrue="1">
      <formula>AE76&lt;&gt;""</formula>
    </cfRule>
    <cfRule type="expression" dxfId="52" priority="213">
      <formula>AE76=""</formula>
    </cfRule>
  </conditionalFormatting>
  <conditionalFormatting sqref="AH81">
    <cfRule type="expression" dxfId="51" priority="214" stopIfTrue="1">
      <formula>AH81&lt;&gt;""</formula>
    </cfRule>
    <cfRule type="expression" dxfId="50" priority="215">
      <formula>AH81=""</formula>
    </cfRule>
  </conditionalFormatting>
  <conditionalFormatting sqref="AI76">
    <cfRule type="expression" dxfId="49" priority="216" stopIfTrue="1">
      <formula>AI76&lt;&gt;""</formula>
    </cfRule>
    <cfRule type="expression" dxfId="48" priority="217">
      <formula>AI76=""</formula>
    </cfRule>
  </conditionalFormatting>
  <conditionalFormatting sqref="AI81">
    <cfRule type="expression" dxfId="47" priority="218" stopIfTrue="1">
      <formula>AH81&lt;&gt;""</formula>
    </cfRule>
    <cfRule type="expression" dxfId="46" priority="219">
      <formula>AH81=""</formula>
    </cfRule>
  </conditionalFormatting>
  <conditionalFormatting sqref="AI19:AM19 AI21:AM21 AI23:AM23 AI25:AM25 AI27:AM27 AI29:AM29 AI31:AM31 AI33:AM33 AI35:AM35 AI37:AM37 AI39:AM39 AI41:AM41 AI43:AM43 AI45:AM45 AI47:AM47 AI49:AM49 AI51:AM51 AI53:AM53 AI55:AM55 AI57:AM57 AI59:AM59 AI61:AM61 AI63:AM63 AI65:AM65 AI67:AM67">
    <cfRule type="expression" dxfId="45" priority="221" stopIfTrue="1">
      <formula>AND($E20="H",X19&lt;&gt;"",AI19="",#REF!="No")</formula>
    </cfRule>
  </conditionalFormatting>
  <conditionalFormatting sqref="AJ76">
    <cfRule type="expression" dxfId="44" priority="222" stopIfTrue="1">
      <formula>AI76&lt;&gt;""</formula>
    </cfRule>
    <cfRule type="expression" dxfId="43" priority="223">
      <formula>AI76=""</formula>
    </cfRule>
  </conditionalFormatting>
  <conditionalFormatting sqref="AJ81">
    <cfRule type="expression" dxfId="42" priority="224" stopIfTrue="1">
      <formula>AH81&lt;&gt;""</formula>
    </cfRule>
    <cfRule type="expression" dxfId="41" priority="225">
      <formula>AH81=""</formula>
    </cfRule>
  </conditionalFormatting>
  <conditionalFormatting sqref="AK76">
    <cfRule type="expression" dxfId="40" priority="226" stopIfTrue="1">
      <formula>AI76&lt;&gt;""</formula>
    </cfRule>
    <cfRule type="expression" dxfId="39" priority="227">
      <formula>AI76=""</formula>
    </cfRule>
  </conditionalFormatting>
  <conditionalFormatting sqref="AK81">
    <cfRule type="expression" dxfId="38" priority="228" stopIfTrue="1">
      <formula>AK81&lt;&gt;""</formula>
    </cfRule>
    <cfRule type="expression" dxfId="37" priority="229">
      <formula>AK81=""</formula>
    </cfRule>
  </conditionalFormatting>
  <conditionalFormatting sqref="AL76">
    <cfRule type="expression" dxfId="36" priority="230" stopIfTrue="1">
      <formula>AI76&lt;&gt;""</formula>
    </cfRule>
    <cfRule type="expression" dxfId="35" priority="231">
      <formula>AI76=""</formula>
    </cfRule>
  </conditionalFormatting>
  <conditionalFormatting sqref="AL81">
    <cfRule type="expression" dxfId="34" priority="232" stopIfTrue="1">
      <formula>AK81&lt;&gt;""</formula>
    </cfRule>
    <cfRule type="expression" dxfId="33" priority="233">
      <formula>AK81=""</formula>
    </cfRule>
  </conditionalFormatting>
  <conditionalFormatting sqref="AM76">
    <cfRule type="expression" dxfId="32" priority="234" stopIfTrue="1">
      <formula>AM76&lt;&gt;""</formula>
    </cfRule>
    <cfRule type="expression" dxfId="31" priority="235">
      <formula>AM76=""</formula>
    </cfRule>
  </conditionalFormatting>
  <conditionalFormatting sqref="AM81">
    <cfRule type="expression" dxfId="30" priority="236" stopIfTrue="1">
      <formula>AK81&lt;&gt;""</formula>
    </cfRule>
    <cfRule type="expression" dxfId="29" priority="237">
      <formula>AK81=""</formula>
    </cfRule>
  </conditionalFormatting>
  <conditionalFormatting sqref="AN19 AN21 AN23 AN25 AN27 AN29 AN31 AN33 AN35 AN37 AN39 AN41 AN43 AN45 AN47 AN49 AN51 AN53 AN55 AN57 AN59 AN61 AN63 AN65 AN67">
    <cfRule type="expression" dxfId="28" priority="238">
      <formula>OR(AND(AN19&lt;&gt;"",E20&lt;&gt;"H"),AND($AN19&lt;&gt;"",$BV$5&lt;&gt;"OK"))</formula>
    </cfRule>
  </conditionalFormatting>
  <conditionalFormatting sqref="AN76">
    <cfRule type="expression" dxfId="27" priority="239" stopIfTrue="1">
      <formula>AM76&lt;&gt;""</formula>
    </cfRule>
    <cfRule type="expression" dxfId="26" priority="240">
      <formula>AM76=""</formula>
    </cfRule>
  </conditionalFormatting>
  <conditionalFormatting sqref="AO18:AO68 AP20:BH68 AP17:BI17 CM17 AP18:CM19 CN18:CN20 BR20:CL20 BI21:CL21 CM21:CN58 BR22:CL22 BI23:CL23 BR24:CL24 BI25:CL25 BR26:CL26 BI27:CL27 BR28:CL28 BI29:CL29 BR30:CL30 BI31:CL31 BR32:CL32 BI33:CL33 BR34:CL34 BI35:CL35 BR36:CL36 BI37:CL37 BR38:CL38 BI39:CL39 BR40:CL40 BI41:CL41 BR42:CL42 BI43:CL43 BR44:CL44 BI45:CL45 BR46:CL46 BI47:CL47 BR48:CL48 BI49:CL49 BR50:CL50 BI51:CL51 BR52:CL52 BI53:CL53 BR54:CL54 BI55:CL55 BR56:CL56 BI57:CL57 BR58:CL58 BI59:BR59 BS59:CN68 BR60 BI61:BR61 BR62 BI63:BR63 BR64 BI65:BR65 BR66 BI67:BR67 BR68 AD69">
    <cfRule type="cellIs" dxfId="25" priority="244" operator="equal">
      <formula>0</formula>
    </cfRule>
  </conditionalFormatting>
  <conditionalFormatting sqref="AO20 AO22:AP22 AO24:AP24 AO26:AP26 AO28:AP28 AO30:AP30 AO32:AP32 AO34:AP34 AO36:AP36 AO38:AP38 AO40:AP40 AO42:AP42 AO44:AP44 AO46:AP46 AO48:AP48 AO50:AP50 AO52:AP52 AO54:AP54 AO56:AP56 AO58:AP58 AO60:AP60 AO62:AP62 AO64:AP64 AO66:AP66 AO68:AP68">
    <cfRule type="expression" dxfId="24" priority="241">
      <formula>AND(CO20="X",J19&lt;&gt;"")</formula>
    </cfRule>
  </conditionalFormatting>
  <conditionalFormatting sqref="AO76">
    <cfRule type="expression" dxfId="23" priority="242" stopIfTrue="1">
      <formula>AM76&lt;&gt;""</formula>
    </cfRule>
    <cfRule type="expression" dxfId="22" priority="243">
      <formula>AM76=""</formula>
    </cfRule>
  </conditionalFormatting>
  <conditionalFormatting sqref="AQ22 AQ24 AQ26 AQ28 AQ30 AQ32 AQ34 AQ36 AQ38 AQ40 AQ42 AQ44 AQ46 AQ48 AQ50 AQ52 AQ54 AQ56 AQ58 AQ60 AQ62 AQ64 AQ66 AQ68">
    <cfRule type="expression" dxfId="21" priority="245">
      <formula>CP22="X"</formula>
    </cfRule>
  </conditionalFormatting>
  <conditionalFormatting sqref="AQ1:AU9 AW1:BS9 AF10:BS14 AP15:CM16 G19:G72">
    <cfRule type="cellIs" dxfId="20" priority="246" operator="equal">
      <formula>0</formula>
    </cfRule>
  </conditionalFormatting>
  <conditionalFormatting sqref="AR22:AT22 AR24:AT24 AR26:AT26 AR28:AT28 AR30:AT30 AR32:AT32 AR34:AT34 AR36:AT36 AR38:AT38 AR40:AT40 AR42:AT42 AR44:AT44 AR46:AT46 AR48:AT48 AR50:AT50 AR52:AT52 AR54:AT54 AR56:AT56 AR58:AT58 AR60:AT60 AR62:AT62 AR64:AT64 AR66:AT66 AR68:AT68">
    <cfRule type="expression" dxfId="19" priority="247">
      <formula>CP22="X"</formula>
    </cfRule>
  </conditionalFormatting>
  <conditionalFormatting sqref="AU22 AU24 AU26 AU28 AU30 AU32 AU34 AU36 AU38 AU40 AU42 AU44 AU46 AU48 AU50 AU52 AU54 AU56 AU58 AU60 AU62 AU64 AU66 AU68">
    <cfRule type="expression" dxfId="18" priority="248">
      <formula>CR22="X"</formula>
    </cfRule>
  </conditionalFormatting>
  <conditionalFormatting sqref="AV22 AV24 AV26 AV28 AV30 AV32 AV34 AV36 AV38 AV40 AV42 AV44 AV46 AV48 AV50 AV52 AV54 AV56 AV58 AV60 AV62 AV64 AV66 AV68">
    <cfRule type="expression" dxfId="17" priority="249">
      <formula>CP22="X"</formula>
    </cfRule>
  </conditionalFormatting>
  <conditionalFormatting sqref="AW22 AW24 AW26 AW28 AW30 AW32 AW34 AW36 AW38 AW40 AW42 AW44 AW46 AW48 AW50 AW52 AW54 AW56 AW58 AW60 AW62 AW64 AW66 AW68">
    <cfRule type="expression" dxfId="16" priority="250">
      <formula>CP22="X"</formula>
    </cfRule>
  </conditionalFormatting>
  <conditionalFormatting sqref="AX22:AY22 AX24:AY24 AX26:AY26 AX28:AY28 AX30:AY30 AX32:AY32 AX34:AY34 AX36:AY36 AX38:AY38 AX40:AY40 AX42:AY42 AX44:AY44 AX46:AY46 AX48:AY48 AX50:AY50 AX52:AY52 AX54:AY54 AX56:AY56 AX58:AY58 AX60:AY60 AX62:AY62 AX64:AY64 AX66:AY66 AX68:AY68">
    <cfRule type="expression" dxfId="15" priority="251">
      <formula>CP22="X"</formula>
    </cfRule>
  </conditionalFormatting>
  <conditionalFormatting sqref="AZ22 AZ24 AZ26 AZ28 AZ30 AZ32 AZ34 AZ36 AZ38 AZ40 AZ42 AZ44 AZ46 AZ48 AZ50 AZ52 AZ54 AZ56 AZ58 AZ60 AZ62 AZ64 AZ66 AZ68">
    <cfRule type="expression" dxfId="14" priority="252">
      <formula>CQ22="X"</formula>
    </cfRule>
  </conditionalFormatting>
  <conditionalFormatting sqref="BA22 BA24 BA26 BA28 BA30 BA32 BA34 BA36 BA38 BA40 BA42 BA44 BA46 BA48 BA50 BA52 BA54 BA56 BA58 BA60 BA62 BA64 BA66 BA68">
    <cfRule type="expression" dxfId="13" priority="253">
      <formula>CQ22="X"</formula>
    </cfRule>
  </conditionalFormatting>
  <conditionalFormatting sqref="BB22 BB24 BB26 BB28 BB30 BB32 BB34 BB36 BB38 BB40 BB42 BB44 BB46 BB48 BB50 BB52 BB54 BB56 BB58 BB60 BB62 BB64 BB66 BB68">
    <cfRule type="expression" dxfId="12" priority="254">
      <formula>CQ22="X"</formula>
    </cfRule>
  </conditionalFormatting>
  <conditionalFormatting sqref="BC22 BC24 BC26 BC28 BC30 BC32 BC34 BC36 BC38 BC40 BC42 BC44 BC46 BC48 BC50 BC52 BC54 BC56 BC58 BC60 BC62 BC64 BC66 BC68">
    <cfRule type="expression" dxfId="11" priority="255">
      <formula>CQ22="X"</formula>
    </cfRule>
  </conditionalFormatting>
  <conditionalFormatting sqref="BD22 BD24 BD26 BD28 BD30 BD32 BD34 BD36 BD38 BD40 BD42 BD44 BD46 BD48 BD50 BD52 BD54 BD56 BD58 BD60 BD62 BD64 BD66 BD68">
    <cfRule type="expression" dxfId="10" priority="256">
      <formula>CQ22="X"</formula>
    </cfRule>
  </conditionalFormatting>
  <conditionalFormatting sqref="BE22 BE24 BE26 BE28 BE30 BE32 BE34 BE36 BE38 BE40 BE42 BE44 BE46 BE48 BE50 BE52 BE54 BE56 BE58 BE60 BE62 BE64 BE66 BE68">
    <cfRule type="expression" dxfId="9" priority="257">
      <formula>CQ22="X"</formula>
    </cfRule>
  </conditionalFormatting>
  <conditionalFormatting sqref="BF22 BH22 BF24 BH24 BF26 BH26 BF28 BH28 BF30 BH30 BF32 BH32 BF34 BH34 BF36 BH36 BF38 BH38 BF40 BH40 BF42 BH42 BF44 BH44 BF46 BH46 BF48 BH48 BF50 BH50 BF52 BH52 BF54 BH54 BF56 BH56 BF58 BH58 BF60 BH60 BF62 BH62 BF64 BH64 BF66 BH66 BF68 BH68">
    <cfRule type="expression" dxfId="8" priority="258">
      <formula>CP22="X"</formula>
    </cfRule>
  </conditionalFormatting>
  <conditionalFormatting sqref="CM22 CM24 CM26 CM28 CM30 CM32 CM34 CM36 CM38 CM40 CM42 CM44 CM46 CM48 CM50 CM52 CM54 CM56 CM58 CM60 CM62 CM64 CM66 CM68">
    <cfRule type="expression" dxfId="7" priority="259">
      <formula>CP22="X"</formula>
    </cfRule>
  </conditionalFormatting>
  <conditionalFormatting sqref="CN20 CN22 CN24 CN26 CN28 CN30 CN32 CN34 CN36 CN38 CN40 CN42 CN44 CN46 CN48 CN50 CN52 CN54 CN56 CN58 CN60 CN62 CN64 CN66 CN68">
    <cfRule type="expression" dxfId="6" priority="260">
      <formula>CP20="X"</formula>
    </cfRule>
  </conditionalFormatting>
  <dataValidations count="10">
    <dataValidation type="list" allowBlank="1" showErrorMessage="1" sqref="AA59:AB59 AA61:AB61 AA63:AB63 AA65:AB65 AA67:AB67" xr:uid="{00000000-0002-0000-0100-000001000000}">
      <formula1>INDIRECT(BX59)</formula1>
    </dataValidation>
    <dataValidation type="list" allowBlank="1" showErrorMessage="1" sqref="L7:L8" xr:uid="{00000000-0002-0000-0100-000002000000}">
      <formula1>"Y,N,y,n"</formula1>
    </dataValidation>
    <dataValidation type="list" allowBlank="1" showErrorMessage="1" sqref="D19 D21 D23 D25 D27 D29 D31 D33 D35 D37 D39 D41 D43 D45 D47 D49 D51 D53 D55 D57 D59 D61 D63 D65 D67 D69" xr:uid="{00000000-0002-0000-0100-000004000000}">
      <formula1>"00,01,02,03,04,05,06,07,08,09,10,11,12,13,14,15,16,17,18,19,20,21,22,23,24,25,26,27,28,29,30,31,32,33,34,35,36,37,38,39,40,41,42,43,44,45,46,47,48,49,50,51,52,53,54,55,56,57,58,59"</formula1>
    </dataValidation>
    <dataValidation type="list" allowBlank="1" showErrorMessage="1" sqref="A5" xr:uid="{00000000-0002-0000-0100-000006000000}">
      <formula1>"Federation:,Club:"</formula1>
    </dataValidation>
    <dataValidation type="list" allowBlank="1" showErrorMessage="1" sqref="AI59:AM59 AI61:AM61 AI63:AM63 AI65:AM65 AI67:AM67" xr:uid="{00000000-0002-0000-0100-000013000000}">
      <formula1>INDIRECT(BX59)</formula1>
    </dataValidation>
    <dataValidation type="list" allowBlank="1" showErrorMessage="1" sqref="AC59:AD59 AC61:AD61 AC63:AD63 AC65:AD65 AC67:AD67" xr:uid="{00000000-0002-0000-0100-00001B000000}">
      <formula1>INDIRECT(BX59)</formula1>
    </dataValidation>
    <dataValidation type="list" allowBlank="1" showErrorMessage="1" sqref="AE59:AF59 AE61:AF61 AE63:AF63 AE65:AF65 AE67:AF67" xr:uid="{00000000-0002-0000-0100-00001C000000}">
      <formula1>INDIRECT(BX59)</formula1>
    </dataValidation>
    <dataValidation type="list" allowBlank="1" showErrorMessage="1" sqref="AG59:AH59 AG61:AH61 AG63:AH63 AG65:AH65 AG67:AH67" xr:uid="{00000000-0002-0000-0100-00001D000000}">
      <formula1>INDIRECT(BX59)</formula1>
    </dataValidation>
    <dataValidation type="list" allowBlank="1" showErrorMessage="1" sqref="J19:AM19 J21:AM21 J23:AM23 J25:AM25 J27:AM27 J29:AM29 J31:AM31 J33:AM33 J35:AM35 J37:AM37 J39:AM39 J41:AM41 J43:AM43 J45:AM45 J47:AM47 J49:AM49 J51:AM51 J53:AM53 J55:AM55 J57:AM57 J59:Z59 J61:Z61 J63:Z63 J65:Z65 J67:Z67" xr:uid="{00000000-0002-0000-0100-00001F000000}">
      <formula1>INDIRECT(BI19)</formula1>
    </dataValidation>
    <dataValidation type="list" allowBlank="1" showErrorMessage="1" sqref="C19 C21 C23 C25 C27 C29 C31 C33 C35 C37 C39 C41 C43 C45 C47 C49 C51 C53 C55 C57 C59 C61 C63 C65 C67 C69" xr:uid="{00000000-0002-0000-0100-000021000000}">
      <formula1>"00,01,02,03"</formula1>
    </dataValidation>
  </dataValidations>
  <printOptions horizontalCentered="1" verticalCentered="1"/>
  <pageMargins left="0.25" right="0.25" top="0.75" bottom="0.75" header="0" footer="0"/>
  <pageSetup orientation="landscape"/>
  <drawing r:id="rId1"/>
  <extLst>
    <ext xmlns:x14="http://schemas.microsoft.com/office/spreadsheetml/2009/9/main" uri="{CCE6A557-97BC-4b89-ADB6-D9C93CAAB3DF}">
      <x14:dataValidations xmlns:xm="http://schemas.microsoft.com/office/excel/2006/main" count="24">
        <x14:dataValidation type="list" allowBlank="1" showErrorMessage="1" xr:uid="{00000000-0002-0000-0100-000000000000}">
          <x14:formula1>
            <xm:f>IF(AND($BV$5="OK",E20="H",H19&lt;&gt;"No DD",F19&lt;&gt;"Hybrid - Solo",F19&lt;&gt;"Hybrid - Duet"),HybridBonus_Code,Data!$BI$1:$BI$5)</xm:f>
          </x14:formula1>
          <xm:sqref>AN19 AN21 AN23 AN25 AN27 AN29 AN31 AN33 AN35 AN37 AN39 AN41 AN43 AN45 AN47 AN49 AN51 AN53 AN55 AN57 AN59 AN61 AN63 AN65 AN67</xm:sqref>
        </x14:dataValidation>
        <x14:dataValidation type="list" allowBlank="1" showErrorMessage="1" xr:uid="{00000000-0002-0000-0100-000003000000}">
          <x14:formula1>
            <xm:f>IF(E70="H",HybridDD,IF(E70=3,TreDD,IF(E70="A",AcroADD1,IF(E70="B",AcroBDD1,IF(E70="C",AcroCDD1,IF(E70="P",AcroPDD1,IF(E70="PA",AcroPairDD,Data!$BJ$1:$BJ$5)))))))</xm:f>
          </x14:formula1>
          <xm:sqref>J69</xm:sqref>
        </x14:dataValidation>
        <x14:dataValidation type="list" allowBlank="1" showErrorMessage="1" xr:uid="{00000000-0002-0000-0100-000005000000}">
          <x14:formula1>
            <xm:f>IF(E70="H",HybridDD,Data!$BJ$1:$BJ$5)</xm:f>
          </x14:formula1>
          <xm:sqref>V69</xm:sqref>
        </x14:dataValidation>
        <x14:dataValidation type="list" allowBlank="1" showErrorMessage="1" xr:uid="{00000000-0002-0000-0100-000007000000}">
          <x14:formula1>
            <xm:f>IF(E70="H",HybridDD,IF(E70=3,Data!$BJ$1:$BJ$5,IF(E70="A",AcroADD5,IF(E70="B",AcroBDD5,IF(E70="C",AcroCDD5,IF(E70="P",AcroPDD5,Data!$BJ$1:$BJ$5))))))</xm:f>
          </x14:formula1>
          <xm:sqref>O69</xm:sqref>
        </x14:dataValidation>
        <x14:dataValidation type="list" allowBlank="1" showErrorMessage="1" xr:uid="{00000000-0002-0000-0100-000009000000}">
          <x14:formula1>
            <xm:f>IF($BV$8="T",Data!$C$14:$C$16,IF($BV$8="F",Data!$C$10:$C$11,IF($BV$8="A",Data!$C$14:$C$16,Data!$C$3:$C$7)))</xm:f>
          </x14:formula1>
          <xm:sqref>F7</xm:sqref>
        </x14:dataValidation>
        <x14:dataValidation type="list" allowBlank="1" showErrorMessage="1" xr:uid="{00000000-0002-0000-0100-00000A000000}">
          <x14:formula1>
            <xm:f>IF(E70="H",HybridDD,IF(E70=3,Data!$BJ$1:$BJ$5,IF(E70="A",AcroADD4p1,IF(E70="B",AcroBDD4p1,IF(E70="C",AcroCDD4p1,IF(E70="P",AcroPDD4p1,Data!$BJ$1:$BJ$5))))))</xm:f>
          </x14:formula1>
          <xm:sqref>M69</xm:sqref>
        </x14:dataValidation>
        <x14:dataValidation type="list" allowBlank="1" showErrorMessage="1" xr:uid="{00000000-0002-0000-0100-00000B000000}">
          <x14:formula1>
            <xm:f>IF(E70="H",HybridDD,Data!$BJ$1:$BJ$5)</xm:f>
          </x14:formula1>
          <xm:sqref>U69</xm:sqref>
        </x14:dataValidation>
        <x14:dataValidation type="list" allowBlank="1" showErrorMessage="1" xr:uid="{00000000-0002-0000-0100-00000C000000}">
          <x14:formula1>
            <xm:f>IF(E70="H",HybridDD,IF(E70=3,Data!$BJ$1:$BJ$5,IF(E70="A",AcroADD4p2,IF(E70="B",AcroBDD4p2,IF(E70="C",AcroCDD4p2,IF(E70="P",AcroPDD4p2,Data!$BJ$1:$BJ$5))))))</xm:f>
          </x14:formula1>
          <xm:sqref>N69</xm:sqref>
        </x14:dataValidation>
        <x14:dataValidation type="list" allowBlank="1" showErrorMessage="1" xr:uid="{00000000-0002-0000-0100-00000D000000}">
          <x14:formula1>
            <xm:f>IF(E70="H",HybridDD,Data!$BJ$1:$BJ$5)</xm:f>
          </x14:formula1>
          <xm:sqref>R69</xm:sqref>
        </x14:dataValidation>
        <x14:dataValidation type="list" allowBlank="1" showErrorMessage="1" xr:uid="{00000000-0002-0000-0100-00000E000000}">
          <x14:formula1>
            <xm:f>IF(E70="H",HybridDD,Data!$BJ$1:$BJ$5)</xm:f>
          </x14:formula1>
          <xm:sqref>X69</xm:sqref>
        </x14:dataValidation>
        <x14:dataValidation type="list" allowBlank="1" showErrorMessage="1" xr:uid="{00000000-0002-0000-0100-00000F000000}">
          <x14:formula1>
            <xm:f>IF(D70="H",HybridDD,Data!$BJ$1:$BJ$5)</xm:f>
          </x14:formula1>
          <xm:sqref>Z69:AA69</xm:sqref>
        </x14:dataValidation>
        <x14:dataValidation type="list" allowBlank="1" showErrorMessage="1" xr:uid="{00000000-0002-0000-0100-000010000000}">
          <x14:formula1>
            <xm:f>IF(E70="H",HybridDD,Data!$BJ$1:$BJ$5)</xm:f>
          </x14:formula1>
          <xm:sqref>T69</xm:sqref>
        </x14:dataValidation>
        <x14:dataValidation type="list" allowBlank="1" showErrorMessage="1" xr:uid="{00000000-0002-0000-0100-000011000000}">
          <x14:formula1>
            <xm:f>Data!$E$2:$E$11</xm:f>
          </x14:formula1>
          <xm:sqref>F19 F21 F23 F25 F27 F29 F31 F33 F35 F37 F39 F41 F43 F45 F47 F49 F51 F53 F55 F57 F59 F61 F63 F65 F67 F69</xm:sqref>
        </x14:dataValidation>
        <x14:dataValidation type="list" allowBlank="1" showErrorMessage="1" xr:uid="{00000000-0002-0000-0100-000012000000}">
          <x14:formula1>
            <xm:f>IF(E70="H",HybridDD,Data!$BJ$1:$BJ$5)</xm:f>
          </x14:formula1>
          <xm:sqref>W69</xm:sqref>
        </x14:dataValidation>
        <x14:dataValidation type="list" allowBlank="1" showErrorMessage="1" xr:uid="{00000000-0002-0000-0100-000014000000}">
          <x14:formula1>
            <xm:f>IF(E70="H",HybridDD,Data!$BJ$1:$BJ$5)</xm:f>
          </x14:formula1>
          <xm:sqref>AC69</xm:sqref>
        </x14:dataValidation>
        <x14:dataValidation type="list" allowBlank="1" showErrorMessage="1" xr:uid="{00000000-0002-0000-0100-000015000000}">
          <x14:formula1>
            <xm:f>IF(E70="H",HybridDD,IF(E70=3,Data!$BJ$1:$BJ$5,IF(E70="A",Data!$BJ$1:$BJ$5,IF(E70="B",Data!$BJ$1:$BJ$5,IF(E70="C",AcroCDD6,IF(E70="P",Data!$BJ$1:$BJ$5,Data!$BJ$1:$BJ$5))))))</xm:f>
          </x14:formula1>
          <xm:sqref>P69</xm:sqref>
        </x14:dataValidation>
        <x14:dataValidation type="list" allowBlank="1" showErrorMessage="1" xr:uid="{00000000-0002-0000-0100-000016000000}">
          <x14:formula1>
            <xm:f>IF(E70="H",HybridDD,Data!$BJ$1:$BJ$5)</xm:f>
          </x14:formula1>
          <xm:sqref>AB69</xm:sqref>
        </x14:dataValidation>
        <x14:dataValidation type="list" allowBlank="1" showErrorMessage="1" xr:uid="{00000000-0002-0000-0100-000017000000}">
          <x14:formula1>
            <xm:f>IF(E70="H",HybridDD,IF(E70=3,Data!$BJ$1:$BJ$5,IF(E70="A",AcroADD2,IF(E70="B",AcroBDD2,IF(E70="C",AcroCDD2,IF(E70="P",AcroPDD2,Data!$BJ$1:$BJ$5))))))</xm:f>
          </x14:formula1>
          <xm:sqref>K69</xm:sqref>
        </x14:dataValidation>
        <x14:dataValidation type="list" allowBlank="1" showErrorMessage="1" xr:uid="{00000000-0002-0000-0100-000018000000}">
          <x14:formula1>
            <xm:f>IF(E70="H",HybridDD,Data!$BJ$1:$BJ$5)</xm:f>
          </x14:formula1>
          <xm:sqref>S69</xm:sqref>
        </x14:dataValidation>
        <x14:dataValidation type="list" allowBlank="1" showErrorMessage="1" xr:uid="{00000000-0002-0000-0100-000019000000}">
          <x14:formula1>
            <xm:f>IF(E70="H",HybridDD,Data!$BJ$1:$BJ$5)</xm:f>
          </x14:formula1>
          <xm:sqref>Q69</xm:sqref>
        </x14:dataValidation>
        <x14:dataValidation type="list" allowBlank="1" showErrorMessage="1" xr:uid="{00000000-0002-0000-0100-00001A000000}">
          <x14:formula1>
            <xm:f>IF(D70="H",HybridDD,Data!$BJ$1:$BJ$5)</xm:f>
          </x14:formula1>
          <xm:sqref>Y69</xm:sqref>
        </x14:dataValidation>
        <x14:dataValidation type="list" allowBlank="1" showErrorMessage="1" xr:uid="{00000000-0002-0000-0100-00001E000000}">
          <x14:formula1>
            <xm:f>IF(E70="H",HybridDD,IF(E70=3,Data!$BJ$1:$BJ$5,IF(E70="A",AcroADD3,IF(E70="B",AcroBDD3,IF(E70="C",AcroCDD3,IF(E70="P",AcroPDD3,Data!$BJ$1:$BJ$5))))))</xm:f>
          </x14:formula1>
          <xm:sqref>L69</xm:sqref>
        </x14:dataValidation>
        <x14:dataValidation type="list" allowBlank="1" showErrorMessage="1" xr:uid="{00000000-0002-0000-0100-000020000000}">
          <x14:formula1>
            <xm:f>IF($BV$7=1,Data!$A$17:$A$22,IF($BV$7=2,Data!$A$25:$A$35,Data!$A$3:$A$14))</xm:f>
          </x14:formula1>
          <xm:sqref>F8</xm:sqref>
        </x14:dataValidation>
        <x14:dataValidation type="list" allowBlank="1" xr:uid="{00000000-0002-0000-0100-000008000000}">
          <x14:formula1>
            <xm:f>IF($A$5="Federation:",Data!$CF$1:$CF$209,IF(Instruktioner!#REF!&lt;&gt;"",Instruktioner!#REF!,Data!$CH$1:$CH$2))</xm:f>
          </x14:formula1>
          <xm:sqref>F5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10D0-4F26-4566-A3D1-AC24A1D63881}">
  <sheetPr>
    <pageSetUpPr fitToPage="1"/>
  </sheetPr>
  <dimension ref="A1:M76"/>
  <sheetViews>
    <sheetView tabSelected="1" workbookViewId="0">
      <selection activeCell="K12" sqref="K12"/>
    </sheetView>
  </sheetViews>
  <sheetFormatPr defaultColWidth="14.44140625" defaultRowHeight="15" customHeight="1" x14ac:dyDescent="0.3"/>
  <cols>
    <col min="1" max="2" width="15.77734375" customWidth="1"/>
    <col min="3" max="3" width="1.88671875" customWidth="1"/>
    <col min="4" max="11" width="15.77734375" customWidth="1"/>
    <col min="12" max="18" width="9.109375" customWidth="1"/>
  </cols>
  <sheetData>
    <row r="1" spans="1:13" ht="61.8" customHeight="1" x14ac:dyDescent="0.3">
      <c r="A1" s="303" t="s">
        <v>0</v>
      </c>
      <c r="B1" s="303"/>
      <c r="C1" s="303"/>
      <c r="D1" s="303"/>
      <c r="E1" s="303"/>
      <c r="F1" s="303"/>
      <c r="G1" s="303"/>
      <c r="H1" s="303"/>
      <c r="I1" s="303"/>
      <c r="J1" s="303"/>
      <c r="K1" s="304"/>
    </row>
    <row r="2" spans="1:13" ht="33" customHeight="1" x14ac:dyDescent="0.3">
      <c r="A2" s="280" t="s">
        <v>2287</v>
      </c>
      <c r="B2" s="233"/>
      <c r="C2" s="281" t="s">
        <v>2306</v>
      </c>
      <c r="D2" s="282"/>
      <c r="E2" s="282"/>
      <c r="F2" s="282"/>
      <c r="G2" s="282"/>
      <c r="H2" s="282"/>
      <c r="I2" s="305"/>
      <c r="J2" s="306" t="s">
        <v>2298</v>
      </c>
      <c r="K2" s="307"/>
      <c r="L2" s="160"/>
      <c r="M2" s="160"/>
    </row>
    <row r="3" spans="1:13" ht="33" customHeight="1" x14ac:dyDescent="0.3">
      <c r="A3" s="280" t="s">
        <v>2288</v>
      </c>
      <c r="B3" s="233"/>
      <c r="C3" s="281" t="s">
        <v>2307</v>
      </c>
      <c r="D3" s="282"/>
      <c r="E3" s="282"/>
      <c r="F3" s="282"/>
      <c r="G3" s="282"/>
      <c r="H3" s="282"/>
      <c r="I3" s="305"/>
      <c r="J3" s="308"/>
      <c r="K3" s="309"/>
      <c r="L3" s="160"/>
      <c r="M3" s="160"/>
    </row>
    <row r="4" spans="1:13" ht="33" customHeight="1" x14ac:dyDescent="0.3">
      <c r="A4" s="312" t="s">
        <v>2332</v>
      </c>
      <c r="B4" s="233"/>
      <c r="C4" s="281" t="s">
        <v>2308</v>
      </c>
      <c r="D4" s="282"/>
      <c r="E4" s="282"/>
      <c r="F4" s="282"/>
      <c r="G4" s="282"/>
      <c r="H4" s="282"/>
      <c r="I4" s="305"/>
      <c r="J4" s="310"/>
      <c r="K4" s="311"/>
      <c r="L4" s="168"/>
      <c r="M4" s="168"/>
    </row>
    <row r="5" spans="1:13" ht="18" customHeight="1" x14ac:dyDescent="0.3">
      <c r="A5" s="288" t="s">
        <v>2289</v>
      </c>
      <c r="B5" s="289"/>
      <c r="C5" s="161" t="s">
        <v>2290</v>
      </c>
      <c r="D5" s="294" t="s">
        <v>2291</v>
      </c>
      <c r="E5" s="295"/>
      <c r="F5" s="296"/>
      <c r="G5" s="296"/>
      <c r="H5" s="296"/>
      <c r="I5" s="296"/>
      <c r="J5" s="296"/>
      <c r="K5" s="297"/>
      <c r="L5" s="168"/>
      <c r="M5" s="168"/>
    </row>
    <row r="6" spans="1:13" ht="18.75" customHeight="1" x14ac:dyDescent="0.3">
      <c r="A6" s="290"/>
      <c r="B6" s="291"/>
      <c r="C6" s="211"/>
      <c r="D6" s="302" t="s">
        <v>263</v>
      </c>
      <c r="E6" s="233"/>
      <c r="F6" s="298"/>
      <c r="G6" s="298"/>
      <c r="H6" s="298"/>
      <c r="I6" s="298"/>
      <c r="J6" s="298"/>
      <c r="K6" s="299"/>
      <c r="L6" s="168"/>
      <c r="M6" s="168"/>
    </row>
    <row r="7" spans="1:13" ht="18" customHeight="1" x14ac:dyDescent="0.3">
      <c r="A7" s="290"/>
      <c r="B7" s="291"/>
      <c r="C7" s="211" t="s">
        <v>2290</v>
      </c>
      <c r="D7" s="302" t="s">
        <v>2292</v>
      </c>
      <c r="E7" s="233"/>
      <c r="F7" s="298"/>
      <c r="G7" s="298"/>
      <c r="H7" s="298"/>
      <c r="I7" s="298"/>
      <c r="J7" s="298"/>
      <c r="K7" s="299"/>
      <c r="L7" s="168"/>
      <c r="M7" s="168"/>
    </row>
    <row r="8" spans="1:13" ht="18" customHeight="1" x14ac:dyDescent="0.3">
      <c r="A8" s="292"/>
      <c r="B8" s="293"/>
      <c r="C8" s="211"/>
      <c r="D8" s="302" t="s">
        <v>2293</v>
      </c>
      <c r="E8" s="233"/>
      <c r="F8" s="300"/>
      <c r="G8" s="300"/>
      <c r="H8" s="300"/>
      <c r="I8" s="300"/>
      <c r="J8" s="300"/>
      <c r="K8" s="301"/>
      <c r="L8" s="168"/>
      <c r="M8" s="168"/>
    </row>
    <row r="9" spans="1:13" ht="33" customHeight="1" x14ac:dyDescent="0.3">
      <c r="A9" s="280" t="s">
        <v>2294</v>
      </c>
      <c r="B9" s="233"/>
      <c r="C9" s="281" t="s">
        <v>2309</v>
      </c>
      <c r="D9" s="282"/>
      <c r="E9" s="282"/>
      <c r="F9" s="282"/>
      <c r="G9" s="282"/>
      <c r="H9" s="282"/>
      <c r="I9" s="282"/>
      <c r="J9" s="282"/>
      <c r="K9" s="282"/>
      <c r="L9" s="168"/>
      <c r="M9" s="168"/>
    </row>
    <row r="10" spans="1:13" ht="33" customHeight="1" x14ac:dyDescent="0.3">
      <c r="A10" s="280" t="s">
        <v>2295</v>
      </c>
      <c r="B10" s="233"/>
      <c r="C10" s="281" t="s">
        <v>2310</v>
      </c>
      <c r="D10" s="282"/>
      <c r="E10" s="282"/>
      <c r="F10" s="282"/>
      <c r="G10" s="282"/>
      <c r="H10" s="282"/>
      <c r="I10" s="282"/>
      <c r="J10" s="282"/>
      <c r="K10" s="282"/>
      <c r="L10" s="168"/>
      <c r="M10" s="168"/>
    </row>
    <row r="11" spans="1:13" ht="19.5" customHeight="1" x14ac:dyDescent="0.3">
      <c r="A11" s="283"/>
      <c r="B11" s="284"/>
      <c r="C11" s="284"/>
      <c r="D11" s="284"/>
      <c r="E11" s="284"/>
      <c r="F11" s="284"/>
      <c r="G11" s="284"/>
      <c r="H11" s="284"/>
      <c r="I11" s="284"/>
      <c r="J11" s="284"/>
      <c r="K11" s="285"/>
      <c r="L11" s="168"/>
      <c r="M11" s="168"/>
    </row>
    <row r="12" spans="1:13" ht="23.25" customHeight="1" x14ac:dyDescent="0.3">
      <c r="A12" s="208" t="s">
        <v>2299</v>
      </c>
      <c r="B12" s="286" t="s">
        <v>2301</v>
      </c>
      <c r="C12" s="287"/>
      <c r="D12" s="208" t="s">
        <v>2300</v>
      </c>
      <c r="E12" s="286" t="s">
        <v>2302</v>
      </c>
      <c r="F12" s="273"/>
      <c r="G12" s="273"/>
      <c r="H12" s="273"/>
      <c r="I12" s="274"/>
      <c r="J12" s="210" t="s">
        <v>2303</v>
      </c>
      <c r="K12" s="209" t="s">
        <v>2352</v>
      </c>
      <c r="L12" s="168"/>
      <c r="M12" s="168"/>
    </row>
    <row r="13" spans="1:13" ht="21.75" customHeight="1" x14ac:dyDescent="0.3">
      <c r="A13" s="207" t="s">
        <v>2285</v>
      </c>
      <c r="B13" s="276" t="s">
        <v>2304</v>
      </c>
      <c r="C13" s="271"/>
      <c r="D13" s="162" t="str">
        <f ca="1">IF(OFFSET('Coach Card'!$H$17,L13,0)&gt;0,IF(OR(#REF!="Transition",E13="ChoHY"),"",OFFSET('Coach Card'!$H$17,L13,0)),"")</f>
        <v/>
      </c>
      <c r="E13" s="277"/>
      <c r="F13" s="278"/>
      <c r="G13" s="278"/>
      <c r="H13" s="278"/>
      <c r="I13" s="279"/>
      <c r="J13" s="163" t="str">
        <f ca="1">IF(OFFSET('Coach Card'!$AO$18,L13,0)=0,"",OFFSET('Coach Card'!$AO$18,L13,0))</f>
        <v/>
      </c>
      <c r="K13" s="164"/>
      <c r="L13" s="168"/>
      <c r="M13" s="168"/>
    </row>
    <row r="14" spans="1:13" ht="21.75" customHeight="1" x14ac:dyDescent="0.3">
      <c r="A14" s="207" t="s">
        <v>2286</v>
      </c>
      <c r="B14" s="276" t="s">
        <v>2305</v>
      </c>
      <c r="C14" s="271"/>
      <c r="D14" s="162">
        <v>1</v>
      </c>
      <c r="E14" s="277" t="s">
        <v>133</v>
      </c>
      <c r="F14" s="278"/>
      <c r="G14" s="278"/>
      <c r="H14" s="278"/>
      <c r="I14" s="279"/>
      <c r="J14" s="163">
        <v>0.5</v>
      </c>
      <c r="K14" s="164"/>
      <c r="L14" s="168"/>
      <c r="M14" s="168"/>
    </row>
    <row r="15" spans="1:13" ht="21.75" customHeight="1" x14ac:dyDescent="0.3">
      <c r="A15" s="207" t="s">
        <v>2313</v>
      </c>
      <c r="B15" s="276" t="s">
        <v>2304</v>
      </c>
      <c r="C15" s="271"/>
      <c r="D15" s="162"/>
      <c r="E15" s="272"/>
      <c r="F15" s="273"/>
      <c r="G15" s="273"/>
      <c r="H15" s="273"/>
      <c r="I15" s="274"/>
      <c r="J15" s="163"/>
      <c r="K15" s="164"/>
      <c r="L15" s="168"/>
      <c r="M15" s="168"/>
    </row>
    <row r="16" spans="1:13" ht="21.75" customHeight="1" x14ac:dyDescent="0.3">
      <c r="A16" s="207" t="s">
        <v>2314</v>
      </c>
      <c r="B16" s="276" t="s">
        <v>2311</v>
      </c>
      <c r="C16" s="271"/>
      <c r="D16" s="162">
        <v>2</v>
      </c>
      <c r="E16" s="272"/>
      <c r="F16" s="273"/>
      <c r="G16" s="273"/>
      <c r="H16" s="273"/>
      <c r="I16" s="274"/>
      <c r="J16" s="163">
        <v>0.5</v>
      </c>
      <c r="K16" s="164"/>
      <c r="L16" s="168"/>
      <c r="M16" s="168"/>
    </row>
    <row r="17" spans="1:13" ht="21.75" customHeight="1" x14ac:dyDescent="0.3">
      <c r="A17" s="207" t="s">
        <v>2315</v>
      </c>
      <c r="B17" s="276" t="s">
        <v>2304</v>
      </c>
      <c r="C17" s="271"/>
      <c r="D17" s="162"/>
      <c r="E17" s="272"/>
      <c r="F17" s="273"/>
      <c r="G17" s="273"/>
      <c r="H17" s="273"/>
      <c r="I17" s="274"/>
      <c r="J17" s="163"/>
      <c r="K17" s="164"/>
      <c r="L17" s="168"/>
      <c r="M17" s="168"/>
    </row>
    <row r="18" spans="1:13" ht="21.75" customHeight="1" x14ac:dyDescent="0.3">
      <c r="A18" s="207" t="s">
        <v>2316</v>
      </c>
      <c r="B18" s="276" t="s">
        <v>2305</v>
      </c>
      <c r="C18" s="271"/>
      <c r="D18" s="162">
        <v>3</v>
      </c>
      <c r="E18" s="277" t="s">
        <v>130</v>
      </c>
      <c r="F18" s="273"/>
      <c r="G18" s="273"/>
      <c r="H18" s="273"/>
      <c r="I18" s="274"/>
      <c r="J18" s="163">
        <v>0.5</v>
      </c>
      <c r="K18" s="164"/>
      <c r="L18" s="168"/>
      <c r="M18" s="168"/>
    </row>
    <row r="19" spans="1:13" ht="21.75" customHeight="1" x14ac:dyDescent="0.3">
      <c r="A19" s="207" t="s">
        <v>2317</v>
      </c>
      <c r="B19" s="276" t="s">
        <v>2304</v>
      </c>
      <c r="C19" s="271"/>
      <c r="D19" s="162"/>
      <c r="E19" s="272"/>
      <c r="F19" s="273"/>
      <c r="G19" s="273"/>
      <c r="H19" s="273"/>
      <c r="I19" s="274"/>
      <c r="J19" s="163"/>
      <c r="K19" s="164"/>
      <c r="L19" s="168"/>
      <c r="M19" s="168"/>
    </row>
    <row r="20" spans="1:13" ht="21.75" customHeight="1" x14ac:dyDescent="0.3">
      <c r="A20" s="207" t="s">
        <v>2318</v>
      </c>
      <c r="B20" s="276" t="s">
        <v>2305</v>
      </c>
      <c r="C20" s="271"/>
      <c r="D20" s="162">
        <v>4</v>
      </c>
      <c r="E20" s="272"/>
      <c r="F20" s="273"/>
      <c r="G20" s="273"/>
      <c r="H20" s="273"/>
      <c r="I20" s="274"/>
      <c r="J20" s="163">
        <v>0.5</v>
      </c>
      <c r="K20" s="164"/>
      <c r="L20" s="168"/>
      <c r="M20" s="168"/>
    </row>
    <row r="21" spans="1:13" ht="21.75" customHeight="1" x14ac:dyDescent="0.3">
      <c r="A21" s="207" t="s">
        <v>2319</v>
      </c>
      <c r="B21" s="276" t="s">
        <v>2304</v>
      </c>
      <c r="C21" s="271"/>
      <c r="D21" s="162"/>
      <c r="E21" s="272"/>
      <c r="F21" s="273"/>
      <c r="G21" s="273"/>
      <c r="H21" s="273"/>
      <c r="I21" s="274"/>
      <c r="J21" s="163"/>
      <c r="K21" s="164"/>
      <c r="L21" s="168"/>
      <c r="M21" s="168"/>
    </row>
    <row r="22" spans="1:13" ht="21.75" customHeight="1" x14ac:dyDescent="0.3">
      <c r="A22" s="207" t="s">
        <v>2320</v>
      </c>
      <c r="B22" s="276" t="s">
        <v>2305</v>
      </c>
      <c r="C22" s="271"/>
      <c r="D22" s="162">
        <v>5</v>
      </c>
      <c r="E22" s="277" t="s">
        <v>273</v>
      </c>
      <c r="F22" s="273"/>
      <c r="G22" s="273"/>
      <c r="H22" s="273"/>
      <c r="I22" s="274"/>
      <c r="J22" s="163">
        <v>0.5</v>
      </c>
      <c r="K22" s="164"/>
      <c r="L22" s="168"/>
      <c r="M22" s="168"/>
    </row>
    <row r="23" spans="1:13" ht="21.75" customHeight="1" x14ac:dyDescent="0.3">
      <c r="A23" s="207" t="s">
        <v>2312</v>
      </c>
      <c r="B23" s="276" t="s">
        <v>2304</v>
      </c>
      <c r="C23" s="271"/>
      <c r="D23" s="162"/>
      <c r="E23" s="272"/>
      <c r="F23" s="273"/>
      <c r="G23" s="273"/>
      <c r="H23" s="273"/>
      <c r="I23" s="274"/>
      <c r="J23" s="163"/>
      <c r="K23" s="164"/>
      <c r="L23" s="168"/>
      <c r="M23" s="168"/>
    </row>
    <row r="24" spans="1:13" ht="21.75" customHeight="1" x14ac:dyDescent="0.3">
      <c r="A24" s="162"/>
      <c r="B24" s="270"/>
      <c r="C24" s="271"/>
      <c r="D24" s="162"/>
      <c r="E24" s="272"/>
      <c r="F24" s="273"/>
      <c r="G24" s="273"/>
      <c r="H24" s="273"/>
      <c r="I24" s="274"/>
      <c r="J24" s="163"/>
      <c r="K24" s="164"/>
      <c r="L24" s="168"/>
      <c r="M24" s="168"/>
    </row>
    <row r="25" spans="1:13" ht="21.75" customHeight="1" x14ac:dyDescent="0.3">
      <c r="A25" s="162"/>
      <c r="B25" s="270"/>
      <c r="C25" s="271"/>
      <c r="D25" s="162"/>
      <c r="E25" s="272"/>
      <c r="F25" s="273"/>
      <c r="G25" s="273"/>
      <c r="H25" s="273"/>
      <c r="I25" s="274"/>
      <c r="J25" s="163"/>
      <c r="K25" s="164"/>
      <c r="L25" s="168"/>
      <c r="M25" s="168"/>
    </row>
    <row r="26" spans="1:13" ht="21.75" customHeight="1" x14ac:dyDescent="0.3">
      <c r="A26" s="162"/>
      <c r="B26" s="270"/>
      <c r="C26" s="271"/>
      <c r="D26" s="162"/>
      <c r="E26" s="272"/>
      <c r="F26" s="273"/>
      <c r="G26" s="273"/>
      <c r="H26" s="273"/>
      <c r="I26" s="274"/>
      <c r="J26" s="163"/>
      <c r="K26" s="164"/>
      <c r="L26" s="168"/>
      <c r="M26" s="168"/>
    </row>
    <row r="27" spans="1:13" ht="21.75" customHeight="1" x14ac:dyDescent="0.3">
      <c r="A27" s="162"/>
      <c r="B27" s="270"/>
      <c r="C27" s="271"/>
      <c r="D27" s="162"/>
      <c r="E27" s="272"/>
      <c r="F27" s="273"/>
      <c r="G27" s="273"/>
      <c r="H27" s="273"/>
      <c r="I27" s="274"/>
      <c r="J27" s="163"/>
      <c r="K27" s="164"/>
      <c r="L27" s="168"/>
      <c r="M27" s="168"/>
    </row>
    <row r="28" spans="1:13" ht="21.75" customHeight="1" x14ac:dyDescent="0.3">
      <c r="A28" s="162"/>
      <c r="B28" s="270"/>
      <c r="C28" s="271"/>
      <c r="D28" s="162"/>
      <c r="E28" s="272"/>
      <c r="F28" s="273"/>
      <c r="G28" s="273"/>
      <c r="H28" s="273"/>
      <c r="I28" s="274"/>
      <c r="J28" s="163"/>
      <c r="K28" s="164"/>
      <c r="L28" s="168"/>
      <c r="M28" s="168"/>
    </row>
    <row r="29" spans="1:13" ht="21.75" customHeight="1" x14ac:dyDescent="0.3">
      <c r="A29" s="162"/>
      <c r="B29" s="270"/>
      <c r="C29" s="271"/>
      <c r="D29" s="162"/>
      <c r="E29" s="272"/>
      <c r="F29" s="273"/>
      <c r="G29" s="273"/>
      <c r="H29" s="273"/>
      <c r="I29" s="274"/>
      <c r="J29" s="163"/>
      <c r="K29" s="164"/>
      <c r="L29" s="168"/>
      <c r="M29" s="168"/>
    </row>
    <row r="30" spans="1:13" ht="24.75" customHeight="1" x14ac:dyDescent="0.3">
      <c r="A30" s="165"/>
      <c r="B30" s="275"/>
      <c r="C30" s="275"/>
      <c r="D30" s="166"/>
      <c r="E30" s="212"/>
      <c r="F30" s="213"/>
      <c r="G30" s="159"/>
      <c r="H30" s="159"/>
      <c r="I30" s="159"/>
      <c r="J30" s="167" t="str">
        <f>IF('Coach Card'!$AO$13=0,"",'Coach Card'!$AO$13)</f>
        <v/>
      </c>
      <c r="K30" s="164"/>
      <c r="L30" s="159"/>
      <c r="M30" s="160"/>
    </row>
    <row r="31" spans="1:13" ht="24.75" customHeight="1" x14ac:dyDescent="0.3">
      <c r="B31" s="268"/>
      <c r="C31" s="268"/>
    </row>
    <row r="32" spans="1:13" ht="24.75" customHeight="1" x14ac:dyDescent="0.35">
      <c r="B32" s="269" t="s">
        <v>2296</v>
      </c>
      <c r="C32" s="269"/>
      <c r="D32" s="269"/>
      <c r="E32" s="269"/>
      <c r="F32" s="214"/>
      <c r="G32" s="269" t="s">
        <v>2297</v>
      </c>
      <c r="H32" s="269"/>
      <c r="I32" s="269"/>
    </row>
    <row r="33" spans="2:3" ht="24.75" customHeight="1" x14ac:dyDescent="0.3">
      <c r="B33" s="268"/>
      <c r="C33" s="268"/>
    </row>
    <row r="34" spans="2:3" ht="24.75" customHeight="1" x14ac:dyDescent="0.3">
      <c r="B34" s="268"/>
      <c r="C34" s="268"/>
    </row>
    <row r="35" spans="2:3" ht="24.75" customHeight="1" x14ac:dyDescent="0.3">
      <c r="B35" s="268"/>
      <c r="C35" s="268"/>
    </row>
    <row r="36" spans="2:3" ht="24.75" customHeight="1" x14ac:dyDescent="0.3">
      <c r="B36" s="268"/>
      <c r="C36" s="268"/>
    </row>
    <row r="37" spans="2:3" ht="24.75" customHeight="1" x14ac:dyDescent="0.3">
      <c r="B37" s="268"/>
      <c r="C37" s="268"/>
    </row>
    <row r="38" spans="2:3" ht="24.75" customHeight="1" x14ac:dyDescent="0.3">
      <c r="B38" s="268"/>
      <c r="C38" s="268"/>
    </row>
    <row r="39" spans="2:3" ht="24.75" customHeight="1" x14ac:dyDescent="0.3">
      <c r="B39" s="268"/>
      <c r="C39" s="268"/>
    </row>
    <row r="40" spans="2:3" ht="24.75" customHeight="1" x14ac:dyDescent="0.3">
      <c r="B40" s="268"/>
      <c r="C40" s="268"/>
    </row>
    <row r="41" spans="2:3" ht="15" customHeight="1" x14ac:dyDescent="0.3">
      <c r="B41" s="268"/>
      <c r="C41" s="268"/>
    </row>
    <row r="42" spans="2:3" ht="15" customHeight="1" x14ac:dyDescent="0.3">
      <c r="B42" s="268"/>
      <c r="C42" s="268"/>
    </row>
    <row r="43" spans="2:3" ht="15" customHeight="1" x14ac:dyDescent="0.3">
      <c r="B43" s="268"/>
      <c r="C43" s="268"/>
    </row>
    <row r="44" spans="2:3" ht="15" customHeight="1" x14ac:dyDescent="0.3">
      <c r="B44" s="268"/>
      <c r="C44" s="268"/>
    </row>
    <row r="45" spans="2:3" ht="15" customHeight="1" x14ac:dyDescent="0.3">
      <c r="B45" s="268"/>
      <c r="C45" s="268"/>
    </row>
    <row r="46" spans="2:3" ht="15" customHeight="1" x14ac:dyDescent="0.3">
      <c r="B46" s="268"/>
      <c r="C46" s="268"/>
    </row>
    <row r="47" spans="2:3" ht="15" customHeight="1" x14ac:dyDescent="0.3">
      <c r="B47" s="268"/>
      <c r="C47" s="268"/>
    </row>
    <row r="48" spans="2:3" ht="15" customHeight="1" x14ac:dyDescent="0.3">
      <c r="B48" s="268"/>
      <c r="C48" s="268"/>
    </row>
    <row r="49" spans="2:3" ht="15" customHeight="1" x14ac:dyDescent="0.3">
      <c r="B49" s="268"/>
      <c r="C49" s="268"/>
    </row>
    <row r="50" spans="2:3" ht="15" customHeight="1" x14ac:dyDescent="0.3">
      <c r="B50" s="268"/>
      <c r="C50" s="268"/>
    </row>
    <row r="51" spans="2:3" ht="15" customHeight="1" x14ac:dyDescent="0.3">
      <c r="B51" s="268"/>
      <c r="C51" s="268"/>
    </row>
    <row r="52" spans="2:3" ht="15" customHeight="1" x14ac:dyDescent="0.3">
      <c r="B52" s="268"/>
      <c r="C52" s="268"/>
    </row>
    <row r="53" spans="2:3" ht="15" customHeight="1" x14ac:dyDescent="0.3">
      <c r="B53" s="268"/>
      <c r="C53" s="268"/>
    </row>
    <row r="54" spans="2:3" ht="15" customHeight="1" x14ac:dyDescent="0.3">
      <c r="B54" s="268"/>
      <c r="C54" s="268"/>
    </row>
    <row r="55" spans="2:3" ht="15" customHeight="1" x14ac:dyDescent="0.3">
      <c r="B55" s="268"/>
      <c r="C55" s="268"/>
    </row>
    <row r="56" spans="2:3" ht="15" customHeight="1" x14ac:dyDescent="0.3">
      <c r="B56" s="268"/>
      <c r="C56" s="268"/>
    </row>
    <row r="57" spans="2:3" ht="15" customHeight="1" x14ac:dyDescent="0.3">
      <c r="B57" s="268"/>
      <c r="C57" s="268"/>
    </row>
    <row r="58" spans="2:3" ht="15" customHeight="1" x14ac:dyDescent="0.3">
      <c r="B58" s="268"/>
      <c r="C58" s="268"/>
    </row>
    <row r="59" spans="2:3" ht="15" customHeight="1" x14ac:dyDescent="0.3">
      <c r="B59" s="268"/>
      <c r="C59" s="268"/>
    </row>
    <row r="60" spans="2:3" ht="15" customHeight="1" x14ac:dyDescent="0.3">
      <c r="B60" s="268"/>
      <c r="C60" s="268"/>
    </row>
    <row r="61" spans="2:3" ht="15" customHeight="1" x14ac:dyDescent="0.3">
      <c r="B61" s="268"/>
      <c r="C61" s="268"/>
    </row>
    <row r="62" spans="2:3" ht="15" customHeight="1" x14ac:dyDescent="0.3">
      <c r="B62" s="268"/>
      <c r="C62" s="268"/>
    </row>
    <row r="63" spans="2:3" ht="15" customHeight="1" x14ac:dyDescent="0.3">
      <c r="B63" s="268"/>
      <c r="C63" s="268"/>
    </row>
    <row r="64" spans="2:3" ht="15" customHeight="1" x14ac:dyDescent="0.3">
      <c r="B64" s="268"/>
      <c r="C64" s="268"/>
    </row>
    <row r="65" spans="2:3" ht="15" customHeight="1" x14ac:dyDescent="0.3">
      <c r="B65" s="268"/>
      <c r="C65" s="268"/>
    </row>
    <row r="66" spans="2:3" ht="15" customHeight="1" x14ac:dyDescent="0.3">
      <c r="B66" s="268"/>
      <c r="C66" s="268"/>
    </row>
    <row r="67" spans="2:3" ht="15" customHeight="1" x14ac:dyDescent="0.3">
      <c r="B67" s="268"/>
      <c r="C67" s="268"/>
    </row>
    <row r="68" spans="2:3" ht="15" customHeight="1" x14ac:dyDescent="0.3">
      <c r="B68" s="268"/>
      <c r="C68" s="268"/>
    </row>
    <row r="69" spans="2:3" ht="15" customHeight="1" x14ac:dyDescent="0.3">
      <c r="B69" s="268"/>
      <c r="C69" s="268"/>
    </row>
    <row r="70" spans="2:3" ht="15" customHeight="1" x14ac:dyDescent="0.3">
      <c r="B70" s="268"/>
      <c r="C70" s="268"/>
    </row>
    <row r="71" spans="2:3" ht="15" customHeight="1" x14ac:dyDescent="0.3">
      <c r="B71" s="268"/>
      <c r="C71" s="268"/>
    </row>
    <row r="72" spans="2:3" ht="15" customHeight="1" x14ac:dyDescent="0.3">
      <c r="B72" s="268"/>
      <c r="C72" s="268"/>
    </row>
    <row r="73" spans="2:3" ht="15" customHeight="1" x14ac:dyDescent="0.3">
      <c r="B73" s="268"/>
      <c r="C73" s="268"/>
    </row>
    <row r="74" spans="2:3" ht="15" customHeight="1" x14ac:dyDescent="0.3">
      <c r="B74" s="268"/>
      <c r="C74" s="268"/>
    </row>
    <row r="75" spans="2:3" ht="15" customHeight="1" x14ac:dyDescent="0.3">
      <c r="B75" s="268"/>
      <c r="C75" s="268"/>
    </row>
    <row r="76" spans="2:3" ht="15" customHeight="1" x14ac:dyDescent="0.3">
      <c r="B76" s="268"/>
      <c r="C76" s="268"/>
    </row>
  </sheetData>
  <mergeCells count="104">
    <mergeCell ref="A1:K1"/>
    <mergeCell ref="A2:B2"/>
    <mergeCell ref="C2:I2"/>
    <mergeCell ref="J2:K2"/>
    <mergeCell ref="A3:B3"/>
    <mergeCell ref="C3:I3"/>
    <mergeCell ref="J3:K4"/>
    <mergeCell ref="A4:B4"/>
    <mergeCell ref="C4:I4"/>
    <mergeCell ref="A9:B9"/>
    <mergeCell ref="C9:K9"/>
    <mergeCell ref="A10:B10"/>
    <mergeCell ref="C10:K10"/>
    <mergeCell ref="A11:K11"/>
    <mergeCell ref="B12:C12"/>
    <mergeCell ref="E12:I12"/>
    <mergeCell ref="A5:B8"/>
    <mergeCell ref="D5:E5"/>
    <mergeCell ref="F5:K8"/>
    <mergeCell ref="D6:E6"/>
    <mergeCell ref="D7:E7"/>
    <mergeCell ref="D8:E8"/>
    <mergeCell ref="B16:C16"/>
    <mergeCell ref="E16:I16"/>
    <mergeCell ref="B17:C17"/>
    <mergeCell ref="E17:I17"/>
    <mergeCell ref="B18:C18"/>
    <mergeCell ref="E18:I18"/>
    <mergeCell ref="B13:C13"/>
    <mergeCell ref="E13:I13"/>
    <mergeCell ref="B14:C14"/>
    <mergeCell ref="E14:I14"/>
    <mergeCell ref="B15:C15"/>
    <mergeCell ref="E15:I15"/>
    <mergeCell ref="B22:C22"/>
    <mergeCell ref="E22:I22"/>
    <mergeCell ref="B23:C23"/>
    <mergeCell ref="E23:I23"/>
    <mergeCell ref="B24:C24"/>
    <mergeCell ref="E24:I24"/>
    <mergeCell ref="B19:C19"/>
    <mergeCell ref="E19:I19"/>
    <mergeCell ref="B20:C20"/>
    <mergeCell ref="E20:I20"/>
    <mergeCell ref="B21:C21"/>
    <mergeCell ref="E21:I21"/>
    <mergeCell ref="B28:C28"/>
    <mergeCell ref="E28:I28"/>
    <mergeCell ref="B29:C29"/>
    <mergeCell ref="E29:I29"/>
    <mergeCell ref="B30:C30"/>
    <mergeCell ref="B31:C31"/>
    <mergeCell ref="B25:C25"/>
    <mergeCell ref="E25:I25"/>
    <mergeCell ref="B26:C26"/>
    <mergeCell ref="E26:I26"/>
    <mergeCell ref="B27:C27"/>
    <mergeCell ref="E27:I27"/>
    <mergeCell ref="B37:C37"/>
    <mergeCell ref="B38:C38"/>
    <mergeCell ref="B39:C39"/>
    <mergeCell ref="B40:C40"/>
    <mergeCell ref="B41:C41"/>
    <mergeCell ref="B42:C42"/>
    <mergeCell ref="B32:E32"/>
    <mergeCell ref="G32:I32"/>
    <mergeCell ref="B33:C33"/>
    <mergeCell ref="B34:C34"/>
    <mergeCell ref="B35:C35"/>
    <mergeCell ref="B36:C36"/>
    <mergeCell ref="B49:C49"/>
    <mergeCell ref="B50:C50"/>
    <mergeCell ref="B51:C51"/>
    <mergeCell ref="B52:C52"/>
    <mergeCell ref="B53:C53"/>
    <mergeCell ref="B54:C54"/>
    <mergeCell ref="B43:C43"/>
    <mergeCell ref="B44:C44"/>
    <mergeCell ref="B45:C45"/>
    <mergeCell ref="B46:C46"/>
    <mergeCell ref="B47:C47"/>
    <mergeCell ref="B48:C48"/>
    <mergeCell ref="B61:C61"/>
    <mergeCell ref="B62:C62"/>
    <mergeCell ref="B63:C63"/>
    <mergeCell ref="B64:C64"/>
    <mergeCell ref="B65:C65"/>
    <mergeCell ref="B66:C66"/>
    <mergeCell ref="B55:C55"/>
    <mergeCell ref="B56:C56"/>
    <mergeCell ref="B57:C57"/>
    <mergeCell ref="B58:C58"/>
    <mergeCell ref="B59:C59"/>
    <mergeCell ref="B60:C60"/>
    <mergeCell ref="B73:C73"/>
    <mergeCell ref="B74:C74"/>
    <mergeCell ref="B75:C75"/>
    <mergeCell ref="B76:C76"/>
    <mergeCell ref="B67:C67"/>
    <mergeCell ref="B68:C68"/>
    <mergeCell ref="B69:C69"/>
    <mergeCell ref="B70:C70"/>
    <mergeCell ref="B71:C71"/>
    <mergeCell ref="B72:C72"/>
  </mergeCells>
  <conditionalFormatting sqref="C5:C8">
    <cfRule type="notContainsBlanks" dxfId="5" priority="1">
      <formula>LEN(TRIM(C5))&gt;0</formula>
    </cfRule>
  </conditionalFormatting>
  <conditionalFormatting sqref="D5:D8">
    <cfRule type="expression" dxfId="4" priority="2">
      <formula>C5&lt;&gt;""</formula>
    </cfRule>
  </conditionalFormatting>
  <conditionalFormatting sqref="E30:F30">
    <cfRule type="notContainsBlanks" dxfId="3" priority="3">
      <formula>LEN(TRIM(E30))&gt;0</formula>
    </cfRule>
  </conditionalFormatting>
  <printOptions horizontalCentered="1" verticalCentered="1"/>
  <pageMargins left="0.23622047244094491" right="0.23622047244094491" top="0" bottom="0" header="0" footer="0"/>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76"/>
  <sheetViews>
    <sheetView workbookViewId="0">
      <selection activeCell="N10" sqref="N10"/>
    </sheetView>
  </sheetViews>
  <sheetFormatPr defaultColWidth="14.44140625" defaultRowHeight="15" customHeight="1" x14ac:dyDescent="0.3"/>
  <cols>
    <col min="1" max="2" width="15.77734375" customWidth="1"/>
    <col min="3" max="3" width="1.88671875" customWidth="1"/>
    <col min="4" max="11" width="15.77734375" customWidth="1"/>
    <col min="12" max="18" width="9.109375" customWidth="1"/>
  </cols>
  <sheetData>
    <row r="1" spans="1:13" ht="61.8" customHeight="1" x14ac:dyDescent="0.3">
      <c r="A1" s="303" t="s">
        <v>0</v>
      </c>
      <c r="B1" s="303"/>
      <c r="C1" s="303"/>
      <c r="D1" s="303"/>
      <c r="E1" s="303"/>
      <c r="F1" s="303"/>
      <c r="G1" s="303"/>
      <c r="H1" s="303"/>
      <c r="I1" s="303"/>
      <c r="J1" s="303"/>
      <c r="K1" s="304"/>
    </row>
    <row r="2" spans="1:13" ht="33" customHeight="1" x14ac:dyDescent="0.3">
      <c r="A2" s="280" t="s">
        <v>2287</v>
      </c>
      <c r="B2" s="233"/>
      <c r="C2" s="281"/>
      <c r="D2" s="282"/>
      <c r="E2" s="282"/>
      <c r="F2" s="282"/>
      <c r="G2" s="282"/>
      <c r="H2" s="282"/>
      <c r="I2" s="305"/>
      <c r="J2" s="306" t="s">
        <v>2298</v>
      </c>
      <c r="K2" s="307"/>
      <c r="L2" s="160"/>
      <c r="M2" s="160"/>
    </row>
    <row r="3" spans="1:13" ht="33" customHeight="1" x14ac:dyDescent="0.3">
      <c r="A3" s="280" t="s">
        <v>2288</v>
      </c>
      <c r="B3" s="233"/>
      <c r="C3" s="281"/>
      <c r="D3" s="282"/>
      <c r="E3" s="282"/>
      <c r="F3" s="282"/>
      <c r="G3" s="282"/>
      <c r="H3" s="282"/>
      <c r="I3" s="305"/>
      <c r="J3" s="308"/>
      <c r="K3" s="309"/>
      <c r="L3" s="160"/>
      <c r="M3" s="160"/>
    </row>
    <row r="4" spans="1:13" ht="33" customHeight="1" x14ac:dyDescent="0.3">
      <c r="A4" s="312" t="s">
        <v>2332</v>
      </c>
      <c r="B4" s="233"/>
      <c r="C4" s="281" t="s">
        <v>2308</v>
      </c>
      <c r="D4" s="282"/>
      <c r="E4" s="282"/>
      <c r="F4" s="282"/>
      <c r="G4" s="282"/>
      <c r="H4" s="282"/>
      <c r="I4" s="305"/>
      <c r="J4" s="310"/>
      <c r="K4" s="311"/>
      <c r="L4" s="168"/>
      <c r="M4" s="168"/>
    </row>
    <row r="5" spans="1:13" ht="18" customHeight="1" x14ac:dyDescent="0.3">
      <c r="A5" s="288" t="s">
        <v>2289</v>
      </c>
      <c r="B5" s="289"/>
      <c r="C5" s="161" t="s">
        <v>2290</v>
      </c>
      <c r="D5" s="294" t="s">
        <v>2291</v>
      </c>
      <c r="E5" s="295"/>
      <c r="F5" s="296"/>
      <c r="G5" s="296"/>
      <c r="H5" s="296"/>
      <c r="I5" s="296"/>
      <c r="J5" s="296"/>
      <c r="K5" s="297"/>
      <c r="L5" s="168"/>
      <c r="M5" s="168"/>
    </row>
    <row r="6" spans="1:13" ht="18.75" customHeight="1" x14ac:dyDescent="0.3">
      <c r="A6" s="290"/>
      <c r="B6" s="291"/>
      <c r="C6" s="211"/>
      <c r="D6" s="302" t="s">
        <v>263</v>
      </c>
      <c r="E6" s="233"/>
      <c r="F6" s="298"/>
      <c r="G6" s="298"/>
      <c r="H6" s="298"/>
      <c r="I6" s="298"/>
      <c r="J6" s="298"/>
      <c r="K6" s="299"/>
      <c r="L6" s="168"/>
      <c r="M6" s="168"/>
    </row>
    <row r="7" spans="1:13" ht="18" customHeight="1" x14ac:dyDescent="0.3">
      <c r="A7" s="290"/>
      <c r="B7" s="291"/>
      <c r="C7" s="211"/>
      <c r="D7" s="302" t="s">
        <v>2292</v>
      </c>
      <c r="E7" s="233"/>
      <c r="F7" s="298"/>
      <c r="G7" s="298"/>
      <c r="H7" s="298"/>
      <c r="I7" s="298"/>
      <c r="J7" s="298"/>
      <c r="K7" s="299"/>
      <c r="L7" s="168"/>
      <c r="M7" s="168"/>
    </row>
    <row r="8" spans="1:13" ht="18" customHeight="1" x14ac:dyDescent="0.3">
      <c r="A8" s="292"/>
      <c r="B8" s="293"/>
      <c r="C8" s="211"/>
      <c r="D8" s="302" t="s">
        <v>2293</v>
      </c>
      <c r="E8" s="233"/>
      <c r="F8" s="300"/>
      <c r="G8" s="300"/>
      <c r="H8" s="300"/>
      <c r="I8" s="300"/>
      <c r="J8" s="300"/>
      <c r="K8" s="301"/>
      <c r="L8" s="168"/>
      <c r="M8" s="168"/>
    </row>
    <row r="9" spans="1:13" ht="33" customHeight="1" x14ac:dyDescent="0.3">
      <c r="A9" s="280" t="s">
        <v>2294</v>
      </c>
      <c r="B9" s="233"/>
      <c r="C9" s="281"/>
      <c r="D9" s="282"/>
      <c r="E9" s="282"/>
      <c r="F9" s="282"/>
      <c r="G9" s="282"/>
      <c r="H9" s="282"/>
      <c r="I9" s="282"/>
      <c r="J9" s="282"/>
      <c r="K9" s="282"/>
      <c r="L9" s="168"/>
      <c r="M9" s="168"/>
    </row>
    <row r="10" spans="1:13" ht="33" customHeight="1" x14ac:dyDescent="0.3">
      <c r="A10" s="280" t="s">
        <v>2295</v>
      </c>
      <c r="B10" s="233"/>
      <c r="C10" s="281"/>
      <c r="D10" s="282"/>
      <c r="E10" s="282"/>
      <c r="F10" s="282"/>
      <c r="G10" s="282"/>
      <c r="H10" s="282"/>
      <c r="I10" s="282"/>
      <c r="J10" s="282"/>
      <c r="K10" s="282"/>
      <c r="L10" s="168"/>
      <c r="M10" s="168"/>
    </row>
    <row r="11" spans="1:13" ht="19.5" customHeight="1" x14ac:dyDescent="0.3">
      <c r="A11" s="283"/>
      <c r="B11" s="284"/>
      <c r="C11" s="284"/>
      <c r="D11" s="284"/>
      <c r="E11" s="284"/>
      <c r="F11" s="284"/>
      <c r="G11" s="284"/>
      <c r="H11" s="284"/>
      <c r="I11" s="284"/>
      <c r="J11" s="284"/>
      <c r="K11" s="285"/>
      <c r="L11" s="168"/>
      <c r="M11" s="168"/>
    </row>
    <row r="12" spans="1:13" ht="23.25" customHeight="1" x14ac:dyDescent="0.3">
      <c r="A12" s="208" t="s">
        <v>2299</v>
      </c>
      <c r="B12" s="286" t="s">
        <v>2301</v>
      </c>
      <c r="C12" s="287"/>
      <c r="D12" s="208" t="s">
        <v>2300</v>
      </c>
      <c r="E12" s="286" t="s">
        <v>2302</v>
      </c>
      <c r="F12" s="273"/>
      <c r="G12" s="273"/>
      <c r="H12" s="273"/>
      <c r="I12" s="274"/>
      <c r="J12" s="210" t="s">
        <v>2303</v>
      </c>
      <c r="K12" s="209" t="s">
        <v>2352</v>
      </c>
      <c r="L12" s="168"/>
      <c r="M12" s="168"/>
    </row>
    <row r="13" spans="1:13" ht="21.75" customHeight="1" x14ac:dyDescent="0.3">
      <c r="A13" s="207"/>
      <c r="B13" s="276"/>
      <c r="C13" s="271"/>
      <c r="D13" s="162"/>
      <c r="E13" s="277"/>
      <c r="F13" s="278"/>
      <c r="G13" s="278"/>
      <c r="H13" s="278"/>
      <c r="I13" s="279"/>
      <c r="J13" s="163"/>
      <c r="K13" s="164"/>
      <c r="L13" s="168"/>
      <c r="M13" s="168"/>
    </row>
    <row r="14" spans="1:13" ht="21.75" customHeight="1" x14ac:dyDescent="0.3">
      <c r="A14" s="207"/>
      <c r="B14" s="276"/>
      <c r="C14" s="271"/>
      <c r="D14" s="162"/>
      <c r="E14" s="277"/>
      <c r="F14" s="278"/>
      <c r="G14" s="278"/>
      <c r="H14" s="278"/>
      <c r="I14" s="279"/>
      <c r="J14" s="163"/>
      <c r="K14" s="164"/>
      <c r="L14" s="168"/>
      <c r="M14" s="168"/>
    </row>
    <row r="15" spans="1:13" ht="21.75" customHeight="1" x14ac:dyDescent="0.3">
      <c r="A15" s="207"/>
      <c r="B15" s="276"/>
      <c r="C15" s="271"/>
      <c r="D15" s="162"/>
      <c r="E15" s="272"/>
      <c r="F15" s="273"/>
      <c r="G15" s="273"/>
      <c r="H15" s="273"/>
      <c r="I15" s="274"/>
      <c r="J15" s="163"/>
      <c r="K15" s="164"/>
      <c r="L15" s="168"/>
      <c r="M15" s="168"/>
    </row>
    <row r="16" spans="1:13" ht="21.75" customHeight="1" x14ac:dyDescent="0.3">
      <c r="A16" s="207"/>
      <c r="B16" s="276"/>
      <c r="C16" s="271"/>
      <c r="D16" s="162"/>
      <c r="E16" s="272"/>
      <c r="F16" s="273"/>
      <c r="G16" s="273"/>
      <c r="H16" s="273"/>
      <c r="I16" s="274"/>
      <c r="J16" s="163"/>
      <c r="K16" s="164"/>
      <c r="L16" s="168"/>
      <c r="M16" s="168"/>
    </row>
    <row r="17" spans="1:13" ht="21.75" customHeight="1" x14ac:dyDescent="0.3">
      <c r="A17" s="207"/>
      <c r="B17" s="276"/>
      <c r="C17" s="271"/>
      <c r="D17" s="162"/>
      <c r="E17" s="272"/>
      <c r="F17" s="273"/>
      <c r="G17" s="273"/>
      <c r="H17" s="273"/>
      <c r="I17" s="274"/>
      <c r="J17" s="163"/>
      <c r="K17" s="164"/>
      <c r="L17" s="168"/>
      <c r="M17" s="168"/>
    </row>
    <row r="18" spans="1:13" ht="21.75" customHeight="1" x14ac:dyDescent="0.3">
      <c r="A18" s="207"/>
      <c r="B18" s="276"/>
      <c r="C18" s="271"/>
      <c r="D18" s="162"/>
      <c r="E18" s="277"/>
      <c r="F18" s="273"/>
      <c r="G18" s="273"/>
      <c r="H18" s="273"/>
      <c r="I18" s="274"/>
      <c r="J18" s="163"/>
      <c r="K18" s="164"/>
      <c r="L18" s="168"/>
      <c r="M18" s="168"/>
    </row>
    <row r="19" spans="1:13" ht="21.75" customHeight="1" x14ac:dyDescent="0.3">
      <c r="A19" s="207"/>
      <c r="B19" s="276"/>
      <c r="C19" s="271"/>
      <c r="D19" s="162"/>
      <c r="E19" s="272"/>
      <c r="F19" s="273"/>
      <c r="G19" s="273"/>
      <c r="H19" s="273"/>
      <c r="I19" s="274"/>
      <c r="J19" s="163"/>
      <c r="K19" s="164"/>
      <c r="L19" s="168"/>
      <c r="M19" s="168"/>
    </row>
    <row r="20" spans="1:13" ht="21.75" customHeight="1" x14ac:dyDescent="0.3">
      <c r="A20" s="207"/>
      <c r="B20" s="276"/>
      <c r="C20" s="271"/>
      <c r="D20" s="162"/>
      <c r="E20" s="272"/>
      <c r="F20" s="273"/>
      <c r="G20" s="273"/>
      <c r="H20" s="273"/>
      <c r="I20" s="274"/>
      <c r="J20" s="163"/>
      <c r="K20" s="164"/>
      <c r="L20" s="168"/>
      <c r="M20" s="168"/>
    </row>
    <row r="21" spans="1:13" ht="21.75" customHeight="1" x14ac:dyDescent="0.3">
      <c r="A21" s="207"/>
      <c r="B21" s="276"/>
      <c r="C21" s="271"/>
      <c r="D21" s="162"/>
      <c r="E21" s="272"/>
      <c r="F21" s="273"/>
      <c r="G21" s="273"/>
      <c r="H21" s="273"/>
      <c r="I21" s="274"/>
      <c r="J21" s="163"/>
      <c r="K21" s="164"/>
      <c r="L21" s="168"/>
      <c r="M21" s="168"/>
    </row>
    <row r="22" spans="1:13" ht="21.75" customHeight="1" x14ac:dyDescent="0.3">
      <c r="A22" s="207"/>
      <c r="B22" s="276"/>
      <c r="C22" s="271"/>
      <c r="D22" s="162"/>
      <c r="E22" s="277"/>
      <c r="F22" s="273"/>
      <c r="G22" s="273"/>
      <c r="H22" s="273"/>
      <c r="I22" s="274"/>
      <c r="J22" s="163"/>
      <c r="K22" s="164"/>
      <c r="L22" s="168"/>
      <c r="M22" s="168"/>
    </row>
    <row r="23" spans="1:13" ht="21.75" customHeight="1" x14ac:dyDescent="0.3">
      <c r="A23" s="207"/>
      <c r="B23" s="276"/>
      <c r="C23" s="271"/>
      <c r="D23" s="162"/>
      <c r="E23" s="272"/>
      <c r="F23" s="273"/>
      <c r="G23" s="273"/>
      <c r="H23" s="273"/>
      <c r="I23" s="274"/>
      <c r="J23" s="163"/>
      <c r="K23" s="164"/>
      <c r="L23" s="168"/>
      <c r="M23" s="168"/>
    </row>
    <row r="24" spans="1:13" ht="21.75" customHeight="1" x14ac:dyDescent="0.3">
      <c r="A24" s="162"/>
      <c r="B24" s="270"/>
      <c r="C24" s="271"/>
      <c r="D24" s="162"/>
      <c r="E24" s="272"/>
      <c r="F24" s="273"/>
      <c r="G24" s="273"/>
      <c r="H24" s="273"/>
      <c r="I24" s="274"/>
      <c r="J24" s="163"/>
      <c r="K24" s="164"/>
      <c r="L24" s="168"/>
      <c r="M24" s="168"/>
    </row>
    <row r="25" spans="1:13" ht="21.75" customHeight="1" x14ac:dyDescent="0.3">
      <c r="A25" s="162"/>
      <c r="B25" s="270"/>
      <c r="C25" s="271"/>
      <c r="D25" s="162"/>
      <c r="E25" s="272"/>
      <c r="F25" s="273"/>
      <c r="G25" s="273"/>
      <c r="H25" s="273"/>
      <c r="I25" s="274"/>
      <c r="J25" s="163"/>
      <c r="K25" s="164"/>
      <c r="L25" s="168"/>
      <c r="M25" s="168"/>
    </row>
    <row r="26" spans="1:13" ht="21.75" customHeight="1" x14ac:dyDescent="0.3">
      <c r="A26" s="162"/>
      <c r="B26" s="270"/>
      <c r="C26" s="271"/>
      <c r="D26" s="162"/>
      <c r="E26" s="272"/>
      <c r="F26" s="273"/>
      <c r="G26" s="273"/>
      <c r="H26" s="273"/>
      <c r="I26" s="274"/>
      <c r="J26" s="163"/>
      <c r="K26" s="164"/>
      <c r="L26" s="168"/>
      <c r="M26" s="168"/>
    </row>
    <row r="27" spans="1:13" ht="21.75" customHeight="1" x14ac:dyDescent="0.3">
      <c r="A27" s="162"/>
      <c r="B27" s="270"/>
      <c r="C27" s="271"/>
      <c r="D27" s="162"/>
      <c r="E27" s="272"/>
      <c r="F27" s="273"/>
      <c r="G27" s="273"/>
      <c r="H27" s="273"/>
      <c r="I27" s="274"/>
      <c r="J27" s="163"/>
      <c r="K27" s="164"/>
      <c r="L27" s="168"/>
      <c r="M27" s="168"/>
    </row>
    <row r="28" spans="1:13" ht="21.75" customHeight="1" x14ac:dyDescent="0.3">
      <c r="A28" s="162"/>
      <c r="B28" s="270"/>
      <c r="C28" s="271"/>
      <c r="D28" s="162"/>
      <c r="E28" s="272"/>
      <c r="F28" s="273"/>
      <c r="G28" s="273"/>
      <c r="H28" s="273"/>
      <c r="I28" s="274"/>
      <c r="J28" s="163"/>
      <c r="K28" s="164"/>
      <c r="L28" s="168"/>
      <c r="M28" s="168"/>
    </row>
    <row r="29" spans="1:13" ht="21.75" customHeight="1" x14ac:dyDescent="0.3">
      <c r="A29" s="162"/>
      <c r="B29" s="270"/>
      <c r="C29" s="271"/>
      <c r="D29" s="162"/>
      <c r="E29" s="272"/>
      <c r="F29" s="273"/>
      <c r="G29" s="273"/>
      <c r="H29" s="273"/>
      <c r="I29" s="274"/>
      <c r="J29" s="163"/>
      <c r="K29" s="164"/>
      <c r="L29" s="168"/>
      <c r="M29" s="168"/>
    </row>
    <row r="30" spans="1:13" ht="24.75" customHeight="1" x14ac:dyDescent="0.3">
      <c r="A30" s="165"/>
      <c r="B30" s="275"/>
      <c r="C30" s="275"/>
      <c r="D30" s="166"/>
      <c r="E30" s="212"/>
      <c r="F30" s="213"/>
      <c r="G30" s="159"/>
      <c r="H30" s="159"/>
      <c r="I30" s="159"/>
      <c r="J30" s="167" t="str">
        <f>IF('Coach Card'!$AO$13=0,"",'Coach Card'!$AO$13)</f>
        <v/>
      </c>
      <c r="K30" s="164"/>
      <c r="L30" s="159"/>
      <c r="M30" s="160"/>
    </row>
    <row r="31" spans="1:13" ht="24.75" customHeight="1" x14ac:dyDescent="0.3">
      <c r="B31" s="268"/>
      <c r="C31" s="268"/>
    </row>
    <row r="32" spans="1:13" ht="24.75" customHeight="1" x14ac:dyDescent="0.35">
      <c r="B32" s="269" t="s">
        <v>2296</v>
      </c>
      <c r="C32" s="269"/>
      <c r="D32" s="269"/>
      <c r="E32" s="269"/>
      <c r="F32" s="214"/>
      <c r="G32" s="269" t="s">
        <v>2297</v>
      </c>
      <c r="H32" s="269"/>
      <c r="I32" s="269"/>
    </row>
    <row r="33" spans="2:3" ht="24.75" customHeight="1" x14ac:dyDescent="0.3">
      <c r="B33" s="268"/>
      <c r="C33" s="268"/>
    </row>
    <row r="34" spans="2:3" ht="24.75" customHeight="1" x14ac:dyDescent="0.3">
      <c r="B34" s="268"/>
      <c r="C34" s="268"/>
    </row>
    <row r="35" spans="2:3" ht="24.75" customHeight="1" x14ac:dyDescent="0.3">
      <c r="B35" s="268"/>
      <c r="C35" s="268"/>
    </row>
    <row r="36" spans="2:3" ht="24.75" customHeight="1" x14ac:dyDescent="0.3">
      <c r="B36" s="268"/>
      <c r="C36" s="268"/>
    </row>
    <row r="37" spans="2:3" ht="24.75" customHeight="1" x14ac:dyDescent="0.3">
      <c r="B37" s="268"/>
      <c r="C37" s="268"/>
    </row>
    <row r="38" spans="2:3" ht="24.75" customHeight="1" x14ac:dyDescent="0.3">
      <c r="B38" s="268"/>
      <c r="C38" s="268"/>
    </row>
    <row r="39" spans="2:3" ht="24.75" customHeight="1" x14ac:dyDescent="0.3">
      <c r="B39" s="268"/>
      <c r="C39" s="268"/>
    </row>
    <row r="40" spans="2:3" ht="24.75" customHeight="1" x14ac:dyDescent="0.3">
      <c r="B40" s="268"/>
      <c r="C40" s="268"/>
    </row>
    <row r="41" spans="2:3" ht="15" customHeight="1" x14ac:dyDescent="0.3">
      <c r="B41" s="268"/>
      <c r="C41" s="268"/>
    </row>
    <row r="42" spans="2:3" ht="15" customHeight="1" x14ac:dyDescent="0.3">
      <c r="B42" s="268"/>
      <c r="C42" s="268"/>
    </row>
    <row r="43" spans="2:3" ht="15" customHeight="1" x14ac:dyDescent="0.3">
      <c r="B43" s="268"/>
      <c r="C43" s="268"/>
    </row>
    <row r="44" spans="2:3" ht="15" customHeight="1" x14ac:dyDescent="0.3">
      <c r="B44" s="268"/>
      <c r="C44" s="268"/>
    </row>
    <row r="45" spans="2:3" ht="15" customHeight="1" x14ac:dyDescent="0.3">
      <c r="B45" s="268"/>
      <c r="C45" s="268"/>
    </row>
    <row r="46" spans="2:3" ht="15" customHeight="1" x14ac:dyDescent="0.3">
      <c r="B46" s="268"/>
      <c r="C46" s="268"/>
    </row>
    <row r="47" spans="2:3" ht="15" customHeight="1" x14ac:dyDescent="0.3">
      <c r="B47" s="268"/>
      <c r="C47" s="268"/>
    </row>
    <row r="48" spans="2:3" ht="15" customHeight="1" x14ac:dyDescent="0.3">
      <c r="B48" s="268"/>
      <c r="C48" s="268"/>
    </row>
    <row r="49" spans="2:3" ht="15" customHeight="1" x14ac:dyDescent="0.3">
      <c r="B49" s="268"/>
      <c r="C49" s="268"/>
    </row>
    <row r="50" spans="2:3" ht="15" customHeight="1" x14ac:dyDescent="0.3">
      <c r="B50" s="268"/>
      <c r="C50" s="268"/>
    </row>
    <row r="51" spans="2:3" ht="15" customHeight="1" x14ac:dyDescent="0.3">
      <c r="B51" s="268"/>
      <c r="C51" s="268"/>
    </row>
    <row r="52" spans="2:3" ht="15" customHeight="1" x14ac:dyDescent="0.3">
      <c r="B52" s="268"/>
      <c r="C52" s="268"/>
    </row>
    <row r="53" spans="2:3" ht="15" customHeight="1" x14ac:dyDescent="0.3">
      <c r="B53" s="268"/>
      <c r="C53" s="268"/>
    </row>
    <row r="54" spans="2:3" ht="15" customHeight="1" x14ac:dyDescent="0.3">
      <c r="B54" s="268"/>
      <c r="C54" s="268"/>
    </row>
    <row r="55" spans="2:3" ht="15" customHeight="1" x14ac:dyDescent="0.3">
      <c r="B55" s="268"/>
      <c r="C55" s="268"/>
    </row>
    <row r="56" spans="2:3" ht="15" customHeight="1" x14ac:dyDescent="0.3">
      <c r="B56" s="268"/>
      <c r="C56" s="268"/>
    </row>
    <row r="57" spans="2:3" ht="15" customHeight="1" x14ac:dyDescent="0.3">
      <c r="B57" s="268"/>
      <c r="C57" s="268"/>
    </row>
    <row r="58" spans="2:3" ht="15" customHeight="1" x14ac:dyDescent="0.3">
      <c r="B58" s="268"/>
      <c r="C58" s="268"/>
    </row>
    <row r="59" spans="2:3" ht="15" customHeight="1" x14ac:dyDescent="0.3">
      <c r="B59" s="268"/>
      <c r="C59" s="268"/>
    </row>
    <row r="60" spans="2:3" ht="15" customHeight="1" x14ac:dyDescent="0.3">
      <c r="B60" s="268"/>
      <c r="C60" s="268"/>
    </row>
    <row r="61" spans="2:3" ht="15" customHeight="1" x14ac:dyDescent="0.3">
      <c r="B61" s="268"/>
      <c r="C61" s="268"/>
    </row>
    <row r="62" spans="2:3" ht="15" customHeight="1" x14ac:dyDescent="0.3">
      <c r="B62" s="268"/>
      <c r="C62" s="268"/>
    </row>
    <row r="63" spans="2:3" ht="15" customHeight="1" x14ac:dyDescent="0.3">
      <c r="B63" s="268"/>
      <c r="C63" s="268"/>
    </row>
    <row r="64" spans="2:3" ht="15" customHeight="1" x14ac:dyDescent="0.3">
      <c r="B64" s="268"/>
      <c r="C64" s="268"/>
    </row>
    <row r="65" spans="2:3" ht="15" customHeight="1" x14ac:dyDescent="0.3">
      <c r="B65" s="268"/>
      <c r="C65" s="268"/>
    </row>
    <row r="66" spans="2:3" ht="15" customHeight="1" x14ac:dyDescent="0.3">
      <c r="B66" s="268"/>
      <c r="C66" s="268"/>
    </row>
    <row r="67" spans="2:3" ht="15" customHeight="1" x14ac:dyDescent="0.3">
      <c r="B67" s="268"/>
      <c r="C67" s="268"/>
    </row>
    <row r="68" spans="2:3" ht="15" customHeight="1" x14ac:dyDescent="0.3">
      <c r="B68" s="268"/>
      <c r="C68" s="268"/>
    </row>
    <row r="69" spans="2:3" ht="15" customHeight="1" x14ac:dyDescent="0.3">
      <c r="B69" s="268"/>
      <c r="C69" s="268"/>
    </row>
    <row r="70" spans="2:3" ht="15" customHeight="1" x14ac:dyDescent="0.3">
      <c r="B70" s="268"/>
      <c r="C70" s="268"/>
    </row>
    <row r="71" spans="2:3" ht="15" customHeight="1" x14ac:dyDescent="0.3">
      <c r="B71" s="268"/>
      <c r="C71" s="268"/>
    </row>
    <row r="72" spans="2:3" ht="15" customHeight="1" x14ac:dyDescent="0.3">
      <c r="B72" s="268"/>
      <c r="C72" s="268"/>
    </row>
    <row r="73" spans="2:3" ht="15" customHeight="1" x14ac:dyDescent="0.3">
      <c r="B73" s="268"/>
      <c r="C73" s="268"/>
    </row>
    <row r="74" spans="2:3" ht="15" customHeight="1" x14ac:dyDescent="0.3">
      <c r="B74" s="268"/>
      <c r="C74" s="268"/>
    </row>
    <row r="75" spans="2:3" ht="15" customHeight="1" x14ac:dyDescent="0.3">
      <c r="B75" s="268"/>
      <c r="C75" s="268"/>
    </row>
    <row r="76" spans="2:3" ht="15" customHeight="1" x14ac:dyDescent="0.3">
      <c r="B76" s="268"/>
      <c r="C76" s="268"/>
    </row>
  </sheetData>
  <mergeCells count="104">
    <mergeCell ref="E12:I12"/>
    <mergeCell ref="E13:I13"/>
    <mergeCell ref="B30:C30"/>
    <mergeCell ref="E25:I25"/>
    <mergeCell ref="E24:I24"/>
    <mergeCell ref="B26:C26"/>
    <mergeCell ref="E26:I26"/>
    <mergeCell ref="E27:I27"/>
    <mergeCell ref="B27:C27"/>
    <mergeCell ref="B35:C35"/>
    <mergeCell ref="E29:I29"/>
    <mergeCell ref="B28:C28"/>
    <mergeCell ref="E28:I28"/>
    <mergeCell ref="J2:K2"/>
    <mergeCell ref="J3:K4"/>
    <mergeCell ref="A3:B3"/>
    <mergeCell ref="D6:E6"/>
    <mergeCell ref="A4:B4"/>
    <mergeCell ref="D5:E5"/>
    <mergeCell ref="B29:C29"/>
    <mergeCell ref="B25:C25"/>
    <mergeCell ref="B24:C24"/>
    <mergeCell ref="B19:C19"/>
    <mergeCell ref="E19:I19"/>
    <mergeCell ref="B21:C21"/>
    <mergeCell ref="E21:I21"/>
    <mergeCell ref="E17:I17"/>
    <mergeCell ref="E18:I18"/>
    <mergeCell ref="E15:I15"/>
    <mergeCell ref="E16:I16"/>
    <mergeCell ref="E14:I14"/>
    <mergeCell ref="D7:E7"/>
    <mergeCell ref="D8:E8"/>
    <mergeCell ref="A9:B9"/>
    <mergeCell ref="A10:B10"/>
    <mergeCell ref="B12:C12"/>
    <mergeCell ref="B13:C13"/>
    <mergeCell ref="B31:C31"/>
    <mergeCell ref="B33:C33"/>
    <mergeCell ref="B34:C34"/>
    <mergeCell ref="A1:K1"/>
    <mergeCell ref="C2:I2"/>
    <mergeCell ref="C3:I3"/>
    <mergeCell ref="C4:I4"/>
    <mergeCell ref="F5:K8"/>
    <mergeCell ref="C9:K9"/>
    <mergeCell ref="C10:K10"/>
    <mergeCell ref="A11:K11"/>
    <mergeCell ref="B20:C20"/>
    <mergeCell ref="B22:C22"/>
    <mergeCell ref="E20:I20"/>
    <mergeCell ref="E22:I22"/>
    <mergeCell ref="B23:C23"/>
    <mergeCell ref="E23:I23"/>
    <mergeCell ref="B15:C15"/>
    <mergeCell ref="B16:C16"/>
    <mergeCell ref="A5:B8"/>
    <mergeCell ref="B18:C18"/>
    <mergeCell ref="B14:C14"/>
    <mergeCell ref="B17:C17"/>
    <mergeCell ref="A2:B2"/>
    <mergeCell ref="B41:C41"/>
    <mergeCell ref="B42:C42"/>
    <mergeCell ref="B43:C43"/>
    <mergeCell ref="B44:C44"/>
    <mergeCell ref="B45:C45"/>
    <mergeCell ref="B36:C36"/>
    <mergeCell ref="B37:C37"/>
    <mergeCell ref="B38:C38"/>
    <mergeCell ref="B39:C39"/>
    <mergeCell ref="B40:C40"/>
    <mergeCell ref="B52:C52"/>
    <mergeCell ref="B53:C53"/>
    <mergeCell ref="B54:C54"/>
    <mergeCell ref="B55:C55"/>
    <mergeCell ref="B46:C46"/>
    <mergeCell ref="B47:C47"/>
    <mergeCell ref="B48:C48"/>
    <mergeCell ref="B49:C49"/>
    <mergeCell ref="B50:C50"/>
    <mergeCell ref="B76:C76"/>
    <mergeCell ref="B32:E32"/>
    <mergeCell ref="G32:I32"/>
    <mergeCell ref="B71:C71"/>
    <mergeCell ref="B72:C72"/>
    <mergeCell ref="B73:C73"/>
    <mergeCell ref="B74:C74"/>
    <mergeCell ref="B75:C75"/>
    <mergeCell ref="B66:C66"/>
    <mergeCell ref="B67:C67"/>
    <mergeCell ref="B68:C68"/>
    <mergeCell ref="B69:C69"/>
    <mergeCell ref="B70:C70"/>
    <mergeCell ref="B61:C61"/>
    <mergeCell ref="B62:C62"/>
    <mergeCell ref="B63:C63"/>
    <mergeCell ref="B64:C64"/>
    <mergeCell ref="B65:C65"/>
    <mergeCell ref="B56:C56"/>
    <mergeCell ref="B57:C57"/>
    <mergeCell ref="B58:C58"/>
    <mergeCell ref="B59:C59"/>
    <mergeCell ref="B60:C60"/>
    <mergeCell ref="B51:C51"/>
  </mergeCells>
  <conditionalFormatting sqref="C5:C8">
    <cfRule type="notContainsBlanks" dxfId="2" priority="1">
      <formula>LEN(TRIM(C5))&gt;0</formula>
    </cfRule>
  </conditionalFormatting>
  <conditionalFormatting sqref="D5:D8">
    <cfRule type="expression" dxfId="1" priority="2">
      <formula>C5&lt;&gt;""</formula>
    </cfRule>
  </conditionalFormatting>
  <conditionalFormatting sqref="E30:F30">
    <cfRule type="notContainsBlanks" dxfId="0" priority="3">
      <formula>LEN(TRIM(E30))&gt;0</formula>
    </cfRule>
  </conditionalFormatting>
  <printOptions horizontalCentered="1" verticalCentered="1"/>
  <pageMargins left="0.23622047244094491" right="0.23622047244094491" top="0" bottom="0" header="0" footer="0"/>
  <pageSetup paperSize="9"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G345"/>
  <sheetViews>
    <sheetView workbookViewId="0"/>
  </sheetViews>
  <sheetFormatPr defaultColWidth="14.44140625" defaultRowHeight="15" customHeight="1" x14ac:dyDescent="0.3"/>
  <cols>
    <col min="1" max="1" width="26.21875" customWidth="1"/>
    <col min="2" max="2" width="4" customWidth="1"/>
    <col min="3" max="3" width="13.44140625" customWidth="1"/>
    <col min="4" max="4" width="4.5546875" customWidth="1"/>
    <col min="5" max="5" width="30.77734375" customWidth="1"/>
    <col min="6" max="6" width="9.109375" customWidth="1"/>
    <col min="7" max="7" width="48.5546875" customWidth="1"/>
    <col min="8" max="10" width="8.77734375" customWidth="1"/>
    <col min="11" max="16" width="12" customWidth="1"/>
    <col min="17" max="18" width="10.5546875" customWidth="1"/>
    <col min="19" max="19" width="12.44140625" customWidth="1"/>
    <col min="20" max="21" width="8.77734375" customWidth="1"/>
    <col min="22" max="23" width="9.109375" customWidth="1"/>
    <col min="24" max="56" width="8.77734375" customWidth="1"/>
    <col min="57" max="57" width="9.109375" customWidth="1"/>
    <col min="58" max="62" width="8.77734375" customWidth="1"/>
    <col min="63" max="63" width="9.109375" customWidth="1"/>
    <col min="64" max="67" width="8.77734375" customWidth="1"/>
    <col min="68" max="68" width="10.88671875" customWidth="1"/>
    <col min="69" max="82" width="8.77734375" customWidth="1"/>
    <col min="83" max="83" width="37.88671875" customWidth="1"/>
    <col min="84" max="84" width="33.109375" customWidth="1"/>
    <col min="85" max="85" width="5.5546875" customWidth="1"/>
  </cols>
  <sheetData>
    <row r="1" spans="1:85" ht="14.4" x14ac:dyDescent="0.3">
      <c r="A1" s="1" t="s">
        <v>217</v>
      </c>
      <c r="C1" s="1" t="s">
        <v>218</v>
      </c>
      <c r="E1" s="1" t="s">
        <v>219</v>
      </c>
      <c r="F1" s="169" t="s">
        <v>220</v>
      </c>
      <c r="G1" s="1" t="s">
        <v>221</v>
      </c>
      <c r="H1" s="169" t="s">
        <v>44</v>
      </c>
      <c r="I1" s="169" t="s">
        <v>222</v>
      </c>
      <c r="J1" s="169" t="s">
        <v>216</v>
      </c>
      <c r="K1" s="169" t="s">
        <v>223</v>
      </c>
      <c r="L1" s="169" t="s">
        <v>224</v>
      </c>
      <c r="M1" s="169" t="s">
        <v>225</v>
      </c>
      <c r="N1" s="169" t="s">
        <v>226</v>
      </c>
      <c r="O1" s="169" t="s">
        <v>227</v>
      </c>
      <c r="P1" s="169" t="s">
        <v>228</v>
      </c>
      <c r="Q1" s="169" t="s">
        <v>229</v>
      </c>
      <c r="R1" s="169" t="s">
        <v>230</v>
      </c>
      <c r="S1" s="169" t="s">
        <v>231</v>
      </c>
      <c r="U1" s="169" t="s">
        <v>232</v>
      </c>
      <c r="V1" s="169" t="s">
        <v>233</v>
      </c>
      <c r="W1" s="170"/>
      <c r="BE1" s="313"/>
      <c r="BF1" s="245"/>
      <c r="BK1" s="171"/>
      <c r="BL1" s="314" t="s">
        <v>234</v>
      </c>
      <c r="BM1" s="315"/>
      <c r="BN1" s="316" t="s">
        <v>235</v>
      </c>
      <c r="BO1" s="315"/>
      <c r="BP1" s="172" t="s">
        <v>236</v>
      </c>
      <c r="BQ1" s="172"/>
      <c r="BR1" s="317" t="s">
        <v>237</v>
      </c>
      <c r="BS1" s="315"/>
      <c r="BU1" s="1" t="s">
        <v>238</v>
      </c>
      <c r="BV1" s="1" t="s">
        <v>239</v>
      </c>
      <c r="BW1" s="1" t="s">
        <v>240</v>
      </c>
      <c r="BX1" s="1" t="s">
        <v>241</v>
      </c>
      <c r="BY1" s="1" t="s">
        <v>242</v>
      </c>
      <c r="BZ1" s="1" t="s">
        <v>243</v>
      </c>
      <c r="CA1" s="1" t="s">
        <v>244</v>
      </c>
      <c r="CB1" s="1" t="s">
        <v>245</v>
      </c>
      <c r="CC1" s="1" t="s">
        <v>246</v>
      </c>
      <c r="CE1" s="1" t="s">
        <v>247</v>
      </c>
      <c r="CF1" s="1" t="s">
        <v>248</v>
      </c>
      <c r="CG1" s="1" t="s">
        <v>249</v>
      </c>
    </row>
    <row r="2" spans="1:85" ht="14.4" x14ac:dyDescent="0.3">
      <c r="F2" s="169"/>
      <c r="H2" s="169"/>
      <c r="I2" s="169"/>
      <c r="J2" s="169"/>
      <c r="K2" s="169"/>
      <c r="L2" s="169"/>
      <c r="M2" s="169"/>
      <c r="N2" s="169"/>
      <c r="O2" s="169"/>
      <c r="P2" s="169"/>
      <c r="Q2" s="169"/>
      <c r="R2" s="169"/>
      <c r="S2" s="169"/>
      <c r="V2" s="169"/>
      <c r="W2" s="170"/>
      <c r="BK2" s="171"/>
      <c r="BL2" s="173" t="s">
        <v>250</v>
      </c>
      <c r="BM2" s="173" t="s">
        <v>251</v>
      </c>
      <c r="BN2" s="174" t="s">
        <v>252</v>
      </c>
      <c r="BO2" s="174" t="s">
        <v>253</v>
      </c>
      <c r="BP2" s="172" t="s">
        <v>254</v>
      </c>
      <c r="BQ2" s="172" t="s">
        <v>255</v>
      </c>
      <c r="BR2" s="175" t="s">
        <v>256</v>
      </c>
      <c r="BS2" s="175" t="s">
        <v>257</v>
      </c>
      <c r="BU2" s="1" t="str">
        <f>IF('Coach Card'!E20="H",HybridDD!M3,IF('Coach Card'!E20=3,TREDD!B3,IF('Coach Card'!E20="A",BL3,IF('Coach Card'!E20="B",BN3,IF('Coach Card'!E20="C",BP3,IF('Coach Card'!E20="P",BR3,IF('Coach Card'!H19="A-Pair",AcroDD!Q5,"")))))))</f>
        <v/>
      </c>
      <c r="CE2" s="1" t="s">
        <v>258</v>
      </c>
      <c r="CF2" s="1" t="s">
        <v>259</v>
      </c>
      <c r="CG2" s="1" t="s">
        <v>260</v>
      </c>
    </row>
    <row r="3" spans="1:85" ht="14.4" x14ac:dyDescent="0.3">
      <c r="A3" s="1" t="s">
        <v>204</v>
      </c>
      <c r="C3" s="1" t="s">
        <v>261</v>
      </c>
      <c r="D3" s="1" t="e">
        <f>'Coach Card'!$CP$15*10+1</f>
        <v>#VALUE!</v>
      </c>
      <c r="E3" s="1" t="e">
        <f t="shared" ref="E3:E11" ca="1" si="0">IF(OFFSET($D$1,D3+1,1)&lt;&gt;"",OFFSET($D$1,D3+1,1),"")</f>
        <v>#VALUE!</v>
      </c>
      <c r="F3" s="176">
        <v>1.0013888888888889</v>
      </c>
      <c r="G3" s="1" t="s">
        <v>262</v>
      </c>
      <c r="H3" s="169"/>
      <c r="I3" s="169">
        <v>4</v>
      </c>
      <c r="J3" s="169"/>
      <c r="K3" s="169"/>
      <c r="L3" s="169"/>
      <c r="M3" s="169"/>
      <c r="N3" s="169"/>
      <c r="O3" s="169"/>
      <c r="P3" s="169"/>
      <c r="Q3" s="169"/>
      <c r="R3" s="169"/>
      <c r="S3" s="169"/>
      <c r="T3" s="1">
        <f t="shared" ref="T3:T38" si="1">SUM(H3:S3)</f>
        <v>4</v>
      </c>
      <c r="U3" s="1">
        <v>1</v>
      </c>
      <c r="V3" s="169" t="s">
        <v>263</v>
      </c>
      <c r="W3" s="170"/>
      <c r="BE3" s="169"/>
      <c r="BF3" s="169"/>
      <c r="BK3" s="171">
        <v>1</v>
      </c>
      <c r="BL3" s="173" t="s">
        <v>264</v>
      </c>
      <c r="BM3" s="173">
        <v>0</v>
      </c>
      <c r="BN3" s="174" t="s">
        <v>265</v>
      </c>
      <c r="BO3" s="174">
        <v>0</v>
      </c>
      <c r="BP3" s="172" t="s">
        <v>266</v>
      </c>
      <c r="BQ3" s="172">
        <v>0</v>
      </c>
      <c r="BR3" s="175" t="s">
        <v>267</v>
      </c>
      <c r="BS3" s="175">
        <v>0</v>
      </c>
      <c r="BU3" s="1" t="str">
        <f>IF('Coach Card'!E21="H",HybridDD!M4,IF('Coach Card'!E21=3,TREDD!B4,IF('Coach Card'!E21="A",BL4,IF('Coach Card'!E21="B",BN4,IF('Coach Card'!E21="C",BP4,IF('Coach Card'!E21="P",BR4,IF(LEFT('Coach Card'!H20,6)="A-Pair",AcroDD!Q6,"")))))))</f>
        <v/>
      </c>
      <c r="CE3" s="1" t="s">
        <v>268</v>
      </c>
      <c r="CF3" s="1" t="s">
        <v>269</v>
      </c>
      <c r="CG3" s="1" t="s">
        <v>270</v>
      </c>
    </row>
    <row r="4" spans="1:85" ht="14.4" x14ac:dyDescent="0.3">
      <c r="A4" s="1" t="s">
        <v>208</v>
      </c>
      <c r="C4" s="1" t="s">
        <v>271</v>
      </c>
      <c r="D4" s="1" t="e">
        <f>'Coach Card'!$CP$15*10+2</f>
        <v>#VALUE!</v>
      </c>
      <c r="E4" s="1" t="e">
        <f t="shared" ca="1" si="0"/>
        <v>#VALUE!</v>
      </c>
      <c r="F4" s="176">
        <v>1.0013888888888889</v>
      </c>
      <c r="G4" s="1" t="s">
        <v>272</v>
      </c>
      <c r="H4" s="169"/>
      <c r="I4" s="169">
        <v>4</v>
      </c>
      <c r="J4" s="169"/>
      <c r="K4" s="169"/>
      <c r="L4" s="169"/>
      <c r="M4" s="169"/>
      <c r="N4" s="169"/>
      <c r="O4" s="169"/>
      <c r="P4" s="169"/>
      <c r="Q4" s="169"/>
      <c r="R4" s="169"/>
      <c r="S4" s="169"/>
      <c r="T4" s="1">
        <f t="shared" si="1"/>
        <v>4</v>
      </c>
      <c r="U4" s="1">
        <v>1</v>
      </c>
      <c r="V4" s="169" t="s">
        <v>263</v>
      </c>
      <c r="W4" s="170"/>
      <c r="BE4" s="169"/>
      <c r="BF4" s="169"/>
      <c r="BK4" s="171"/>
      <c r="BL4" s="173" t="s">
        <v>273</v>
      </c>
      <c r="BM4" s="173">
        <v>0</v>
      </c>
      <c r="BN4" s="174" t="s">
        <v>274</v>
      </c>
      <c r="BO4" s="174">
        <v>0</v>
      </c>
      <c r="BP4" s="172" t="s">
        <v>275</v>
      </c>
      <c r="BQ4" s="172">
        <v>0</v>
      </c>
      <c r="BR4" s="175" t="s">
        <v>276</v>
      </c>
      <c r="BS4" s="175">
        <v>0</v>
      </c>
      <c r="BU4" s="1" t="str">
        <f>IF('Coach Card'!E22="H",HybridDD!M5,IF('Coach Card'!E22=3,TREDD!B5,IF('Coach Card'!E22="A",BL5,IF('Coach Card'!E22="B",BN5,IF('Coach Card'!E22="C",BP5,IF('Coach Card'!E22="P",BR5,IF('Coach Card'!H21="A-Pair",AcroDD!Q7,"")))))))</f>
        <v/>
      </c>
      <c r="CE4" s="1" t="s">
        <v>277</v>
      </c>
      <c r="CF4" s="1" t="s">
        <v>278</v>
      </c>
      <c r="CG4" s="1" t="s">
        <v>279</v>
      </c>
    </row>
    <row r="5" spans="1:85" ht="14.4" x14ac:dyDescent="0.3">
      <c r="A5" s="1" t="s">
        <v>205</v>
      </c>
      <c r="C5" s="1" t="s">
        <v>280</v>
      </c>
      <c r="D5" s="1" t="e">
        <f>'Coach Card'!$CP$15*10+3</f>
        <v>#VALUE!</v>
      </c>
      <c r="E5" s="1" t="e">
        <f t="shared" ca="1" si="0"/>
        <v>#VALUE!</v>
      </c>
      <c r="F5" s="176">
        <v>1.0017361111111112</v>
      </c>
      <c r="G5" s="1" t="s">
        <v>281</v>
      </c>
      <c r="H5" s="169"/>
      <c r="I5" s="169">
        <v>4</v>
      </c>
      <c r="J5" s="169">
        <v>1</v>
      </c>
      <c r="K5" s="169"/>
      <c r="L5" s="169"/>
      <c r="M5" s="169"/>
      <c r="N5" s="169"/>
      <c r="O5" s="169"/>
      <c r="P5" s="169"/>
      <c r="Q5" s="169"/>
      <c r="R5" s="169"/>
      <c r="S5" s="169"/>
      <c r="T5" s="1">
        <f t="shared" si="1"/>
        <v>5</v>
      </c>
      <c r="U5" s="1">
        <v>2</v>
      </c>
      <c r="V5" s="169" t="s">
        <v>19</v>
      </c>
      <c r="W5" s="170"/>
      <c r="BE5" s="169"/>
      <c r="BF5" s="169"/>
      <c r="BK5" s="171"/>
      <c r="BL5" s="173"/>
      <c r="BM5" s="173"/>
      <c r="BN5" s="174"/>
      <c r="BO5" s="174"/>
      <c r="BP5" s="172" t="s">
        <v>282</v>
      </c>
      <c r="BQ5" s="172">
        <v>0</v>
      </c>
      <c r="BR5" s="175"/>
      <c r="BS5" s="175"/>
      <c r="BU5" s="1" t="str">
        <f>IF('Coach Card'!E23="H",HybridDD!M6,IF('Coach Card'!E23=3,TREDD!B6,IF('Coach Card'!E23="A",BL6,IF('Coach Card'!E23="B",BN6,IF('Coach Card'!E23="C",BP6,IF('Coach Card'!E23="P",BR6,IF('Coach Card'!H22="A-Pair",AcroDD!Q8,"")))))))</f>
        <v/>
      </c>
      <c r="CE5" s="1" t="s">
        <v>283</v>
      </c>
      <c r="CF5" s="1" t="s">
        <v>284</v>
      </c>
      <c r="CG5" s="1" t="s">
        <v>285</v>
      </c>
    </row>
    <row r="6" spans="1:85" ht="14.4" x14ac:dyDescent="0.3">
      <c r="A6" s="1" t="s">
        <v>209</v>
      </c>
      <c r="C6" s="1" t="s">
        <v>286</v>
      </c>
      <c r="D6" s="1" t="e">
        <f>'Coach Card'!$CP$15*10+4</f>
        <v>#VALUE!</v>
      </c>
      <c r="E6" s="1" t="e">
        <f t="shared" ca="1" si="0"/>
        <v>#VALUE!</v>
      </c>
      <c r="F6" s="176">
        <v>1.0017361111111112</v>
      </c>
      <c r="G6" s="1" t="s">
        <v>287</v>
      </c>
      <c r="H6" s="169"/>
      <c r="I6" s="169">
        <v>3</v>
      </c>
      <c r="J6" s="169">
        <v>2</v>
      </c>
      <c r="K6" s="169"/>
      <c r="L6" s="169"/>
      <c r="M6" s="169"/>
      <c r="N6" s="169"/>
      <c r="O6" s="169"/>
      <c r="P6" s="169"/>
      <c r="Q6" s="169">
        <v>3</v>
      </c>
      <c r="R6" s="169"/>
      <c r="S6" s="169"/>
      <c r="T6" s="1">
        <f t="shared" si="1"/>
        <v>8</v>
      </c>
      <c r="U6" s="1">
        <v>3</v>
      </c>
      <c r="V6" s="169" t="s">
        <v>288</v>
      </c>
      <c r="W6" s="170"/>
      <c r="BE6" s="169"/>
      <c r="BF6" s="169"/>
      <c r="BK6" s="171"/>
      <c r="BL6" s="173"/>
      <c r="BM6" s="173"/>
      <c r="BN6" s="174"/>
      <c r="BO6" s="174"/>
      <c r="BP6" s="172"/>
      <c r="BQ6" s="172"/>
      <c r="BR6" s="175"/>
      <c r="BS6" s="175"/>
      <c r="BU6" s="1" t="str">
        <f>IF('Coach Card'!E24="H",HybridDD!M7,IF('Coach Card'!E24=3,TREDD!B7,IF('Coach Card'!E24="A",BL7,IF('Coach Card'!E24="B",BN7,IF('Coach Card'!E24="C",BP7,IF('Coach Card'!E24="P",BR7,IF('Coach Card'!H23="A-Pair",AcroDD!Q9,"")))))))</f>
        <v/>
      </c>
      <c r="CE6" s="1" t="s">
        <v>289</v>
      </c>
      <c r="CF6" s="1" t="s">
        <v>290</v>
      </c>
      <c r="CG6" s="1" t="s">
        <v>291</v>
      </c>
    </row>
    <row r="7" spans="1:85" ht="14.4" x14ac:dyDescent="0.3">
      <c r="A7" s="1" t="s">
        <v>206</v>
      </c>
      <c r="C7" s="1" t="s">
        <v>292</v>
      </c>
      <c r="D7" s="1" t="e">
        <f>'Coach Card'!$CP$15*10+5</f>
        <v>#VALUE!</v>
      </c>
      <c r="E7" s="1" t="e">
        <f t="shared" ca="1" si="0"/>
        <v>#VALUE!</v>
      </c>
      <c r="F7" s="176">
        <v>1.0020833333333334</v>
      </c>
      <c r="G7" s="1" t="s">
        <v>293</v>
      </c>
      <c r="H7" s="169"/>
      <c r="I7" s="169">
        <v>4</v>
      </c>
      <c r="J7" s="169">
        <v>3</v>
      </c>
      <c r="K7" s="169"/>
      <c r="L7" s="169"/>
      <c r="M7" s="169"/>
      <c r="N7" s="169"/>
      <c r="O7" s="169"/>
      <c r="P7" s="169"/>
      <c r="Q7" s="169"/>
      <c r="R7" s="169"/>
      <c r="S7" s="169"/>
      <c r="T7" s="1">
        <f t="shared" si="1"/>
        <v>7</v>
      </c>
      <c r="U7" s="1">
        <v>12</v>
      </c>
      <c r="V7" s="169" t="s">
        <v>27</v>
      </c>
      <c r="W7" s="170"/>
      <c r="BE7" s="169"/>
      <c r="BF7" s="169"/>
      <c r="BK7" s="171"/>
      <c r="BL7" s="173"/>
      <c r="BM7" s="173"/>
      <c r="BN7" s="174"/>
      <c r="BO7" s="174"/>
      <c r="BP7" s="172"/>
      <c r="BQ7" s="172"/>
      <c r="BR7" s="175"/>
      <c r="BS7" s="175"/>
      <c r="BU7" s="1" t="str">
        <f>IF('Coach Card'!E25="H",HybridDD!M8,IF('Coach Card'!E25=3,TREDD!B8,IF('Coach Card'!E25="A",BL8,IF('Coach Card'!E25="B",BN8,IF('Coach Card'!E25="C",BP8,IF('Coach Card'!E25="P",BR8,IF('Coach Card'!H24="A-Pair",AcroDD!Q10,"")))))))</f>
        <v/>
      </c>
      <c r="CE7" s="1" t="s">
        <v>294</v>
      </c>
      <c r="CF7" s="1" t="s">
        <v>295</v>
      </c>
      <c r="CG7" s="1" t="s">
        <v>296</v>
      </c>
    </row>
    <row r="8" spans="1:85" ht="14.4" x14ac:dyDescent="0.3">
      <c r="A8" s="1" t="s">
        <v>210</v>
      </c>
      <c r="D8" s="1" t="e">
        <f>'Coach Card'!$CP$15*10+6</f>
        <v>#VALUE!</v>
      </c>
      <c r="E8" s="1" t="e">
        <f t="shared" ca="1" si="0"/>
        <v>#VALUE!</v>
      </c>
      <c r="F8" s="176">
        <v>1.0020833333333334</v>
      </c>
      <c r="G8" s="1" t="s">
        <v>297</v>
      </c>
      <c r="H8" s="169"/>
      <c r="I8" s="169"/>
      <c r="J8" s="169">
        <v>3</v>
      </c>
      <c r="K8" s="169"/>
      <c r="L8" s="169"/>
      <c r="M8" s="169"/>
      <c r="N8" s="169">
        <v>1</v>
      </c>
      <c r="O8" s="169">
        <v>1</v>
      </c>
      <c r="P8" s="169">
        <v>2</v>
      </c>
      <c r="Q8" s="169"/>
      <c r="R8" s="169">
        <v>1</v>
      </c>
      <c r="S8" s="169"/>
      <c r="T8" s="1">
        <f t="shared" si="1"/>
        <v>8</v>
      </c>
      <c r="U8" s="1">
        <v>4</v>
      </c>
      <c r="V8" s="169" t="s">
        <v>27</v>
      </c>
      <c r="W8" s="170"/>
      <c r="BE8" s="169"/>
      <c r="BF8" s="169"/>
      <c r="BK8" s="171"/>
      <c r="BL8" s="173"/>
      <c r="BM8" s="173"/>
      <c r="BN8" s="174"/>
      <c r="BO8" s="174"/>
      <c r="BP8" s="172"/>
      <c r="BQ8" s="172"/>
      <c r="BR8" s="175"/>
      <c r="BS8" s="175"/>
      <c r="BU8" s="1" t="str">
        <f>IF('Coach Card'!E26="H",HybridDD!M9,IF('Coach Card'!E26=3,TREDD!B9,IF('Coach Card'!E26="A",BL9,IF('Coach Card'!E26="B",BN9,IF('Coach Card'!E26="C",BP9,IF('Coach Card'!E26="P",BR9,IF('Coach Card'!H25="A-Pair",AcroDD!Q11,"")))))))</f>
        <v/>
      </c>
      <c r="CE8" s="1" t="s">
        <v>298</v>
      </c>
      <c r="CF8" s="1" t="s">
        <v>299</v>
      </c>
      <c r="CG8" s="1" t="s">
        <v>300</v>
      </c>
    </row>
    <row r="9" spans="1:85" ht="14.4" x14ac:dyDescent="0.3">
      <c r="A9" s="1" t="s">
        <v>207</v>
      </c>
      <c r="D9" s="1" t="e">
        <f>'Coach Card'!$CP$15*10+7</f>
        <v>#VALUE!</v>
      </c>
      <c r="E9" s="1" t="e">
        <f t="shared" ca="1" si="0"/>
        <v>#VALUE!</v>
      </c>
      <c r="F9" s="176">
        <v>1.0013888888888889</v>
      </c>
      <c r="G9" s="1" t="s">
        <v>301</v>
      </c>
      <c r="H9" s="169"/>
      <c r="I9" s="169">
        <v>5</v>
      </c>
      <c r="J9" s="169"/>
      <c r="K9" s="169"/>
      <c r="L9" s="169"/>
      <c r="M9" s="169"/>
      <c r="N9" s="169"/>
      <c r="O9" s="169"/>
      <c r="P9" s="169"/>
      <c r="Q9" s="169"/>
      <c r="R9" s="169"/>
      <c r="S9" s="169"/>
      <c r="T9" s="1">
        <f t="shared" si="1"/>
        <v>5</v>
      </c>
      <c r="U9" s="1">
        <v>1</v>
      </c>
      <c r="V9" s="169" t="s">
        <v>263</v>
      </c>
      <c r="W9" s="170"/>
      <c r="BE9" s="169"/>
      <c r="BF9" s="169"/>
      <c r="BK9" s="171"/>
      <c r="BL9" s="173"/>
      <c r="BM9" s="173"/>
      <c r="BN9" s="174"/>
      <c r="BO9" s="174"/>
      <c r="BP9" s="172"/>
      <c r="BQ9" s="172"/>
      <c r="BR9" s="175"/>
      <c r="BS9" s="175"/>
      <c r="BU9" s="1" t="str">
        <f>IF('Coach Card'!E27="H",HybridDD!M10,IF('Coach Card'!E27=3,TREDD!B10,IF('Coach Card'!E27="A",BL10,IF('Coach Card'!E27="B",BN10,IF('Coach Card'!E27="C",BP10,IF('Coach Card'!E27="P",BR10,IF('Coach Card'!H26="A-Pair",AcroDD!Q12,"")))))))</f>
        <v/>
      </c>
      <c r="CE9" s="1" t="s">
        <v>302</v>
      </c>
      <c r="CF9" s="1" t="s">
        <v>303</v>
      </c>
      <c r="CG9" s="1" t="s">
        <v>304</v>
      </c>
    </row>
    <row r="10" spans="1:85" ht="14.4" x14ac:dyDescent="0.3">
      <c r="A10" s="1" t="s">
        <v>211</v>
      </c>
      <c r="C10" s="1" t="s">
        <v>261</v>
      </c>
      <c r="D10" s="1" t="e">
        <f>'Coach Card'!$CP$15*10+8</f>
        <v>#VALUE!</v>
      </c>
      <c r="E10" s="1" t="e">
        <f t="shared" ca="1" si="0"/>
        <v>#VALUE!</v>
      </c>
      <c r="F10" s="176">
        <v>1.0013888888888889</v>
      </c>
      <c r="G10" s="1" t="s">
        <v>305</v>
      </c>
      <c r="H10" s="169"/>
      <c r="I10" s="169">
        <v>5</v>
      </c>
      <c r="J10" s="169"/>
      <c r="K10" s="169"/>
      <c r="L10" s="169"/>
      <c r="M10" s="169"/>
      <c r="N10" s="169"/>
      <c r="O10" s="169"/>
      <c r="P10" s="169"/>
      <c r="Q10" s="169"/>
      <c r="R10" s="169"/>
      <c r="S10" s="169"/>
      <c r="T10" s="1">
        <f t="shared" si="1"/>
        <v>5</v>
      </c>
      <c r="U10" s="1">
        <v>1</v>
      </c>
      <c r="V10" s="169" t="s">
        <v>263</v>
      </c>
      <c r="W10" s="170"/>
      <c r="BE10" s="169"/>
      <c r="BF10" s="169"/>
      <c r="BK10" s="171">
        <v>2</v>
      </c>
      <c r="BL10" s="173" t="s">
        <v>306</v>
      </c>
      <c r="BM10" s="173">
        <v>0.5</v>
      </c>
      <c r="BN10" s="174" t="s">
        <v>307</v>
      </c>
      <c r="BO10" s="174">
        <v>1.05</v>
      </c>
      <c r="BP10" s="172" t="s">
        <v>308</v>
      </c>
      <c r="BQ10" s="172">
        <v>1.7</v>
      </c>
      <c r="BR10" s="175" t="s">
        <v>25</v>
      </c>
      <c r="BS10" s="175">
        <v>1.1000000000000001</v>
      </c>
      <c r="BU10" s="1" t="str">
        <f>IF('Coach Card'!E28="H",HybridDD!M11,IF('Coach Card'!E28=3,TREDD!B11,IF('Coach Card'!E28="A",BL11,IF('Coach Card'!E28="B",BN11,IF('Coach Card'!E28="C",BP11,IF('Coach Card'!E28="P",BR11,IF('Coach Card'!H27="A-Pair",AcroDD!Q13,"")))))))</f>
        <v/>
      </c>
      <c r="BX10" s="177"/>
      <c r="CE10" s="1" t="s">
        <v>309</v>
      </c>
      <c r="CF10" s="1" t="s">
        <v>310</v>
      </c>
      <c r="CG10" s="1" t="s">
        <v>311</v>
      </c>
    </row>
    <row r="11" spans="1:85" ht="14.4" x14ac:dyDescent="0.3">
      <c r="A11" s="1" t="s">
        <v>212</v>
      </c>
      <c r="C11" s="1" t="s">
        <v>271</v>
      </c>
      <c r="D11" s="1" t="e">
        <f>'Coach Card'!$CP$15*10+9</f>
        <v>#VALUE!</v>
      </c>
      <c r="E11" s="1" t="e">
        <f t="shared" ca="1" si="0"/>
        <v>#VALUE!</v>
      </c>
      <c r="F11" s="176">
        <v>1.0017361111111112</v>
      </c>
      <c r="G11" s="1" t="s">
        <v>312</v>
      </c>
      <c r="H11" s="169"/>
      <c r="I11" s="169">
        <v>5</v>
      </c>
      <c r="J11" s="169">
        <v>1</v>
      </c>
      <c r="K11" s="169"/>
      <c r="L11" s="169"/>
      <c r="M11" s="169"/>
      <c r="N11" s="169"/>
      <c r="O11" s="169"/>
      <c r="P11" s="169"/>
      <c r="Q11" s="169"/>
      <c r="R11" s="169"/>
      <c r="S11" s="169"/>
      <c r="T11" s="1">
        <f t="shared" si="1"/>
        <v>6</v>
      </c>
      <c r="U11" s="1">
        <v>2</v>
      </c>
      <c r="V11" s="169" t="s">
        <v>19</v>
      </c>
      <c r="W11" s="170"/>
      <c r="BE11" s="169"/>
      <c r="BF11" s="169"/>
      <c r="BK11" s="171"/>
      <c r="BL11" s="173" t="s">
        <v>313</v>
      </c>
      <c r="BM11" s="173">
        <v>0.9</v>
      </c>
      <c r="BN11" s="174" t="s">
        <v>314</v>
      </c>
      <c r="BO11" s="174">
        <v>0.7</v>
      </c>
      <c r="BP11" s="178" t="s">
        <v>315</v>
      </c>
      <c r="BQ11" s="172">
        <v>1.65</v>
      </c>
      <c r="BR11" s="175" t="s">
        <v>316</v>
      </c>
      <c r="BS11" s="175">
        <v>0.85</v>
      </c>
      <c r="CE11" s="1" t="s">
        <v>317</v>
      </c>
      <c r="CF11" s="1" t="s">
        <v>318</v>
      </c>
      <c r="CG11" s="1" t="s">
        <v>319</v>
      </c>
    </row>
    <row r="12" spans="1:85" ht="14.4" x14ac:dyDescent="0.3">
      <c r="A12" s="1" t="s">
        <v>213</v>
      </c>
      <c r="F12" s="176">
        <v>1.0017361111111112</v>
      </c>
      <c r="G12" s="1" t="s">
        <v>320</v>
      </c>
      <c r="H12" s="169"/>
      <c r="I12" s="169">
        <v>3</v>
      </c>
      <c r="J12" s="169">
        <v>2</v>
      </c>
      <c r="K12" s="169"/>
      <c r="L12" s="169"/>
      <c r="M12" s="169"/>
      <c r="N12" s="169"/>
      <c r="O12" s="169"/>
      <c r="P12" s="169"/>
      <c r="Q12" s="169">
        <v>3</v>
      </c>
      <c r="R12" s="169"/>
      <c r="S12" s="169"/>
      <c r="T12" s="1">
        <f t="shared" si="1"/>
        <v>8</v>
      </c>
      <c r="U12" s="1">
        <v>3</v>
      </c>
      <c r="V12" s="169" t="s">
        <v>288</v>
      </c>
      <c r="W12" s="170"/>
      <c r="BE12" s="169"/>
      <c r="BF12" s="169"/>
      <c r="BK12" s="171"/>
      <c r="BL12" s="173" t="s">
        <v>321</v>
      </c>
      <c r="BM12" s="173">
        <v>1.25</v>
      </c>
      <c r="BN12" s="174" t="s">
        <v>322</v>
      </c>
      <c r="BO12" s="174">
        <v>1.35</v>
      </c>
      <c r="BP12" s="178" t="s">
        <v>323</v>
      </c>
      <c r="BQ12" s="172">
        <v>1.55</v>
      </c>
      <c r="BR12" s="175" t="s">
        <v>324</v>
      </c>
      <c r="BS12" s="175">
        <v>1.1499999999999999</v>
      </c>
      <c r="CE12" s="1" t="s">
        <v>325</v>
      </c>
      <c r="CF12" s="1" t="s">
        <v>326</v>
      </c>
      <c r="CG12" s="1" t="s">
        <v>327</v>
      </c>
    </row>
    <row r="13" spans="1:85" ht="14.4" x14ac:dyDescent="0.3">
      <c r="A13" s="1" t="s">
        <v>215</v>
      </c>
      <c r="D13" s="1">
        <v>1</v>
      </c>
      <c r="E13" s="1" t="s">
        <v>33</v>
      </c>
      <c r="F13" s="176">
        <v>1.0020833333333334</v>
      </c>
      <c r="G13" s="1" t="s">
        <v>328</v>
      </c>
      <c r="H13" s="169"/>
      <c r="I13" s="169">
        <v>5</v>
      </c>
      <c r="J13" s="169">
        <v>3</v>
      </c>
      <c r="K13" s="169"/>
      <c r="L13" s="169"/>
      <c r="M13" s="169"/>
      <c r="N13" s="169"/>
      <c r="O13" s="169"/>
      <c r="P13" s="169"/>
      <c r="Q13" s="169"/>
      <c r="R13" s="169"/>
      <c r="S13" s="169"/>
      <c r="T13" s="1">
        <f t="shared" si="1"/>
        <v>8</v>
      </c>
      <c r="U13" s="1">
        <v>12</v>
      </c>
      <c r="V13" s="169" t="s">
        <v>27</v>
      </c>
      <c r="W13" s="170"/>
      <c r="BF13" s="179"/>
      <c r="BK13" s="171"/>
      <c r="BL13" s="173" t="s">
        <v>329</v>
      </c>
      <c r="BM13" s="173">
        <v>1</v>
      </c>
      <c r="BN13" s="174" t="s">
        <v>330</v>
      </c>
      <c r="BO13" s="174">
        <v>0.9</v>
      </c>
      <c r="BP13" s="178" t="s">
        <v>331</v>
      </c>
      <c r="BQ13" s="172">
        <v>1.55</v>
      </c>
      <c r="BR13" s="175" t="s">
        <v>14</v>
      </c>
      <c r="BS13" s="175">
        <v>1.3</v>
      </c>
      <c r="CE13" s="1" t="s">
        <v>332</v>
      </c>
      <c r="CF13" s="1" t="s">
        <v>333</v>
      </c>
      <c r="CG13" s="1" t="s">
        <v>334</v>
      </c>
    </row>
    <row r="14" spans="1:85" ht="14.4" x14ac:dyDescent="0.3">
      <c r="A14" s="1" t="s">
        <v>214</v>
      </c>
      <c r="C14" s="1" t="s">
        <v>280</v>
      </c>
      <c r="D14" s="1">
        <v>1</v>
      </c>
      <c r="E14" s="1" t="s">
        <v>35</v>
      </c>
      <c r="F14" s="176">
        <v>1.0020833333333334</v>
      </c>
      <c r="G14" s="1" t="s">
        <v>335</v>
      </c>
      <c r="H14" s="169"/>
      <c r="I14" s="169"/>
      <c r="J14" s="169">
        <v>4</v>
      </c>
      <c r="K14" s="169"/>
      <c r="L14" s="169"/>
      <c r="M14" s="169"/>
      <c r="N14" s="169">
        <v>1</v>
      </c>
      <c r="O14" s="169">
        <v>1</v>
      </c>
      <c r="P14" s="169">
        <v>2</v>
      </c>
      <c r="Q14" s="169"/>
      <c r="R14" s="169">
        <v>1</v>
      </c>
      <c r="S14" s="169"/>
      <c r="T14" s="1">
        <f t="shared" si="1"/>
        <v>9</v>
      </c>
      <c r="U14" s="1">
        <v>4</v>
      </c>
      <c r="V14" s="169" t="s">
        <v>27</v>
      </c>
      <c r="W14" s="170"/>
      <c r="BF14" s="179"/>
      <c r="BK14" s="171"/>
      <c r="BL14" s="173" t="s">
        <v>336</v>
      </c>
      <c r="BM14" s="173">
        <v>1.35</v>
      </c>
      <c r="BN14" s="174" t="s">
        <v>337</v>
      </c>
      <c r="BO14" s="174">
        <v>1.1499999999999999</v>
      </c>
      <c r="BP14" s="178" t="s">
        <v>338</v>
      </c>
      <c r="BQ14" s="172">
        <v>1.75</v>
      </c>
      <c r="BR14" s="175" t="s">
        <v>339</v>
      </c>
      <c r="BS14" s="175">
        <v>1.4</v>
      </c>
      <c r="CE14" s="1" t="s">
        <v>340</v>
      </c>
      <c r="CF14" s="1" t="s">
        <v>341</v>
      </c>
      <c r="CG14" s="1" t="s">
        <v>342</v>
      </c>
    </row>
    <row r="15" spans="1:85" ht="14.4" x14ac:dyDescent="0.3">
      <c r="C15" s="1" t="s">
        <v>286</v>
      </c>
      <c r="F15" s="176">
        <v>1.0013888888888889</v>
      </c>
      <c r="G15" s="1" t="s">
        <v>343</v>
      </c>
      <c r="H15" s="169">
        <v>5</v>
      </c>
      <c r="I15" s="169">
        <v>1</v>
      </c>
      <c r="J15" s="169"/>
      <c r="K15" s="169"/>
      <c r="L15" s="169"/>
      <c r="M15" s="169"/>
      <c r="N15" s="169"/>
      <c r="O15" s="169"/>
      <c r="P15" s="169"/>
      <c r="Q15" s="169"/>
      <c r="R15" s="169"/>
      <c r="S15" s="169"/>
      <c r="T15" s="1">
        <f t="shared" si="1"/>
        <v>6</v>
      </c>
      <c r="U15" s="1">
        <v>6</v>
      </c>
      <c r="V15" s="169" t="s">
        <v>263</v>
      </c>
      <c r="W15" s="170"/>
      <c r="BF15" s="179"/>
      <c r="BK15" s="171"/>
      <c r="BL15" s="173" t="s">
        <v>344</v>
      </c>
      <c r="BM15" s="173">
        <v>1.35</v>
      </c>
      <c r="BN15" s="174" t="s">
        <v>345</v>
      </c>
      <c r="BO15" s="174">
        <v>0.95</v>
      </c>
      <c r="BP15" s="178" t="s">
        <v>346</v>
      </c>
      <c r="BQ15" s="172">
        <v>1.55</v>
      </c>
      <c r="BR15" s="175" t="s">
        <v>347</v>
      </c>
      <c r="BS15" s="175">
        <v>1.1499999999999999</v>
      </c>
      <c r="CE15" s="1" t="s">
        <v>348</v>
      </c>
      <c r="CF15" s="1" t="s">
        <v>349</v>
      </c>
      <c r="CG15" s="1" t="s">
        <v>350</v>
      </c>
    </row>
    <row r="16" spans="1:85" ht="14.4" x14ac:dyDescent="0.3">
      <c r="C16" s="1" t="s">
        <v>292</v>
      </c>
      <c r="F16" s="176">
        <v>1.0015624999999999</v>
      </c>
      <c r="G16" s="1" t="s">
        <v>351</v>
      </c>
      <c r="H16" s="169"/>
      <c r="I16" s="169">
        <v>6</v>
      </c>
      <c r="J16" s="169"/>
      <c r="K16" s="169"/>
      <c r="L16" s="169"/>
      <c r="M16" s="169"/>
      <c r="N16" s="169"/>
      <c r="O16" s="169"/>
      <c r="P16" s="169"/>
      <c r="Q16" s="169"/>
      <c r="R16" s="169"/>
      <c r="S16" s="169"/>
      <c r="T16" s="1">
        <f t="shared" si="1"/>
        <v>6</v>
      </c>
      <c r="U16" s="1">
        <v>1</v>
      </c>
      <c r="V16" s="169" t="s">
        <v>263</v>
      </c>
      <c r="W16" s="170"/>
      <c r="BF16" s="179"/>
      <c r="BK16" s="171"/>
      <c r="BL16" s="173" t="s">
        <v>352</v>
      </c>
      <c r="BM16" s="173">
        <v>1.35</v>
      </c>
      <c r="BN16" s="174" t="s">
        <v>353</v>
      </c>
      <c r="BO16" s="174">
        <v>1.1499999999999999</v>
      </c>
      <c r="BP16" s="178" t="s">
        <v>354</v>
      </c>
      <c r="BQ16" s="172">
        <v>1.75</v>
      </c>
      <c r="BR16" s="175" t="s">
        <v>355</v>
      </c>
      <c r="BS16" s="175">
        <v>1.1499999999999999</v>
      </c>
      <c r="CE16" s="1" t="s">
        <v>356</v>
      </c>
      <c r="CF16" s="1" t="s">
        <v>357</v>
      </c>
      <c r="CG16" s="1" t="s">
        <v>358</v>
      </c>
    </row>
    <row r="17" spans="1:85" ht="14.4" x14ac:dyDescent="0.3">
      <c r="A17" s="1" t="s">
        <v>208</v>
      </c>
      <c r="F17" s="176">
        <v>1.0013888888888889</v>
      </c>
      <c r="G17" s="1" t="s">
        <v>359</v>
      </c>
      <c r="H17" s="169">
        <v>5</v>
      </c>
      <c r="I17" s="169">
        <v>1</v>
      </c>
      <c r="J17" s="169"/>
      <c r="K17" s="169"/>
      <c r="L17" s="169"/>
      <c r="M17" s="169"/>
      <c r="N17" s="169"/>
      <c r="O17" s="169"/>
      <c r="P17" s="169"/>
      <c r="Q17" s="169"/>
      <c r="R17" s="169"/>
      <c r="S17" s="169"/>
      <c r="T17" s="1">
        <f t="shared" si="1"/>
        <v>6</v>
      </c>
      <c r="U17" s="1">
        <v>6</v>
      </c>
      <c r="V17" s="169" t="s">
        <v>263</v>
      </c>
      <c r="W17" s="170"/>
      <c r="BF17" s="179"/>
      <c r="BK17" s="171"/>
      <c r="BL17" s="173" t="s">
        <v>360</v>
      </c>
      <c r="BM17" s="173">
        <v>1.3</v>
      </c>
      <c r="BN17" s="174" t="s">
        <v>361</v>
      </c>
      <c r="BO17" s="174">
        <v>0.95</v>
      </c>
      <c r="BP17" s="172" t="s">
        <v>362</v>
      </c>
      <c r="BQ17" s="172">
        <v>1.4</v>
      </c>
      <c r="BR17" s="175" t="s">
        <v>363</v>
      </c>
      <c r="BS17" s="175">
        <v>1.2</v>
      </c>
      <c r="CE17" s="1" t="s">
        <v>364</v>
      </c>
      <c r="CF17" s="1" t="s">
        <v>365</v>
      </c>
      <c r="CG17" s="1" t="s">
        <v>366</v>
      </c>
    </row>
    <row r="18" spans="1:85" ht="14.4" x14ac:dyDescent="0.3">
      <c r="A18" s="1" t="s">
        <v>209</v>
      </c>
      <c r="F18" s="176">
        <v>1.0015624999999999</v>
      </c>
      <c r="G18" s="1" t="s">
        <v>367</v>
      </c>
      <c r="H18" s="169"/>
      <c r="I18" s="169">
        <v>6</v>
      </c>
      <c r="J18" s="169"/>
      <c r="K18" s="169"/>
      <c r="L18" s="169"/>
      <c r="M18" s="169"/>
      <c r="N18" s="169"/>
      <c r="O18" s="169"/>
      <c r="P18" s="169"/>
      <c r="Q18" s="169"/>
      <c r="R18" s="169"/>
      <c r="S18" s="169"/>
      <c r="T18" s="1">
        <f t="shared" si="1"/>
        <v>6</v>
      </c>
      <c r="U18" s="1">
        <v>1</v>
      </c>
      <c r="V18" s="169" t="s">
        <v>263</v>
      </c>
      <c r="W18" s="170"/>
      <c r="BF18" s="179"/>
      <c r="BK18" s="171"/>
      <c r="BL18" s="173" t="s">
        <v>368</v>
      </c>
      <c r="BM18" s="173">
        <v>1.3</v>
      </c>
      <c r="BN18" s="174" t="s">
        <v>369</v>
      </c>
      <c r="BO18" s="174">
        <v>1.2</v>
      </c>
      <c r="BP18" s="172" t="s">
        <v>370</v>
      </c>
      <c r="BQ18" s="172">
        <v>1.1000000000000001</v>
      </c>
      <c r="BR18" s="175" t="s">
        <v>371</v>
      </c>
      <c r="BS18" s="175">
        <v>1.45</v>
      </c>
      <c r="CE18" s="1" t="s">
        <v>372</v>
      </c>
      <c r="CF18" s="1" t="s">
        <v>373</v>
      </c>
      <c r="CG18" s="1" t="s">
        <v>374</v>
      </c>
    </row>
    <row r="19" spans="1:85" ht="14.4" x14ac:dyDescent="0.3">
      <c r="A19" s="1" t="s">
        <v>210</v>
      </c>
      <c r="F19" s="176">
        <v>1.0016203703703703</v>
      </c>
      <c r="G19" s="1" t="s">
        <v>375</v>
      </c>
      <c r="H19" s="169">
        <v>5</v>
      </c>
      <c r="I19" s="169">
        <v>1</v>
      </c>
      <c r="J19" s="169">
        <v>1</v>
      </c>
      <c r="K19" s="169"/>
      <c r="L19" s="169"/>
      <c r="M19" s="169"/>
      <c r="N19" s="169"/>
      <c r="O19" s="169"/>
      <c r="P19" s="169"/>
      <c r="Q19" s="169"/>
      <c r="R19" s="169"/>
      <c r="S19" s="169"/>
      <c r="T19" s="1">
        <f t="shared" si="1"/>
        <v>7</v>
      </c>
      <c r="U19" s="1">
        <v>7</v>
      </c>
      <c r="V19" s="169" t="s">
        <v>19</v>
      </c>
      <c r="W19" s="170"/>
      <c r="BF19" s="179"/>
      <c r="BK19" s="171"/>
      <c r="BL19" s="173" t="s">
        <v>376</v>
      </c>
      <c r="BM19" s="173">
        <v>1.35</v>
      </c>
      <c r="BN19" s="174" t="s">
        <v>377</v>
      </c>
      <c r="BO19" s="174">
        <v>1.2</v>
      </c>
      <c r="BP19" s="172" t="s">
        <v>378</v>
      </c>
      <c r="BQ19" s="172">
        <v>1.35</v>
      </c>
      <c r="BR19" s="175" t="s">
        <v>379</v>
      </c>
      <c r="BS19" s="175">
        <v>1.7</v>
      </c>
      <c r="CE19" s="1" t="s">
        <v>380</v>
      </c>
      <c r="CF19" s="1" t="s">
        <v>381</v>
      </c>
      <c r="CG19" s="1" t="s">
        <v>382</v>
      </c>
    </row>
    <row r="20" spans="1:85" ht="14.4" x14ac:dyDescent="0.3">
      <c r="A20" s="1" t="s">
        <v>211</v>
      </c>
      <c r="F20" s="176">
        <v>1.0019097222222222</v>
      </c>
      <c r="G20" s="1" t="s">
        <v>383</v>
      </c>
      <c r="H20" s="169"/>
      <c r="I20" s="169">
        <v>6</v>
      </c>
      <c r="J20" s="169">
        <v>2</v>
      </c>
      <c r="K20" s="169"/>
      <c r="L20" s="169"/>
      <c r="M20" s="169"/>
      <c r="N20" s="169"/>
      <c r="O20" s="169"/>
      <c r="P20" s="169"/>
      <c r="Q20" s="169"/>
      <c r="R20" s="169"/>
      <c r="S20" s="169"/>
      <c r="T20" s="1">
        <f t="shared" si="1"/>
        <v>8</v>
      </c>
      <c r="U20" s="1">
        <v>2</v>
      </c>
      <c r="V20" s="169" t="s">
        <v>19</v>
      </c>
      <c r="W20" s="170"/>
      <c r="BF20" s="179"/>
      <c r="BK20" s="171"/>
      <c r="BL20" s="173" t="s">
        <v>384</v>
      </c>
      <c r="BM20" s="173">
        <v>1</v>
      </c>
      <c r="BN20" s="174" t="s">
        <v>385</v>
      </c>
      <c r="BO20" s="174">
        <v>0.85</v>
      </c>
      <c r="BP20" s="172" t="s">
        <v>386</v>
      </c>
      <c r="BQ20" s="172">
        <v>1.25</v>
      </c>
      <c r="BR20" s="175" t="s">
        <v>387</v>
      </c>
      <c r="BS20" s="175">
        <v>1</v>
      </c>
      <c r="CE20" s="1" t="s">
        <v>388</v>
      </c>
      <c r="CF20" s="1" t="s">
        <v>389</v>
      </c>
      <c r="CG20" s="1" t="s">
        <v>390</v>
      </c>
    </row>
    <row r="21" spans="1:85" ht="15.75" customHeight="1" x14ac:dyDescent="0.3">
      <c r="A21" s="1" t="s">
        <v>213</v>
      </c>
      <c r="F21" s="176">
        <v>1.0016203703703703</v>
      </c>
      <c r="G21" s="1" t="s">
        <v>391</v>
      </c>
      <c r="H21" s="169">
        <v>3</v>
      </c>
      <c r="I21" s="169">
        <v>1</v>
      </c>
      <c r="J21" s="169">
        <v>2</v>
      </c>
      <c r="K21" s="169"/>
      <c r="L21" s="169">
        <v>1</v>
      </c>
      <c r="M21" s="169"/>
      <c r="N21" s="169"/>
      <c r="O21" s="169"/>
      <c r="P21" s="169"/>
      <c r="Q21" s="169">
        <v>3</v>
      </c>
      <c r="R21" s="169"/>
      <c r="S21" s="169"/>
      <c r="T21" s="1">
        <f t="shared" si="1"/>
        <v>10</v>
      </c>
      <c r="U21" s="1">
        <v>8</v>
      </c>
      <c r="V21" s="169" t="s">
        <v>288</v>
      </c>
      <c r="W21" s="170"/>
      <c r="BF21" s="179"/>
      <c r="BK21" s="171"/>
      <c r="BL21" s="173" t="s">
        <v>361</v>
      </c>
      <c r="BM21" s="173">
        <v>1.3</v>
      </c>
      <c r="BN21" s="174" t="s">
        <v>387</v>
      </c>
      <c r="BO21" s="174">
        <v>1.2</v>
      </c>
      <c r="BP21" s="172" t="s">
        <v>392</v>
      </c>
      <c r="BQ21" s="172">
        <v>1.6</v>
      </c>
      <c r="BR21" s="175" t="s">
        <v>393</v>
      </c>
      <c r="BS21" s="175">
        <v>1.1000000000000001</v>
      </c>
      <c r="CE21" s="1" t="s">
        <v>394</v>
      </c>
      <c r="CF21" s="1" t="s">
        <v>395</v>
      </c>
      <c r="CG21" s="1" t="s">
        <v>396</v>
      </c>
    </row>
    <row r="22" spans="1:85" ht="15.75" customHeight="1" x14ac:dyDescent="0.3">
      <c r="A22" s="1" t="s">
        <v>215</v>
      </c>
      <c r="F22" s="176">
        <v>1.0019097222222222</v>
      </c>
      <c r="G22" s="1" t="s">
        <v>397</v>
      </c>
      <c r="H22" s="169"/>
      <c r="I22" s="169">
        <v>4</v>
      </c>
      <c r="J22" s="169">
        <v>3</v>
      </c>
      <c r="K22" s="169"/>
      <c r="L22" s="169"/>
      <c r="M22" s="169"/>
      <c r="N22" s="169"/>
      <c r="O22" s="169"/>
      <c r="P22" s="169"/>
      <c r="Q22" s="169">
        <v>4</v>
      </c>
      <c r="R22" s="169"/>
      <c r="S22" s="169"/>
      <c r="T22" s="1">
        <f t="shared" si="1"/>
        <v>11</v>
      </c>
      <c r="U22" s="1">
        <v>3</v>
      </c>
      <c r="V22" s="169" t="s">
        <v>288</v>
      </c>
      <c r="W22" s="170"/>
      <c r="BF22" s="179"/>
      <c r="BK22" s="171"/>
      <c r="BL22" s="173" t="s">
        <v>398</v>
      </c>
      <c r="BM22" s="173">
        <v>0.5</v>
      </c>
      <c r="BN22" s="174" t="s">
        <v>399</v>
      </c>
      <c r="BO22" s="174">
        <v>1.6</v>
      </c>
      <c r="BP22" s="172" t="s">
        <v>400</v>
      </c>
      <c r="BQ22" s="172">
        <v>0.7</v>
      </c>
      <c r="BR22" s="175" t="s">
        <v>401</v>
      </c>
      <c r="BS22" s="175">
        <v>0.9</v>
      </c>
      <c r="CE22" s="1" t="s">
        <v>402</v>
      </c>
      <c r="CF22" s="1" t="s">
        <v>403</v>
      </c>
      <c r="CG22" s="1" t="s">
        <v>404</v>
      </c>
    </row>
    <row r="23" spans="1:85" ht="15.75" customHeight="1" x14ac:dyDescent="0.3">
      <c r="D23" s="1">
        <v>2</v>
      </c>
      <c r="E23" s="1" t="s">
        <v>33</v>
      </c>
      <c r="F23" s="176">
        <v>1.0019675925925926</v>
      </c>
      <c r="G23" s="1" t="s">
        <v>405</v>
      </c>
      <c r="H23" s="169">
        <v>5</v>
      </c>
      <c r="I23" s="169">
        <v>1</v>
      </c>
      <c r="J23" s="169">
        <v>1</v>
      </c>
      <c r="K23" s="169"/>
      <c r="L23" s="169"/>
      <c r="M23" s="169"/>
      <c r="N23" s="169"/>
      <c r="O23" s="169"/>
      <c r="P23" s="169"/>
      <c r="Q23" s="169"/>
      <c r="R23" s="169"/>
      <c r="S23" s="169">
        <v>1</v>
      </c>
      <c r="T23" s="1">
        <f t="shared" si="1"/>
        <v>8</v>
      </c>
      <c r="U23" s="1">
        <v>11</v>
      </c>
      <c r="V23" s="169" t="s">
        <v>27</v>
      </c>
      <c r="W23" s="170"/>
      <c r="BF23" s="179"/>
      <c r="BK23" s="171"/>
      <c r="BL23" s="173" t="s">
        <v>406</v>
      </c>
      <c r="BM23" s="173">
        <v>1.1000000000000001</v>
      </c>
      <c r="BN23" s="174" t="s">
        <v>407</v>
      </c>
      <c r="BO23" s="174">
        <v>1.4</v>
      </c>
      <c r="BP23" s="172" t="s">
        <v>408</v>
      </c>
      <c r="BQ23" s="172">
        <v>1.85</v>
      </c>
      <c r="BR23" s="175" t="s">
        <v>409</v>
      </c>
      <c r="BS23" s="175">
        <v>0.9</v>
      </c>
      <c r="CE23" s="1" t="s">
        <v>410</v>
      </c>
      <c r="CF23" s="1" t="s">
        <v>411</v>
      </c>
      <c r="CG23" s="1" t="s">
        <v>412</v>
      </c>
    </row>
    <row r="24" spans="1:85" ht="15.75" customHeight="1" x14ac:dyDescent="0.3">
      <c r="D24" s="1">
        <v>2</v>
      </c>
      <c r="E24" s="1" t="s">
        <v>35</v>
      </c>
      <c r="F24" s="176">
        <v>1.0024305555555555</v>
      </c>
      <c r="G24" s="1" t="s">
        <v>413</v>
      </c>
      <c r="H24" s="169"/>
      <c r="I24" s="169">
        <v>6</v>
      </c>
      <c r="J24" s="169">
        <v>3</v>
      </c>
      <c r="K24" s="169"/>
      <c r="L24" s="169"/>
      <c r="M24" s="169"/>
      <c r="N24" s="169"/>
      <c r="O24" s="169"/>
      <c r="P24" s="169"/>
      <c r="Q24" s="169"/>
      <c r="R24" s="169"/>
      <c r="S24" s="169"/>
      <c r="T24" s="1">
        <f t="shared" si="1"/>
        <v>9</v>
      </c>
      <c r="U24" s="1">
        <v>12</v>
      </c>
      <c r="V24" s="169" t="s">
        <v>27</v>
      </c>
      <c r="W24" s="170"/>
      <c r="BF24" s="179"/>
      <c r="BK24" s="171"/>
      <c r="BL24" s="173" t="s">
        <v>387</v>
      </c>
      <c r="BM24" s="173">
        <v>1.4</v>
      </c>
      <c r="BN24" s="174" t="s">
        <v>414</v>
      </c>
      <c r="BO24" s="174">
        <v>1.7</v>
      </c>
      <c r="BP24" s="172" t="s">
        <v>415</v>
      </c>
      <c r="BQ24" s="172">
        <v>1.65</v>
      </c>
      <c r="BR24" s="175" t="s">
        <v>416</v>
      </c>
      <c r="BS24" s="175">
        <v>1</v>
      </c>
      <c r="CE24" s="1" t="s">
        <v>417</v>
      </c>
      <c r="CF24" s="1" t="s">
        <v>418</v>
      </c>
      <c r="CG24" s="1" t="s">
        <v>419</v>
      </c>
    </row>
    <row r="25" spans="1:85" ht="15.75" customHeight="1" x14ac:dyDescent="0.3">
      <c r="A25" s="1" t="s">
        <v>204</v>
      </c>
      <c r="D25" s="1">
        <v>2</v>
      </c>
      <c r="E25" s="1" t="s">
        <v>420</v>
      </c>
      <c r="F25" s="176">
        <v>1.0020833333333334</v>
      </c>
      <c r="G25" s="1" t="s">
        <v>421</v>
      </c>
      <c r="H25" s="169"/>
      <c r="I25" s="169"/>
      <c r="J25" s="169">
        <v>4</v>
      </c>
      <c r="K25" s="169"/>
      <c r="L25" s="169"/>
      <c r="M25" s="169"/>
      <c r="N25" s="169">
        <v>1</v>
      </c>
      <c r="O25" s="169">
        <v>1</v>
      </c>
      <c r="P25" s="169">
        <v>2</v>
      </c>
      <c r="Q25" s="169"/>
      <c r="R25" s="169">
        <v>1</v>
      </c>
      <c r="S25" s="169"/>
      <c r="T25" s="1">
        <f t="shared" si="1"/>
        <v>9</v>
      </c>
      <c r="U25" s="1">
        <v>4</v>
      </c>
      <c r="V25" s="169" t="s">
        <v>27</v>
      </c>
      <c r="W25" s="170"/>
      <c r="BF25" s="179"/>
      <c r="BK25" s="171"/>
      <c r="BL25" s="173"/>
      <c r="BM25" s="173"/>
      <c r="BN25" s="174" t="s">
        <v>422</v>
      </c>
      <c r="BO25" s="174">
        <v>0.7</v>
      </c>
      <c r="BP25" s="172" t="s">
        <v>423</v>
      </c>
      <c r="BQ25" s="172">
        <v>2</v>
      </c>
      <c r="BR25" s="175" t="s">
        <v>424</v>
      </c>
      <c r="BS25" s="175">
        <v>1.1000000000000001</v>
      </c>
      <c r="CE25" s="1" t="s">
        <v>425</v>
      </c>
      <c r="CF25" s="1" t="s">
        <v>426</v>
      </c>
      <c r="CG25" s="1" t="s">
        <v>427</v>
      </c>
    </row>
    <row r="26" spans="1:85" ht="15.75" customHeight="1" x14ac:dyDescent="0.3">
      <c r="A26" s="1" t="s">
        <v>208</v>
      </c>
      <c r="F26" s="176">
        <v>1.0020833333333334</v>
      </c>
      <c r="G26" s="1" t="s">
        <v>428</v>
      </c>
      <c r="H26" s="169"/>
      <c r="I26" s="169"/>
      <c r="J26" s="169">
        <v>7</v>
      </c>
      <c r="K26" s="169"/>
      <c r="L26" s="169"/>
      <c r="M26" s="169"/>
      <c r="N26" s="169"/>
      <c r="O26" s="169"/>
      <c r="P26" s="169"/>
      <c r="Q26" s="169"/>
      <c r="R26" s="169"/>
      <c r="S26" s="169"/>
      <c r="T26" s="1">
        <f t="shared" si="1"/>
        <v>7</v>
      </c>
      <c r="U26" s="1">
        <v>10</v>
      </c>
      <c r="V26" s="169" t="s">
        <v>27</v>
      </c>
      <c r="W26" s="170"/>
      <c r="BF26" s="179"/>
      <c r="BK26" s="171"/>
      <c r="BL26" s="173"/>
      <c r="BM26" s="173"/>
      <c r="BN26" s="174" t="s">
        <v>429</v>
      </c>
      <c r="BO26" s="174">
        <v>0.6</v>
      </c>
      <c r="BP26" s="172" t="s">
        <v>430</v>
      </c>
      <c r="BQ26" s="172">
        <v>1.45</v>
      </c>
      <c r="BR26" s="175" t="s">
        <v>336</v>
      </c>
      <c r="BS26" s="175">
        <v>0.6</v>
      </c>
      <c r="CE26" s="1" t="s">
        <v>431</v>
      </c>
      <c r="CF26" s="1" t="s">
        <v>432</v>
      </c>
      <c r="CG26" s="1" t="s">
        <v>433</v>
      </c>
    </row>
    <row r="27" spans="1:85" ht="15.75" customHeight="1" x14ac:dyDescent="0.3">
      <c r="A27" s="1" t="s">
        <v>205</v>
      </c>
      <c r="F27" s="176">
        <v>1.0013888888888889</v>
      </c>
      <c r="G27" s="1" t="s">
        <v>434</v>
      </c>
      <c r="H27" s="169">
        <v>5</v>
      </c>
      <c r="I27" s="169">
        <v>1</v>
      </c>
      <c r="J27" s="169"/>
      <c r="K27" s="169"/>
      <c r="L27" s="169"/>
      <c r="M27" s="169"/>
      <c r="N27" s="169"/>
      <c r="O27" s="169"/>
      <c r="P27" s="169"/>
      <c r="Q27" s="169"/>
      <c r="R27" s="169"/>
      <c r="S27" s="169"/>
      <c r="T27" s="1">
        <f t="shared" si="1"/>
        <v>6</v>
      </c>
      <c r="U27" s="1">
        <v>6</v>
      </c>
      <c r="V27" s="169" t="s">
        <v>263</v>
      </c>
      <c r="W27" s="170"/>
      <c r="BF27" s="179"/>
      <c r="BK27" s="171"/>
      <c r="BL27" s="173"/>
      <c r="BM27" s="173"/>
      <c r="BN27" s="174" t="s">
        <v>435</v>
      </c>
      <c r="BO27" s="174">
        <v>1.05</v>
      </c>
      <c r="BP27" s="172" t="s">
        <v>436</v>
      </c>
      <c r="BQ27" s="172">
        <v>1.3</v>
      </c>
      <c r="BR27" s="180" t="s">
        <v>437</v>
      </c>
      <c r="BS27" s="175">
        <v>1.2</v>
      </c>
      <c r="CE27" s="1" t="s">
        <v>438</v>
      </c>
      <c r="CF27" s="1" t="s">
        <v>439</v>
      </c>
      <c r="CG27" s="1" t="s">
        <v>440</v>
      </c>
    </row>
    <row r="28" spans="1:85" ht="15.75" customHeight="1" x14ac:dyDescent="0.3">
      <c r="A28" s="1" t="s">
        <v>209</v>
      </c>
      <c r="F28" s="176">
        <v>1.0015624999999999</v>
      </c>
      <c r="G28" s="1" t="s">
        <v>441</v>
      </c>
      <c r="H28" s="169"/>
      <c r="I28" s="169">
        <v>6</v>
      </c>
      <c r="J28" s="169"/>
      <c r="K28" s="169"/>
      <c r="L28" s="169"/>
      <c r="M28" s="169"/>
      <c r="N28" s="169"/>
      <c r="O28" s="169"/>
      <c r="P28" s="169"/>
      <c r="Q28" s="169"/>
      <c r="R28" s="169"/>
      <c r="S28" s="169"/>
      <c r="T28" s="1">
        <f t="shared" si="1"/>
        <v>6</v>
      </c>
      <c r="U28" s="1">
        <v>1</v>
      </c>
      <c r="V28" s="169" t="s">
        <v>263</v>
      </c>
      <c r="W28" s="170"/>
      <c r="BF28" s="179"/>
      <c r="BK28" s="171"/>
      <c r="BL28" s="173"/>
      <c r="BM28" s="173"/>
      <c r="BN28" s="174" t="s">
        <v>442</v>
      </c>
      <c r="BO28" s="174">
        <v>1.05</v>
      </c>
      <c r="BP28" s="172" t="s">
        <v>443</v>
      </c>
      <c r="BQ28" s="172">
        <v>1.75</v>
      </c>
      <c r="BR28" s="175" t="s">
        <v>444</v>
      </c>
      <c r="BS28" s="175">
        <v>0.8</v>
      </c>
      <c r="CE28" s="1" t="s">
        <v>445</v>
      </c>
      <c r="CF28" s="1" t="s">
        <v>446</v>
      </c>
      <c r="CG28" s="1" t="s">
        <v>447</v>
      </c>
    </row>
    <row r="29" spans="1:85" ht="15.75" customHeight="1" x14ac:dyDescent="0.3">
      <c r="A29" s="1" t="s">
        <v>206</v>
      </c>
      <c r="F29" s="176">
        <v>1.0013888888888889</v>
      </c>
      <c r="G29" s="1" t="s">
        <v>448</v>
      </c>
      <c r="H29" s="169">
        <v>5</v>
      </c>
      <c r="I29" s="169">
        <v>1</v>
      </c>
      <c r="J29" s="169"/>
      <c r="K29" s="169"/>
      <c r="L29" s="169"/>
      <c r="M29" s="169"/>
      <c r="N29" s="169"/>
      <c r="O29" s="169"/>
      <c r="P29" s="169"/>
      <c r="Q29" s="169"/>
      <c r="R29" s="169"/>
      <c r="S29" s="169"/>
      <c r="T29" s="1">
        <f t="shared" si="1"/>
        <v>6</v>
      </c>
      <c r="U29" s="1">
        <v>6</v>
      </c>
      <c r="V29" s="169" t="s">
        <v>263</v>
      </c>
      <c r="W29" s="170"/>
      <c r="BF29" s="179"/>
      <c r="BK29" s="171"/>
      <c r="BL29" s="173"/>
      <c r="BM29" s="173"/>
      <c r="BN29" s="174" t="s">
        <v>449</v>
      </c>
      <c r="BO29" s="174">
        <v>0.7</v>
      </c>
      <c r="BP29" s="172" t="s">
        <v>450</v>
      </c>
      <c r="BQ29" s="172">
        <v>1.8</v>
      </c>
      <c r="BR29" s="175" t="s">
        <v>451</v>
      </c>
      <c r="BS29" s="175">
        <v>0.5</v>
      </c>
      <c r="CE29" s="1" t="s">
        <v>452</v>
      </c>
      <c r="CF29" s="1" t="s">
        <v>453</v>
      </c>
      <c r="CG29" s="1" t="s">
        <v>454</v>
      </c>
    </row>
    <row r="30" spans="1:85" ht="15.75" customHeight="1" x14ac:dyDescent="0.3">
      <c r="A30" s="1" t="s">
        <v>210</v>
      </c>
      <c r="F30" s="176">
        <v>1.0015624999999999</v>
      </c>
      <c r="G30" s="1" t="s">
        <v>455</v>
      </c>
      <c r="H30" s="169"/>
      <c r="I30" s="169">
        <v>6</v>
      </c>
      <c r="J30" s="169"/>
      <c r="K30" s="169"/>
      <c r="L30" s="169"/>
      <c r="M30" s="169"/>
      <c r="N30" s="169"/>
      <c r="O30" s="169"/>
      <c r="P30" s="169"/>
      <c r="Q30" s="169"/>
      <c r="R30" s="169"/>
      <c r="S30" s="169"/>
      <c r="T30" s="1">
        <f t="shared" si="1"/>
        <v>6</v>
      </c>
      <c r="U30" s="1">
        <v>1</v>
      </c>
      <c r="V30" s="169" t="s">
        <v>263</v>
      </c>
      <c r="W30" s="170"/>
      <c r="BF30" s="179"/>
      <c r="BK30" s="171"/>
      <c r="BL30" s="173"/>
      <c r="BM30" s="173"/>
      <c r="BN30" s="174" t="s">
        <v>456</v>
      </c>
      <c r="BO30" s="174">
        <v>1.1000000000000001</v>
      </c>
      <c r="BP30" s="172" t="s">
        <v>457</v>
      </c>
      <c r="BQ30" s="172">
        <v>1.45</v>
      </c>
      <c r="BR30" s="175" t="s">
        <v>458</v>
      </c>
      <c r="BS30" s="175">
        <v>0.3</v>
      </c>
      <c r="CE30" s="1" t="s">
        <v>459</v>
      </c>
      <c r="CF30" s="1" t="s">
        <v>460</v>
      </c>
      <c r="CG30" s="1" t="s">
        <v>461</v>
      </c>
    </row>
    <row r="31" spans="1:85" ht="15.75" customHeight="1" x14ac:dyDescent="0.3">
      <c r="A31" s="1" t="s">
        <v>207</v>
      </c>
      <c r="F31" s="176">
        <v>1.0016203703703703</v>
      </c>
      <c r="G31" s="1" t="s">
        <v>462</v>
      </c>
      <c r="H31" s="169">
        <v>5</v>
      </c>
      <c r="I31" s="169">
        <v>1</v>
      </c>
      <c r="J31" s="169">
        <v>1</v>
      </c>
      <c r="K31" s="169"/>
      <c r="L31" s="169"/>
      <c r="M31" s="169"/>
      <c r="N31" s="169"/>
      <c r="O31" s="169"/>
      <c r="P31" s="169"/>
      <c r="Q31" s="169"/>
      <c r="R31" s="169"/>
      <c r="S31" s="169"/>
      <c r="T31" s="1">
        <f t="shared" si="1"/>
        <v>7</v>
      </c>
      <c r="U31" s="1">
        <v>7</v>
      </c>
      <c r="V31" s="169" t="s">
        <v>19</v>
      </c>
      <c r="W31" s="170"/>
      <c r="BF31" s="179"/>
      <c r="BK31" s="171"/>
      <c r="BL31" s="173"/>
      <c r="BM31" s="173"/>
      <c r="BN31" s="174" t="s">
        <v>463</v>
      </c>
      <c r="BO31" s="174">
        <v>1.4</v>
      </c>
      <c r="BP31" s="172" t="s">
        <v>464</v>
      </c>
      <c r="BQ31" s="172">
        <v>1.1499999999999999</v>
      </c>
      <c r="BR31" s="175" t="s">
        <v>465</v>
      </c>
      <c r="BS31" s="175">
        <v>1</v>
      </c>
      <c r="CE31" s="1" t="s">
        <v>466</v>
      </c>
      <c r="CF31" s="1" t="s">
        <v>467</v>
      </c>
      <c r="CG31" s="1" t="s">
        <v>468</v>
      </c>
    </row>
    <row r="32" spans="1:85" ht="15.75" customHeight="1" x14ac:dyDescent="0.3">
      <c r="A32" s="1" t="s">
        <v>211</v>
      </c>
      <c r="F32" s="176">
        <v>1.0019097222222222</v>
      </c>
      <c r="G32" s="1" t="s">
        <v>469</v>
      </c>
      <c r="H32" s="169"/>
      <c r="I32" s="169">
        <v>6</v>
      </c>
      <c r="J32" s="169">
        <v>2</v>
      </c>
      <c r="K32" s="169"/>
      <c r="L32" s="169"/>
      <c r="M32" s="169"/>
      <c r="N32" s="169"/>
      <c r="O32" s="169"/>
      <c r="P32" s="169"/>
      <c r="Q32" s="169"/>
      <c r="R32" s="169"/>
      <c r="S32" s="169"/>
      <c r="T32" s="1">
        <f t="shared" si="1"/>
        <v>8</v>
      </c>
      <c r="U32" s="1">
        <v>2</v>
      </c>
      <c r="V32" s="169" t="s">
        <v>19</v>
      </c>
      <c r="W32" s="170"/>
      <c r="BF32" s="179"/>
      <c r="BK32" s="171"/>
      <c r="BL32" s="173"/>
      <c r="BM32" s="173"/>
      <c r="BN32" s="174" t="s">
        <v>470</v>
      </c>
      <c r="BO32" s="174">
        <v>0.7</v>
      </c>
      <c r="BP32" s="172" t="s">
        <v>471</v>
      </c>
      <c r="BQ32" s="172">
        <v>0.7</v>
      </c>
      <c r="BR32" s="175" t="s">
        <v>472</v>
      </c>
      <c r="BS32" s="175">
        <v>0.8</v>
      </c>
      <c r="CE32" s="1" t="s">
        <v>473</v>
      </c>
      <c r="CF32" s="1" t="s">
        <v>474</v>
      </c>
      <c r="CG32" s="1" t="s">
        <v>475</v>
      </c>
    </row>
    <row r="33" spans="1:85" ht="15.75" customHeight="1" x14ac:dyDescent="0.3">
      <c r="A33" s="1" t="s">
        <v>212</v>
      </c>
      <c r="D33" s="1">
        <v>3</v>
      </c>
      <c r="E33" s="1" t="s">
        <v>33</v>
      </c>
      <c r="F33" s="176">
        <v>1.0016203703703703</v>
      </c>
      <c r="G33" s="1" t="s">
        <v>476</v>
      </c>
      <c r="H33" s="169">
        <v>3</v>
      </c>
      <c r="I33" s="169">
        <v>1</v>
      </c>
      <c r="J33" s="169">
        <v>2</v>
      </c>
      <c r="K33" s="169"/>
      <c r="L33" s="169">
        <v>1</v>
      </c>
      <c r="M33" s="169"/>
      <c r="N33" s="169"/>
      <c r="O33" s="169"/>
      <c r="P33" s="169"/>
      <c r="Q33" s="169">
        <v>3</v>
      </c>
      <c r="R33" s="169"/>
      <c r="S33" s="169"/>
      <c r="T33" s="1">
        <f t="shared" si="1"/>
        <v>10</v>
      </c>
      <c r="U33" s="1">
        <v>8</v>
      </c>
      <c r="V33" s="169" t="s">
        <v>288</v>
      </c>
      <c r="W33" s="170"/>
      <c r="BF33" s="179"/>
      <c r="BK33" s="171"/>
      <c r="BL33" s="173"/>
      <c r="BM33" s="173"/>
      <c r="BN33" s="174" t="s">
        <v>477</v>
      </c>
      <c r="BO33" s="174">
        <v>0.9</v>
      </c>
      <c r="BP33" s="172" t="s">
        <v>478</v>
      </c>
      <c r="BQ33" s="172">
        <v>1.05</v>
      </c>
      <c r="BR33" s="175" t="s">
        <v>479</v>
      </c>
      <c r="BS33" s="175">
        <v>1.2</v>
      </c>
      <c r="CE33" s="1" t="s">
        <v>480</v>
      </c>
      <c r="CF33" s="1" t="s">
        <v>481</v>
      </c>
      <c r="CG33" s="1" t="s">
        <v>482</v>
      </c>
    </row>
    <row r="34" spans="1:85" ht="15.75" customHeight="1" x14ac:dyDescent="0.3">
      <c r="A34" s="1" t="s">
        <v>213</v>
      </c>
      <c r="D34" s="1">
        <v>3</v>
      </c>
      <c r="E34" s="1" t="s">
        <v>42</v>
      </c>
      <c r="F34" s="176">
        <v>1.0019097222222222</v>
      </c>
      <c r="G34" s="1" t="s">
        <v>483</v>
      </c>
      <c r="H34" s="169"/>
      <c r="I34" s="169">
        <v>4</v>
      </c>
      <c r="J34" s="169">
        <v>3</v>
      </c>
      <c r="K34" s="169"/>
      <c r="L34" s="169"/>
      <c r="M34" s="169"/>
      <c r="N34" s="169"/>
      <c r="O34" s="169"/>
      <c r="P34" s="169"/>
      <c r="Q34" s="169">
        <v>4</v>
      </c>
      <c r="R34" s="169"/>
      <c r="S34" s="169"/>
      <c r="T34" s="1">
        <f t="shared" si="1"/>
        <v>11</v>
      </c>
      <c r="U34" s="1">
        <v>3</v>
      </c>
      <c r="V34" s="169" t="s">
        <v>288</v>
      </c>
      <c r="W34" s="170"/>
      <c r="BF34" s="179"/>
      <c r="BK34" s="171"/>
      <c r="BL34" s="173"/>
      <c r="BM34" s="173"/>
      <c r="BN34" s="174" t="s">
        <v>484</v>
      </c>
      <c r="BO34" s="174">
        <v>0.8</v>
      </c>
      <c r="BP34" s="172" t="s">
        <v>485</v>
      </c>
      <c r="BQ34" s="172">
        <v>1.85</v>
      </c>
      <c r="BR34" s="175" t="s">
        <v>486</v>
      </c>
      <c r="BS34" s="175">
        <v>1.8</v>
      </c>
      <c r="CE34" s="1" t="s">
        <v>487</v>
      </c>
      <c r="CF34" s="1" t="s">
        <v>488</v>
      </c>
      <c r="CG34" s="1" t="s">
        <v>489</v>
      </c>
    </row>
    <row r="35" spans="1:85" ht="15.75" customHeight="1" x14ac:dyDescent="0.3">
      <c r="A35" s="1" t="s">
        <v>214</v>
      </c>
      <c r="D35" s="1">
        <v>3</v>
      </c>
      <c r="E35" s="1" t="s">
        <v>35</v>
      </c>
      <c r="F35" s="176">
        <v>1.0019675925925926</v>
      </c>
      <c r="G35" s="1" t="s">
        <v>490</v>
      </c>
      <c r="H35" s="169">
        <v>5</v>
      </c>
      <c r="I35" s="169">
        <v>1</v>
      </c>
      <c r="J35" s="169">
        <v>1</v>
      </c>
      <c r="K35" s="169"/>
      <c r="L35" s="169"/>
      <c r="M35" s="169"/>
      <c r="N35" s="169"/>
      <c r="O35" s="169"/>
      <c r="P35" s="169"/>
      <c r="Q35" s="169"/>
      <c r="R35" s="169"/>
      <c r="S35" s="169">
        <v>1</v>
      </c>
      <c r="T35" s="1">
        <f t="shared" si="1"/>
        <v>8</v>
      </c>
      <c r="U35" s="1">
        <v>11</v>
      </c>
      <c r="V35" s="169" t="s">
        <v>27</v>
      </c>
      <c r="W35" s="170"/>
      <c r="BF35" s="179"/>
      <c r="BK35" s="171"/>
      <c r="BL35" s="173"/>
      <c r="BM35" s="173"/>
      <c r="BN35" s="174" t="s">
        <v>491</v>
      </c>
      <c r="BO35" s="174">
        <v>0.8</v>
      </c>
      <c r="BP35" s="172" t="s">
        <v>492</v>
      </c>
      <c r="BQ35" s="172">
        <v>0.95</v>
      </c>
      <c r="BR35" s="175"/>
      <c r="BS35" s="175"/>
      <c r="CE35" s="1" t="s">
        <v>493</v>
      </c>
      <c r="CF35" s="1" t="s">
        <v>494</v>
      </c>
      <c r="CG35" s="1" t="s">
        <v>495</v>
      </c>
    </row>
    <row r="36" spans="1:85" ht="15.75" customHeight="1" x14ac:dyDescent="0.3">
      <c r="D36" s="1">
        <v>3</v>
      </c>
      <c r="E36" s="1" t="s">
        <v>420</v>
      </c>
      <c r="F36" s="176">
        <v>1.0024305555555555</v>
      </c>
      <c r="G36" s="1" t="s">
        <v>496</v>
      </c>
      <c r="H36" s="169"/>
      <c r="I36" s="169">
        <v>6</v>
      </c>
      <c r="J36" s="169">
        <v>3</v>
      </c>
      <c r="K36" s="169"/>
      <c r="L36" s="169"/>
      <c r="M36" s="169"/>
      <c r="N36" s="169"/>
      <c r="O36" s="169"/>
      <c r="P36" s="169"/>
      <c r="Q36" s="169"/>
      <c r="R36" s="169"/>
      <c r="S36" s="169"/>
      <c r="T36" s="1">
        <f t="shared" si="1"/>
        <v>9</v>
      </c>
      <c r="U36" s="1">
        <v>12</v>
      </c>
      <c r="V36" s="169" t="s">
        <v>27</v>
      </c>
      <c r="W36" s="170"/>
      <c r="BF36" s="179"/>
      <c r="BK36" s="171"/>
      <c r="BL36" s="173"/>
      <c r="BM36" s="173"/>
      <c r="BN36" s="174" t="s">
        <v>497</v>
      </c>
      <c r="BO36" s="174">
        <v>0.4</v>
      </c>
      <c r="BP36" s="172" t="s">
        <v>498</v>
      </c>
      <c r="BQ36" s="172">
        <v>1.35</v>
      </c>
      <c r="BR36" s="175"/>
      <c r="BS36" s="175"/>
      <c r="CE36" s="1" t="s">
        <v>499</v>
      </c>
      <c r="CF36" s="1" t="s">
        <v>500</v>
      </c>
      <c r="CG36" s="1" t="s">
        <v>501</v>
      </c>
    </row>
    <row r="37" spans="1:85" ht="15.75" customHeight="1" x14ac:dyDescent="0.3">
      <c r="F37" s="176">
        <v>1.0020833333333334</v>
      </c>
      <c r="G37" s="1" t="s">
        <v>502</v>
      </c>
      <c r="H37" s="169"/>
      <c r="I37" s="169"/>
      <c r="J37" s="169">
        <v>4</v>
      </c>
      <c r="K37" s="169"/>
      <c r="L37" s="169"/>
      <c r="M37" s="169"/>
      <c r="N37" s="169">
        <v>1</v>
      </c>
      <c r="O37" s="169">
        <v>1</v>
      </c>
      <c r="P37" s="169">
        <v>2</v>
      </c>
      <c r="Q37" s="169"/>
      <c r="R37" s="169">
        <v>1</v>
      </c>
      <c r="S37" s="169"/>
      <c r="T37" s="1">
        <f t="shared" si="1"/>
        <v>9</v>
      </c>
      <c r="U37" s="1">
        <v>4</v>
      </c>
      <c r="V37" s="169" t="s">
        <v>27</v>
      </c>
      <c r="W37" s="170"/>
      <c r="BF37" s="179"/>
      <c r="BK37" s="171"/>
      <c r="BL37" s="173"/>
      <c r="BM37" s="173"/>
      <c r="BN37" s="174" t="s">
        <v>503</v>
      </c>
      <c r="BO37" s="174">
        <v>0.3</v>
      </c>
      <c r="BP37" s="172" t="s">
        <v>504</v>
      </c>
      <c r="BQ37" s="172">
        <v>1.6</v>
      </c>
      <c r="BR37" s="175"/>
      <c r="BS37" s="175"/>
      <c r="CE37" s="1" t="s">
        <v>505</v>
      </c>
      <c r="CF37" s="1" t="s">
        <v>506</v>
      </c>
      <c r="CG37" s="1" t="s">
        <v>507</v>
      </c>
    </row>
    <row r="38" spans="1:85" ht="15.75" customHeight="1" x14ac:dyDescent="0.3">
      <c r="F38" s="176">
        <v>1.0020833333333334</v>
      </c>
      <c r="G38" s="1" t="s">
        <v>508</v>
      </c>
      <c r="H38" s="169"/>
      <c r="I38" s="169"/>
      <c r="J38" s="169">
        <v>7</v>
      </c>
      <c r="K38" s="169"/>
      <c r="L38" s="169"/>
      <c r="M38" s="169"/>
      <c r="N38" s="169"/>
      <c r="O38" s="169"/>
      <c r="P38" s="169"/>
      <c r="Q38" s="169"/>
      <c r="R38" s="169"/>
      <c r="S38" s="169"/>
      <c r="T38" s="1">
        <f t="shared" si="1"/>
        <v>7</v>
      </c>
      <c r="U38" s="1">
        <v>10</v>
      </c>
      <c r="V38" s="169" t="s">
        <v>27</v>
      </c>
      <c r="W38" s="170"/>
      <c r="BF38" s="179"/>
      <c r="BK38" s="171"/>
      <c r="BL38" s="173"/>
      <c r="BM38" s="173"/>
      <c r="BN38" s="174" t="s">
        <v>509</v>
      </c>
      <c r="BO38" s="174">
        <v>1.1000000000000001</v>
      </c>
      <c r="BP38" s="172" t="s">
        <v>385</v>
      </c>
      <c r="BQ38" s="172">
        <v>1.45</v>
      </c>
      <c r="BR38" s="175"/>
      <c r="BS38" s="175"/>
      <c r="CE38" s="1" t="s">
        <v>510</v>
      </c>
      <c r="CF38" s="1" t="s">
        <v>511</v>
      </c>
      <c r="CG38" s="1" t="s">
        <v>512</v>
      </c>
    </row>
    <row r="39" spans="1:85" ht="15.75" customHeight="1" x14ac:dyDescent="0.3">
      <c r="F39" s="169"/>
      <c r="V39" s="169"/>
      <c r="W39" s="170"/>
      <c r="BF39" s="179"/>
      <c r="BK39" s="171"/>
      <c r="BL39" s="173"/>
      <c r="BM39" s="173"/>
      <c r="BN39" s="174" t="s">
        <v>513</v>
      </c>
      <c r="BO39" s="174">
        <v>0.7</v>
      </c>
      <c r="BP39" s="172" t="s">
        <v>514</v>
      </c>
      <c r="BQ39" s="172">
        <v>1.55</v>
      </c>
      <c r="BR39" s="175"/>
      <c r="BS39" s="175"/>
      <c r="CE39" s="1" t="s">
        <v>515</v>
      </c>
      <c r="CF39" s="1" t="s">
        <v>516</v>
      </c>
      <c r="CG39" s="1" t="s">
        <v>517</v>
      </c>
    </row>
    <row r="40" spans="1:85" ht="15.75" customHeight="1" x14ac:dyDescent="0.3">
      <c r="F40" s="169"/>
      <c r="U40" s="1">
        <v>1</v>
      </c>
      <c r="V40" s="169"/>
      <c r="W40" s="170"/>
      <c r="BF40" s="179"/>
      <c r="BK40" s="171"/>
      <c r="BL40" s="173"/>
      <c r="BM40" s="173"/>
      <c r="BN40" s="174" t="s">
        <v>518</v>
      </c>
      <c r="BO40" s="174">
        <v>0.95</v>
      </c>
      <c r="BP40" s="172" t="s">
        <v>519</v>
      </c>
      <c r="BQ40" s="172">
        <v>1.5</v>
      </c>
      <c r="BR40" s="175"/>
      <c r="BS40" s="175"/>
      <c r="CE40" s="1" t="s">
        <v>520</v>
      </c>
      <c r="CF40" s="1" t="s">
        <v>521</v>
      </c>
      <c r="CG40" s="1" t="s">
        <v>522</v>
      </c>
    </row>
    <row r="41" spans="1:85" ht="15.75" customHeight="1" x14ac:dyDescent="0.3">
      <c r="F41" s="169"/>
      <c r="U41" s="1">
        <v>2</v>
      </c>
      <c r="V41" s="169"/>
      <c r="W41" s="170"/>
      <c r="BF41" s="179"/>
      <c r="BK41" s="171"/>
      <c r="BL41" s="173"/>
      <c r="BM41" s="173"/>
      <c r="BN41" s="174" t="s">
        <v>523</v>
      </c>
      <c r="BO41" s="174">
        <v>1.25</v>
      </c>
      <c r="BP41" s="172" t="s">
        <v>524</v>
      </c>
      <c r="BQ41" s="172">
        <v>0.5</v>
      </c>
      <c r="BR41" s="175"/>
      <c r="BS41" s="175"/>
      <c r="CE41" s="1" t="s">
        <v>525</v>
      </c>
      <c r="CF41" s="1" t="s">
        <v>526</v>
      </c>
      <c r="CG41" s="1" t="s">
        <v>527</v>
      </c>
    </row>
    <row r="42" spans="1:85" ht="15.75" customHeight="1" x14ac:dyDescent="0.3">
      <c r="F42" s="169"/>
      <c r="U42" s="1">
        <v>3</v>
      </c>
      <c r="V42" s="169"/>
      <c r="W42" s="170"/>
      <c r="BK42" s="171"/>
      <c r="BL42" s="173"/>
      <c r="BM42" s="173"/>
      <c r="BN42" s="174" t="s">
        <v>528</v>
      </c>
      <c r="BO42" s="174">
        <v>1.2</v>
      </c>
      <c r="BP42" s="172" t="s">
        <v>529</v>
      </c>
      <c r="BQ42" s="172">
        <v>1.45</v>
      </c>
      <c r="BR42" s="175"/>
      <c r="BS42" s="175"/>
      <c r="CE42" s="1" t="s">
        <v>530</v>
      </c>
      <c r="CF42" s="1" t="s">
        <v>531</v>
      </c>
      <c r="CG42" s="1" t="s">
        <v>532</v>
      </c>
    </row>
    <row r="43" spans="1:85" ht="15.75" customHeight="1" x14ac:dyDescent="0.3">
      <c r="D43" s="1">
        <v>4</v>
      </c>
      <c r="E43" s="1" t="s">
        <v>33</v>
      </c>
      <c r="F43" s="169"/>
      <c r="L43" s="1" t="s">
        <v>533</v>
      </c>
      <c r="M43" s="1" t="s">
        <v>534</v>
      </c>
      <c r="N43" s="1">
        <f ca="1">SUM(INDIRECT(L43))</f>
        <v>6</v>
      </c>
      <c r="U43" s="1">
        <v>4</v>
      </c>
      <c r="V43" s="169"/>
      <c r="W43" s="170"/>
      <c r="BK43" s="171"/>
      <c r="BL43" s="173"/>
      <c r="BM43" s="173"/>
      <c r="BN43" s="174" t="s">
        <v>535</v>
      </c>
      <c r="BO43" s="174">
        <v>1.05</v>
      </c>
      <c r="BP43" s="172" t="s">
        <v>536</v>
      </c>
      <c r="BQ43" s="172">
        <v>0.5</v>
      </c>
      <c r="BR43" s="175"/>
      <c r="BS43" s="175"/>
      <c r="CE43" s="1" t="s">
        <v>537</v>
      </c>
      <c r="CF43" s="1" t="s">
        <v>538</v>
      </c>
      <c r="CG43" s="1" t="s">
        <v>539</v>
      </c>
    </row>
    <row r="44" spans="1:85" ht="15.75" customHeight="1" x14ac:dyDescent="0.3">
      <c r="D44" s="1">
        <v>4</v>
      </c>
      <c r="E44" s="1" t="s">
        <v>37</v>
      </c>
      <c r="F44" s="169"/>
      <c r="M44" s="1" t="s">
        <v>540</v>
      </c>
      <c r="V44" s="169"/>
      <c r="W44" s="170"/>
      <c r="BK44" s="171"/>
      <c r="BL44" s="173"/>
      <c r="BM44" s="173"/>
      <c r="BN44" s="174"/>
      <c r="BO44" s="174"/>
      <c r="BP44" s="172" t="s">
        <v>541</v>
      </c>
      <c r="BQ44" s="172">
        <v>1.2</v>
      </c>
      <c r="BR44" s="175"/>
      <c r="BS44" s="175"/>
      <c r="CE44" s="1" t="s">
        <v>542</v>
      </c>
      <c r="CF44" s="1" t="s">
        <v>543</v>
      </c>
      <c r="CG44" s="1" t="s">
        <v>544</v>
      </c>
    </row>
    <row r="45" spans="1:85" ht="15.75" customHeight="1" x14ac:dyDescent="0.3">
      <c r="D45" s="1">
        <v>4</v>
      </c>
      <c r="E45" s="1" t="s">
        <v>38</v>
      </c>
      <c r="F45" s="169"/>
      <c r="V45" s="169"/>
      <c r="W45" s="170"/>
      <c r="BK45" s="171"/>
      <c r="BL45" s="173"/>
      <c r="BM45" s="173"/>
      <c r="BN45" s="174"/>
      <c r="BO45" s="174"/>
      <c r="BP45" s="172" t="s">
        <v>545</v>
      </c>
      <c r="BQ45" s="172">
        <v>0.8</v>
      </c>
      <c r="BR45" s="175"/>
      <c r="BS45" s="175"/>
      <c r="CE45" s="1" t="s">
        <v>546</v>
      </c>
      <c r="CF45" s="1" t="s">
        <v>547</v>
      </c>
      <c r="CG45" s="1" t="s">
        <v>548</v>
      </c>
    </row>
    <row r="46" spans="1:85" ht="15.75" customHeight="1" x14ac:dyDescent="0.3">
      <c r="D46" s="1">
        <v>4</v>
      </c>
      <c r="E46" s="1" t="s">
        <v>39</v>
      </c>
      <c r="F46" s="169"/>
      <c r="V46" s="169"/>
      <c r="W46" s="170"/>
      <c r="BK46" s="171"/>
      <c r="BL46" s="173"/>
      <c r="BM46" s="173"/>
      <c r="BN46" s="174"/>
      <c r="BO46" s="174"/>
      <c r="BP46" s="172" t="s">
        <v>549</v>
      </c>
      <c r="BQ46" s="172">
        <v>1.6</v>
      </c>
      <c r="BR46" s="175"/>
      <c r="BS46" s="175"/>
      <c r="CE46" s="1" t="s">
        <v>550</v>
      </c>
      <c r="CF46" s="1" t="s">
        <v>551</v>
      </c>
      <c r="CG46" s="1" t="s">
        <v>552</v>
      </c>
    </row>
    <row r="47" spans="1:85" ht="15.75" customHeight="1" x14ac:dyDescent="0.3">
      <c r="D47" s="1">
        <v>4</v>
      </c>
      <c r="E47" s="1" t="s">
        <v>40</v>
      </c>
      <c r="F47" s="169"/>
      <c r="V47" s="169"/>
      <c r="W47" s="170"/>
      <c r="BK47" s="171"/>
      <c r="BL47" s="173"/>
      <c r="BM47" s="173"/>
      <c r="BN47" s="174"/>
      <c r="BO47" s="174"/>
      <c r="BP47" s="172" t="s">
        <v>553</v>
      </c>
      <c r="BQ47" s="172">
        <v>1.75</v>
      </c>
      <c r="BR47" s="175"/>
      <c r="BS47" s="175"/>
      <c r="CE47" s="1" t="s">
        <v>554</v>
      </c>
      <c r="CF47" s="1" t="s">
        <v>555</v>
      </c>
      <c r="CG47" s="1" t="s">
        <v>556</v>
      </c>
    </row>
    <row r="48" spans="1:85" ht="15.75" customHeight="1" x14ac:dyDescent="0.3">
      <c r="D48" s="1">
        <v>4</v>
      </c>
      <c r="E48" s="1" t="s">
        <v>557</v>
      </c>
      <c r="F48" s="169"/>
      <c r="V48" s="169"/>
      <c r="W48" s="170"/>
      <c r="BK48" s="171"/>
      <c r="BL48" s="173"/>
      <c r="BM48" s="173"/>
      <c r="BN48" s="174"/>
      <c r="BO48" s="174"/>
      <c r="BP48" s="172" t="s">
        <v>558</v>
      </c>
      <c r="BQ48" s="172">
        <v>1</v>
      </c>
      <c r="BR48" s="175"/>
      <c r="BS48" s="175"/>
      <c r="CE48" s="1" t="s">
        <v>559</v>
      </c>
      <c r="CF48" s="1" t="s">
        <v>560</v>
      </c>
      <c r="CG48" s="1" t="s">
        <v>561</v>
      </c>
    </row>
    <row r="49" spans="4:85" ht="15.75" customHeight="1" x14ac:dyDescent="0.3">
      <c r="D49" s="1">
        <v>4</v>
      </c>
      <c r="E49" s="1" t="s">
        <v>562</v>
      </c>
      <c r="F49" s="169"/>
      <c r="V49" s="169"/>
      <c r="W49" s="170"/>
      <c r="BK49" s="171"/>
      <c r="BL49" s="173"/>
      <c r="BM49" s="173"/>
      <c r="BN49" s="174"/>
      <c r="BO49" s="174"/>
      <c r="BP49" s="172" t="s">
        <v>563</v>
      </c>
      <c r="BQ49" s="172">
        <v>1.7</v>
      </c>
      <c r="BR49" s="175"/>
      <c r="BS49" s="175"/>
      <c r="CE49" s="1" t="s">
        <v>564</v>
      </c>
      <c r="CF49" s="1" t="s">
        <v>565</v>
      </c>
      <c r="CG49" s="1" t="s">
        <v>566</v>
      </c>
    </row>
    <row r="50" spans="4:85" ht="15.75" customHeight="1" x14ac:dyDescent="0.3">
      <c r="D50" s="1">
        <v>4</v>
      </c>
      <c r="E50" s="1" t="s">
        <v>567</v>
      </c>
      <c r="F50" s="169"/>
      <c r="V50" s="169"/>
      <c r="W50" s="170"/>
      <c r="BK50" s="171"/>
      <c r="BL50" s="173"/>
      <c r="BM50" s="173"/>
      <c r="BN50" s="174"/>
      <c r="BO50" s="174"/>
      <c r="BP50" s="172" t="s">
        <v>568</v>
      </c>
      <c r="BQ50" s="172">
        <v>1.7</v>
      </c>
      <c r="BR50" s="175"/>
      <c r="BS50" s="175"/>
      <c r="CE50" s="1" t="s">
        <v>569</v>
      </c>
      <c r="CF50" s="1" t="s">
        <v>570</v>
      </c>
      <c r="CG50" s="1" t="s">
        <v>571</v>
      </c>
    </row>
    <row r="51" spans="4:85" ht="15.75" customHeight="1" x14ac:dyDescent="0.3">
      <c r="D51" s="1">
        <v>4</v>
      </c>
      <c r="E51" s="1" t="s">
        <v>572</v>
      </c>
      <c r="F51" s="169"/>
      <c r="V51" s="169"/>
      <c r="W51" s="170"/>
      <c r="BK51" s="171"/>
      <c r="BL51" s="173"/>
      <c r="BM51" s="173"/>
      <c r="BN51" s="174"/>
      <c r="BO51" s="174"/>
      <c r="BP51" s="172" t="s">
        <v>573</v>
      </c>
      <c r="BQ51" s="172">
        <v>1.8</v>
      </c>
      <c r="BR51" s="175"/>
      <c r="BS51" s="175"/>
      <c r="CE51" s="1" t="s">
        <v>574</v>
      </c>
      <c r="CF51" s="1" t="s">
        <v>575</v>
      </c>
      <c r="CG51" s="1" t="s">
        <v>576</v>
      </c>
    </row>
    <row r="52" spans="4:85" ht="15.75" customHeight="1" x14ac:dyDescent="0.3">
      <c r="F52" s="169"/>
      <c r="V52" s="169"/>
      <c r="W52" s="170"/>
      <c r="BK52" s="171"/>
      <c r="BL52" s="173"/>
      <c r="BM52" s="173"/>
      <c r="BN52" s="174"/>
      <c r="BO52" s="174"/>
      <c r="BP52" s="172" t="s">
        <v>577</v>
      </c>
      <c r="BQ52" s="172">
        <v>1.5</v>
      </c>
      <c r="BR52" s="175"/>
      <c r="BS52" s="175"/>
      <c r="CE52" s="1" t="s">
        <v>578</v>
      </c>
      <c r="CF52" s="1" t="s">
        <v>579</v>
      </c>
      <c r="CG52" s="1" t="s">
        <v>580</v>
      </c>
    </row>
    <row r="53" spans="4:85" ht="15.75" customHeight="1" x14ac:dyDescent="0.3">
      <c r="D53" s="1">
        <v>5</v>
      </c>
      <c r="F53" s="169"/>
      <c r="V53" s="169"/>
      <c r="W53" s="170"/>
      <c r="BK53" s="171"/>
      <c r="BL53" s="173"/>
      <c r="BM53" s="173"/>
      <c r="BN53" s="174"/>
      <c r="BO53" s="174"/>
      <c r="BP53" s="172" t="s">
        <v>581</v>
      </c>
      <c r="BQ53" s="172">
        <v>2.15</v>
      </c>
      <c r="BR53" s="175"/>
      <c r="BS53" s="175"/>
      <c r="CE53" s="1" t="s">
        <v>582</v>
      </c>
      <c r="CF53" s="1" t="s">
        <v>583</v>
      </c>
      <c r="CG53" s="1" t="s">
        <v>584</v>
      </c>
    </row>
    <row r="54" spans="4:85" ht="15.75" customHeight="1" x14ac:dyDescent="0.3">
      <c r="D54" s="1">
        <v>5</v>
      </c>
      <c r="F54" s="169"/>
      <c r="V54" s="169"/>
      <c r="W54" s="170"/>
      <c r="BK54" s="171"/>
      <c r="BL54" s="173"/>
      <c r="BM54" s="173"/>
      <c r="BN54" s="174"/>
      <c r="BO54" s="174"/>
      <c r="BP54" s="172" t="s">
        <v>585</v>
      </c>
      <c r="BQ54" s="172">
        <v>1.75</v>
      </c>
      <c r="BR54" s="175"/>
      <c r="BS54" s="175"/>
      <c r="CE54" s="1" t="s">
        <v>586</v>
      </c>
      <c r="CF54" s="1" t="s">
        <v>587</v>
      </c>
      <c r="CG54" s="1" t="s">
        <v>588</v>
      </c>
    </row>
    <row r="55" spans="4:85" ht="15.75" customHeight="1" x14ac:dyDescent="0.3">
      <c r="D55" s="1">
        <v>5</v>
      </c>
      <c r="F55" s="169"/>
      <c r="V55" s="169"/>
      <c r="W55" s="170"/>
      <c r="BK55" s="171"/>
      <c r="BL55" s="173"/>
      <c r="BM55" s="173"/>
      <c r="BN55" s="174"/>
      <c r="BO55" s="174"/>
      <c r="BP55" s="172" t="s">
        <v>589</v>
      </c>
      <c r="BQ55" s="172">
        <v>1.7</v>
      </c>
      <c r="BR55" s="175"/>
      <c r="BS55" s="175"/>
      <c r="CE55" s="1" t="s">
        <v>590</v>
      </c>
      <c r="CF55" s="1" t="s">
        <v>591</v>
      </c>
      <c r="CG55" s="1" t="s">
        <v>592</v>
      </c>
    </row>
    <row r="56" spans="4:85" ht="15.75" customHeight="1" x14ac:dyDescent="0.3">
      <c r="D56" s="1">
        <v>5</v>
      </c>
      <c r="F56" s="169"/>
      <c r="V56" s="169"/>
      <c r="W56" s="170"/>
      <c r="BK56" s="171"/>
      <c r="BL56" s="173"/>
      <c r="BM56" s="173"/>
      <c r="BN56" s="174"/>
      <c r="BO56" s="174"/>
      <c r="BP56" s="172" t="s">
        <v>593</v>
      </c>
      <c r="BQ56" s="172">
        <v>1.45</v>
      </c>
      <c r="BR56" s="175"/>
      <c r="BS56" s="175"/>
      <c r="CE56" s="1" t="s">
        <v>594</v>
      </c>
      <c r="CF56" s="1" t="s">
        <v>595</v>
      </c>
      <c r="CG56" s="1" t="s">
        <v>596</v>
      </c>
    </row>
    <row r="57" spans="4:85" ht="15.75" customHeight="1" x14ac:dyDescent="0.3">
      <c r="D57" s="1">
        <v>5</v>
      </c>
      <c r="F57" s="169"/>
      <c r="V57" s="169"/>
      <c r="W57" s="170"/>
      <c r="BK57" s="171"/>
      <c r="BL57" s="173"/>
      <c r="BM57" s="173"/>
      <c r="BN57" s="174"/>
      <c r="BO57" s="174"/>
      <c r="BP57" s="172" t="s">
        <v>597</v>
      </c>
      <c r="BQ57" s="172">
        <v>1.95</v>
      </c>
      <c r="BR57" s="175"/>
      <c r="BS57" s="175"/>
      <c r="CE57" s="1" t="s">
        <v>598</v>
      </c>
      <c r="CF57" s="1" t="s">
        <v>599</v>
      </c>
      <c r="CG57" s="1" t="s">
        <v>600</v>
      </c>
    </row>
    <row r="58" spans="4:85" ht="15.75" customHeight="1" x14ac:dyDescent="0.3">
      <c r="D58" s="1">
        <v>5</v>
      </c>
      <c r="F58" s="169"/>
      <c r="V58" s="169"/>
      <c r="W58" s="170"/>
      <c r="BK58" s="171"/>
      <c r="BL58" s="173"/>
      <c r="BM58" s="173"/>
      <c r="BN58" s="174"/>
      <c r="BO58" s="174"/>
      <c r="BP58" s="172" t="s">
        <v>601</v>
      </c>
      <c r="BQ58" s="172">
        <v>1.35</v>
      </c>
      <c r="BR58" s="175"/>
      <c r="BS58" s="175"/>
      <c r="CE58" s="1" t="s">
        <v>602</v>
      </c>
      <c r="CF58" s="1" t="s">
        <v>603</v>
      </c>
      <c r="CG58" s="1" t="s">
        <v>604</v>
      </c>
    </row>
    <row r="59" spans="4:85" ht="15.75" customHeight="1" x14ac:dyDescent="0.3">
      <c r="D59" s="1">
        <v>5</v>
      </c>
      <c r="F59" s="169"/>
      <c r="V59" s="169"/>
      <c r="W59" s="170"/>
      <c r="BK59" s="171"/>
      <c r="BL59" s="173"/>
      <c r="BM59" s="173"/>
      <c r="BN59" s="174"/>
      <c r="BO59" s="174"/>
      <c r="BP59" s="172" t="s">
        <v>605</v>
      </c>
      <c r="BQ59" s="172">
        <v>1.8</v>
      </c>
      <c r="BR59" s="175"/>
      <c r="BS59" s="175"/>
      <c r="CE59" s="1" t="s">
        <v>606</v>
      </c>
      <c r="CF59" s="1" t="s">
        <v>607</v>
      </c>
      <c r="CG59" s="1" t="s">
        <v>608</v>
      </c>
    </row>
    <row r="60" spans="4:85" ht="15.75" customHeight="1" x14ac:dyDescent="0.3">
      <c r="D60" s="1">
        <v>5</v>
      </c>
      <c r="F60" s="169"/>
      <c r="V60" s="169"/>
      <c r="W60" s="170"/>
      <c r="BK60" s="171"/>
      <c r="BL60" s="173"/>
      <c r="BM60" s="173"/>
      <c r="BN60" s="174"/>
      <c r="BO60" s="174"/>
      <c r="BP60" s="172" t="s">
        <v>609</v>
      </c>
      <c r="BQ60" s="172">
        <v>1.7</v>
      </c>
      <c r="BR60" s="175"/>
      <c r="BS60" s="175"/>
      <c r="CE60" s="1" t="s">
        <v>610</v>
      </c>
      <c r="CF60" s="1" t="s">
        <v>611</v>
      </c>
      <c r="CG60" s="1" t="s">
        <v>612</v>
      </c>
    </row>
    <row r="61" spans="4:85" ht="15.75" customHeight="1" x14ac:dyDescent="0.3">
      <c r="F61" s="169"/>
      <c r="V61" s="169"/>
      <c r="W61" s="170"/>
      <c r="BK61" s="171"/>
      <c r="BL61" s="173"/>
      <c r="BM61" s="173"/>
      <c r="BN61" s="174"/>
      <c r="BO61" s="174"/>
      <c r="BP61" s="172" t="s">
        <v>613</v>
      </c>
      <c r="BQ61" s="172">
        <v>2</v>
      </c>
      <c r="BR61" s="175"/>
      <c r="BS61" s="175"/>
      <c r="CE61" s="1" t="s">
        <v>614</v>
      </c>
      <c r="CF61" s="1" t="s">
        <v>615</v>
      </c>
      <c r="CG61" s="1" t="s">
        <v>616</v>
      </c>
    </row>
    <row r="62" spans="4:85" ht="15.75" customHeight="1" x14ac:dyDescent="0.3">
      <c r="F62" s="169"/>
      <c r="V62" s="169"/>
      <c r="W62" s="170"/>
      <c r="BK62" s="171"/>
      <c r="BL62" s="173"/>
      <c r="BM62" s="173"/>
      <c r="BN62" s="174"/>
      <c r="BO62" s="174"/>
      <c r="BP62" s="172" t="s">
        <v>617</v>
      </c>
      <c r="BQ62" s="172">
        <v>2.0499999999999998</v>
      </c>
      <c r="BR62" s="175"/>
      <c r="BS62" s="175"/>
      <c r="CE62" s="1" t="s">
        <v>618</v>
      </c>
      <c r="CF62" s="1" t="s">
        <v>619</v>
      </c>
      <c r="CG62" s="1" t="s">
        <v>620</v>
      </c>
    </row>
    <row r="63" spans="4:85" ht="15.75" customHeight="1" x14ac:dyDescent="0.3">
      <c r="D63" s="1">
        <v>6</v>
      </c>
      <c r="E63" s="1" t="s">
        <v>33</v>
      </c>
      <c r="F63" s="169"/>
      <c r="V63" s="169"/>
      <c r="W63" s="170"/>
      <c r="BK63" s="171"/>
      <c r="BL63" s="173"/>
      <c r="BM63" s="173"/>
      <c r="BN63" s="174"/>
      <c r="BO63" s="174"/>
      <c r="BP63" s="172" t="s">
        <v>621</v>
      </c>
      <c r="BQ63" s="172">
        <v>2.2999999999999998</v>
      </c>
      <c r="BR63" s="175"/>
      <c r="BS63" s="175"/>
      <c r="CE63" s="1" t="s">
        <v>622</v>
      </c>
      <c r="CF63" s="1" t="s">
        <v>623</v>
      </c>
      <c r="CG63" s="1" t="s">
        <v>624</v>
      </c>
    </row>
    <row r="64" spans="4:85" ht="15.75" customHeight="1" x14ac:dyDescent="0.3">
      <c r="D64" s="1">
        <v>6</v>
      </c>
      <c r="E64" s="1" t="s">
        <v>34</v>
      </c>
      <c r="F64" s="169"/>
      <c r="V64" s="169"/>
      <c r="W64" s="170"/>
      <c r="BK64" s="171"/>
      <c r="BL64" s="173"/>
      <c r="BM64" s="173"/>
      <c r="BN64" s="174"/>
      <c r="BO64" s="174"/>
      <c r="BP64" s="172" t="s">
        <v>625</v>
      </c>
      <c r="BQ64" s="172">
        <v>2.5499999999999998</v>
      </c>
      <c r="BR64" s="175"/>
      <c r="BS64" s="175"/>
      <c r="CE64" s="1" t="s">
        <v>626</v>
      </c>
      <c r="CF64" s="1" t="s">
        <v>627</v>
      </c>
      <c r="CG64" s="1" t="s">
        <v>628</v>
      </c>
    </row>
    <row r="65" spans="4:85" ht="15.75" customHeight="1" x14ac:dyDescent="0.3">
      <c r="D65" s="1">
        <v>6</v>
      </c>
      <c r="E65" s="1" t="s">
        <v>35</v>
      </c>
      <c r="F65" s="169"/>
      <c r="V65" s="169"/>
      <c r="W65" s="170"/>
      <c r="BK65" s="171"/>
      <c r="BL65" s="173"/>
      <c r="BM65" s="173"/>
      <c r="BN65" s="174"/>
      <c r="BO65" s="174"/>
      <c r="BP65" s="172"/>
      <c r="BQ65" s="172"/>
      <c r="BR65" s="175"/>
      <c r="BS65" s="175"/>
      <c r="CE65" s="1" t="s">
        <v>629</v>
      </c>
      <c r="CF65" s="1" t="s">
        <v>630</v>
      </c>
      <c r="CG65" s="1" t="s">
        <v>631</v>
      </c>
    </row>
    <row r="66" spans="4:85" ht="15.75" customHeight="1" x14ac:dyDescent="0.3">
      <c r="F66" s="169"/>
      <c r="V66" s="169"/>
      <c r="W66" s="170"/>
      <c r="BK66" s="171"/>
      <c r="BL66" s="173"/>
      <c r="BM66" s="173"/>
      <c r="BN66" s="174"/>
      <c r="BO66" s="174"/>
      <c r="BP66" s="172"/>
      <c r="BQ66" s="172"/>
      <c r="BR66" s="175"/>
      <c r="BS66" s="175"/>
      <c r="CE66" s="1" t="s">
        <v>632</v>
      </c>
      <c r="CF66" s="1" t="s">
        <v>633</v>
      </c>
      <c r="CG66" s="1" t="s">
        <v>634</v>
      </c>
    </row>
    <row r="67" spans="4:85" ht="15.75" customHeight="1" x14ac:dyDescent="0.3">
      <c r="F67" s="169"/>
      <c r="V67" s="169"/>
      <c r="W67" s="170"/>
      <c r="BK67" s="171">
        <v>3</v>
      </c>
      <c r="BL67" s="173" t="s">
        <v>635</v>
      </c>
      <c r="BM67" s="173">
        <v>0.05</v>
      </c>
      <c r="BN67" s="174"/>
      <c r="BO67" s="174"/>
      <c r="BP67" s="172" t="s">
        <v>636</v>
      </c>
      <c r="BQ67" s="172">
        <v>0.05</v>
      </c>
      <c r="BR67" s="175"/>
      <c r="BS67" s="175"/>
      <c r="CE67" s="1" t="s">
        <v>637</v>
      </c>
      <c r="CF67" s="1" t="s">
        <v>638</v>
      </c>
      <c r="CG67" s="1" t="s">
        <v>639</v>
      </c>
    </row>
    <row r="68" spans="4:85" ht="15.75" customHeight="1" x14ac:dyDescent="0.3">
      <c r="F68" s="169"/>
      <c r="V68" s="169"/>
      <c r="W68" s="170"/>
      <c r="BK68" s="171"/>
      <c r="BL68" s="173" t="s">
        <v>636</v>
      </c>
      <c r="BM68" s="173">
        <v>0.05</v>
      </c>
      <c r="BN68" s="174"/>
      <c r="BO68" s="174"/>
      <c r="BP68" s="172" t="s">
        <v>640</v>
      </c>
      <c r="BQ68" s="172">
        <v>0.1</v>
      </c>
      <c r="BR68" s="175"/>
      <c r="BS68" s="175"/>
      <c r="CE68" s="1" t="s">
        <v>641</v>
      </c>
      <c r="CF68" s="1" t="s">
        <v>642</v>
      </c>
      <c r="CG68" s="1" t="s">
        <v>643</v>
      </c>
    </row>
    <row r="69" spans="4:85" ht="15.75" customHeight="1" x14ac:dyDescent="0.3">
      <c r="F69" s="169"/>
      <c r="V69" s="169"/>
      <c r="W69" s="170"/>
      <c r="BK69" s="171"/>
      <c r="BL69" s="173" t="s">
        <v>640</v>
      </c>
      <c r="BM69" s="173">
        <v>0.1</v>
      </c>
      <c r="BN69" s="174"/>
      <c r="BO69" s="174"/>
      <c r="BP69" s="172" t="s">
        <v>644</v>
      </c>
      <c r="BQ69" s="172">
        <v>0.15</v>
      </c>
      <c r="BR69" s="175"/>
      <c r="BS69" s="175"/>
      <c r="CE69" s="1" t="s">
        <v>645</v>
      </c>
      <c r="CF69" s="1" t="s">
        <v>646</v>
      </c>
      <c r="CG69" s="1" t="s">
        <v>647</v>
      </c>
    </row>
    <row r="70" spans="4:85" ht="15.75" customHeight="1" x14ac:dyDescent="0.3">
      <c r="F70" s="169"/>
      <c r="V70" s="169"/>
      <c r="W70" s="170"/>
      <c r="BK70" s="171"/>
      <c r="BL70" s="173" t="s">
        <v>644</v>
      </c>
      <c r="BM70" s="173">
        <v>0.15</v>
      </c>
      <c r="BN70" s="174"/>
      <c r="BO70" s="174"/>
      <c r="BP70" s="172" t="s">
        <v>648</v>
      </c>
      <c r="BQ70" s="172">
        <v>0.2</v>
      </c>
      <c r="BR70" s="175"/>
      <c r="BS70" s="175"/>
      <c r="CE70" s="1" t="s">
        <v>649</v>
      </c>
      <c r="CF70" s="1" t="s">
        <v>650</v>
      </c>
      <c r="CG70" s="1" t="s">
        <v>651</v>
      </c>
    </row>
    <row r="71" spans="4:85" ht="15.75" customHeight="1" x14ac:dyDescent="0.3">
      <c r="F71" s="169"/>
      <c r="V71" s="169"/>
      <c r="W71" s="170"/>
      <c r="BK71" s="171"/>
      <c r="BL71" s="173" t="s">
        <v>648</v>
      </c>
      <c r="BM71" s="173">
        <v>0.2</v>
      </c>
      <c r="BN71" s="174"/>
      <c r="BO71" s="174"/>
      <c r="BP71" s="172" t="s">
        <v>635</v>
      </c>
      <c r="BQ71" s="172">
        <v>0.05</v>
      </c>
      <c r="BR71" s="175"/>
      <c r="BS71" s="175"/>
      <c r="CE71" s="1" t="s">
        <v>652</v>
      </c>
      <c r="CF71" s="1" t="s">
        <v>653</v>
      </c>
      <c r="CG71" s="1" t="s">
        <v>654</v>
      </c>
    </row>
    <row r="72" spans="4:85" ht="15.75" customHeight="1" x14ac:dyDescent="0.3">
      <c r="F72" s="169"/>
      <c r="V72" s="169"/>
      <c r="W72" s="170"/>
      <c r="BK72" s="171"/>
      <c r="BL72" s="173" t="s">
        <v>655</v>
      </c>
      <c r="BM72" s="173">
        <v>0.2</v>
      </c>
      <c r="BN72" s="174"/>
      <c r="BO72" s="174"/>
      <c r="BP72" s="172" t="s">
        <v>655</v>
      </c>
      <c r="BQ72" s="172">
        <v>0.2</v>
      </c>
      <c r="BR72" s="175"/>
      <c r="BS72" s="175"/>
      <c r="CE72" s="1" t="s">
        <v>656</v>
      </c>
      <c r="CF72" s="1" t="s">
        <v>657</v>
      </c>
      <c r="CG72" s="1" t="s">
        <v>658</v>
      </c>
    </row>
    <row r="73" spans="4:85" ht="15.75" customHeight="1" x14ac:dyDescent="0.3">
      <c r="D73" s="1">
        <v>7</v>
      </c>
      <c r="E73" s="1" t="s">
        <v>33</v>
      </c>
      <c r="F73" s="169"/>
      <c r="V73" s="169"/>
      <c r="W73" s="170"/>
      <c r="BK73" s="171"/>
      <c r="BL73" s="173"/>
      <c r="BM73" s="173"/>
      <c r="BN73" s="174"/>
      <c r="BO73" s="174"/>
      <c r="BP73" s="172"/>
      <c r="BQ73" s="172"/>
      <c r="BR73" s="175"/>
      <c r="BS73" s="175"/>
      <c r="CE73" s="1" t="s">
        <v>659</v>
      </c>
      <c r="CF73" s="1" t="s">
        <v>660</v>
      </c>
      <c r="CG73" s="1" t="s">
        <v>661</v>
      </c>
    </row>
    <row r="74" spans="4:85" ht="15.75" customHeight="1" x14ac:dyDescent="0.3">
      <c r="D74" s="1">
        <v>7</v>
      </c>
      <c r="E74" s="1" t="s">
        <v>34</v>
      </c>
      <c r="F74" s="169"/>
      <c r="V74" s="169"/>
      <c r="W74" s="170"/>
      <c r="BK74" s="171"/>
      <c r="BL74" s="173"/>
      <c r="BM74" s="173"/>
      <c r="BN74" s="174"/>
      <c r="BO74" s="174"/>
      <c r="BP74" s="172"/>
      <c r="BQ74" s="172"/>
      <c r="BR74" s="175"/>
      <c r="BS74" s="175"/>
      <c r="CE74" s="1" t="s">
        <v>662</v>
      </c>
      <c r="CF74" s="1" t="s">
        <v>663</v>
      </c>
      <c r="CG74" s="1" t="s">
        <v>664</v>
      </c>
    </row>
    <row r="75" spans="4:85" ht="15.75" customHeight="1" x14ac:dyDescent="0.3">
      <c r="D75" s="1">
        <v>7</v>
      </c>
      <c r="E75" s="1" t="s">
        <v>35</v>
      </c>
      <c r="F75" s="169"/>
      <c r="V75" s="169"/>
      <c r="W75" s="170"/>
      <c r="BK75" s="171"/>
      <c r="BL75" s="173"/>
      <c r="BM75" s="173"/>
      <c r="BN75" s="174"/>
      <c r="BO75" s="174"/>
      <c r="BP75" s="172"/>
      <c r="BQ75" s="172"/>
      <c r="BR75" s="175"/>
      <c r="BS75" s="175"/>
      <c r="CE75" s="1" t="s">
        <v>665</v>
      </c>
      <c r="CF75" s="1" t="s">
        <v>666</v>
      </c>
      <c r="CG75" s="1" t="s">
        <v>667</v>
      </c>
    </row>
    <row r="76" spans="4:85" ht="15.75" customHeight="1" x14ac:dyDescent="0.3">
      <c r="D76" s="1">
        <v>7</v>
      </c>
      <c r="E76" s="1" t="s">
        <v>420</v>
      </c>
      <c r="F76" s="169"/>
      <c r="V76" s="169"/>
      <c r="W76" s="170"/>
      <c r="BK76" s="171"/>
      <c r="BL76" s="173"/>
      <c r="BM76" s="173"/>
      <c r="BN76" s="174"/>
      <c r="BO76" s="174"/>
      <c r="BP76" s="172"/>
      <c r="BQ76" s="172"/>
      <c r="BR76" s="175"/>
      <c r="BS76" s="175"/>
      <c r="CE76" s="1" t="s">
        <v>668</v>
      </c>
      <c r="CF76" s="1" t="s">
        <v>669</v>
      </c>
      <c r="CG76" s="1" t="s">
        <v>670</v>
      </c>
    </row>
    <row r="77" spans="4:85" ht="15.75" customHeight="1" x14ac:dyDescent="0.3">
      <c r="F77" s="169"/>
      <c r="V77" s="169"/>
      <c r="W77" s="170"/>
      <c r="BK77" s="171">
        <v>4</v>
      </c>
      <c r="BL77" s="173" t="s">
        <v>671</v>
      </c>
      <c r="BM77" s="173">
        <v>0.05</v>
      </c>
      <c r="BN77" s="174" t="s">
        <v>672</v>
      </c>
      <c r="BO77" s="174">
        <v>1.1000000000000001</v>
      </c>
      <c r="BP77" s="172" t="s">
        <v>673</v>
      </c>
      <c r="BQ77" s="172">
        <v>0.05</v>
      </c>
      <c r="BR77" s="175" t="s">
        <v>674</v>
      </c>
      <c r="BS77" s="175">
        <v>0.05</v>
      </c>
      <c r="BU77" s="172" t="s">
        <v>675</v>
      </c>
      <c r="BV77" s="172">
        <v>0.05</v>
      </c>
      <c r="BX77" s="181">
        <f t="shared" ref="BX77:BX123" si="2">LEN(BN77)</f>
        <v>3</v>
      </c>
      <c r="BY77" s="174" t="str">
        <f t="shared" ref="BY77:BY123" si="3">CONCATENATE(BX77,BN77)</f>
        <v>3PPx</v>
      </c>
      <c r="BZ77" s="174">
        <v>1.1000000000000001</v>
      </c>
      <c r="CE77" s="1" t="s">
        <v>676</v>
      </c>
      <c r="CF77" s="1" t="s">
        <v>677</v>
      </c>
      <c r="CG77" s="1" t="s">
        <v>678</v>
      </c>
    </row>
    <row r="78" spans="4:85" ht="15.75" customHeight="1" x14ac:dyDescent="0.3">
      <c r="F78" s="169"/>
      <c r="V78" s="169"/>
      <c r="W78" s="170"/>
      <c r="BK78" s="171"/>
      <c r="BL78" s="173" t="s">
        <v>679</v>
      </c>
      <c r="BM78" s="173">
        <v>0.1</v>
      </c>
      <c r="BN78" s="174" t="s">
        <v>267</v>
      </c>
      <c r="BO78" s="174">
        <v>1</v>
      </c>
      <c r="BP78" s="172" t="s">
        <v>680</v>
      </c>
      <c r="BQ78" s="172">
        <v>0.1</v>
      </c>
      <c r="BR78" s="175" t="s">
        <v>681</v>
      </c>
      <c r="BS78" s="175">
        <v>0.1</v>
      </c>
      <c r="BU78" s="172" t="s">
        <v>682</v>
      </c>
      <c r="BV78" s="172">
        <v>0.1</v>
      </c>
      <c r="BX78" s="181">
        <f t="shared" si="2"/>
        <v>2</v>
      </c>
      <c r="BY78" s="174" t="str">
        <f t="shared" si="3"/>
        <v>2PP</v>
      </c>
      <c r="BZ78" s="174">
        <v>1</v>
      </c>
      <c r="CE78" s="1" t="s">
        <v>683</v>
      </c>
      <c r="CF78" s="1" t="s">
        <v>684</v>
      </c>
      <c r="CG78" s="1" t="s">
        <v>685</v>
      </c>
    </row>
    <row r="79" spans="4:85" ht="15.75" customHeight="1" x14ac:dyDescent="0.3">
      <c r="F79" s="169"/>
      <c r="V79" s="169"/>
      <c r="W79" s="170"/>
      <c r="BK79" s="171"/>
      <c r="BL79" s="173" t="s">
        <v>686</v>
      </c>
      <c r="BM79" s="173">
        <v>0.15</v>
      </c>
      <c r="BN79" s="174" t="s">
        <v>687</v>
      </c>
      <c r="BO79" s="174">
        <v>1.05</v>
      </c>
      <c r="BP79" s="172" t="s">
        <v>671</v>
      </c>
      <c r="BQ79" s="172">
        <v>0.05</v>
      </c>
      <c r="BR79" s="175" t="s">
        <v>688</v>
      </c>
      <c r="BS79" s="175">
        <v>0.1</v>
      </c>
      <c r="BU79" s="172" t="s">
        <v>689</v>
      </c>
      <c r="BV79" s="172">
        <v>0.15</v>
      </c>
      <c r="BX79" s="181">
        <f t="shared" si="2"/>
        <v>3</v>
      </c>
      <c r="BY79" s="174" t="str">
        <f t="shared" si="3"/>
        <v>3FPx</v>
      </c>
      <c r="BZ79" s="174">
        <v>1.05</v>
      </c>
      <c r="CE79" s="1" t="s">
        <v>690</v>
      </c>
      <c r="CF79" s="1" t="s">
        <v>691</v>
      </c>
      <c r="CG79" s="1" t="s">
        <v>692</v>
      </c>
    </row>
    <row r="80" spans="4:85" ht="15.75" customHeight="1" x14ac:dyDescent="0.3">
      <c r="F80" s="169"/>
      <c r="V80" s="169"/>
      <c r="W80" s="170"/>
      <c r="BK80" s="171"/>
      <c r="BL80" s="173" t="s">
        <v>693</v>
      </c>
      <c r="BM80" s="173">
        <v>0.15</v>
      </c>
      <c r="BN80" s="174" t="s">
        <v>694</v>
      </c>
      <c r="BO80" s="174">
        <v>0.95</v>
      </c>
      <c r="BP80" s="172" t="s">
        <v>679</v>
      </c>
      <c r="BQ80" s="172">
        <v>0.1</v>
      </c>
      <c r="BR80" s="175" t="s">
        <v>695</v>
      </c>
      <c r="BS80" s="175">
        <v>0.1</v>
      </c>
      <c r="BU80" s="172" t="s">
        <v>696</v>
      </c>
      <c r="BV80" s="172">
        <v>0.1</v>
      </c>
      <c r="BX80" s="181">
        <f t="shared" si="2"/>
        <v>2</v>
      </c>
      <c r="BY80" s="174" t="str">
        <f t="shared" si="3"/>
        <v>2FP</v>
      </c>
      <c r="BZ80" s="174">
        <v>0.95</v>
      </c>
      <c r="CE80" s="1" t="s">
        <v>697</v>
      </c>
      <c r="CF80" s="1" t="s">
        <v>698</v>
      </c>
      <c r="CG80" s="1" t="s">
        <v>699</v>
      </c>
    </row>
    <row r="81" spans="4:85" ht="15.75" customHeight="1" x14ac:dyDescent="0.3">
      <c r="F81" s="169"/>
      <c r="V81" s="169"/>
      <c r="W81" s="170"/>
      <c r="BK81" s="171"/>
      <c r="BL81" s="173" t="s">
        <v>700</v>
      </c>
      <c r="BM81" s="173">
        <v>0.2</v>
      </c>
      <c r="BN81" s="174" t="s">
        <v>701</v>
      </c>
      <c r="BO81" s="174">
        <v>0.7</v>
      </c>
      <c r="BP81" s="172" t="s">
        <v>686</v>
      </c>
      <c r="BQ81" s="172">
        <v>0.15</v>
      </c>
      <c r="BR81" s="175" t="s">
        <v>702</v>
      </c>
      <c r="BS81" s="175">
        <v>0.3</v>
      </c>
      <c r="BU81" s="172" t="s">
        <v>703</v>
      </c>
      <c r="BV81" s="172">
        <v>0.2</v>
      </c>
      <c r="BX81" s="181">
        <f t="shared" si="2"/>
        <v>2</v>
      </c>
      <c r="BY81" s="174" t="str">
        <f t="shared" si="3"/>
        <v>2FF</v>
      </c>
      <c r="BZ81" s="174">
        <v>0.7</v>
      </c>
      <c r="CE81" s="1" t="s">
        <v>704</v>
      </c>
      <c r="CF81" s="1" t="s">
        <v>705</v>
      </c>
      <c r="CG81" s="1" t="s">
        <v>706</v>
      </c>
    </row>
    <row r="82" spans="4:85" ht="15.75" customHeight="1" x14ac:dyDescent="0.3">
      <c r="F82" s="169"/>
      <c r="V82" s="169"/>
      <c r="W82" s="170"/>
      <c r="BK82" s="171"/>
      <c r="BL82" s="173" t="s">
        <v>707</v>
      </c>
      <c r="BM82" s="173">
        <v>0.05</v>
      </c>
      <c r="BN82" s="174" t="s">
        <v>276</v>
      </c>
      <c r="BO82" s="174">
        <v>0.45</v>
      </c>
      <c r="BP82" s="172" t="s">
        <v>693</v>
      </c>
      <c r="BQ82" s="172">
        <v>0.15</v>
      </c>
      <c r="BR82" s="175" t="s">
        <v>708</v>
      </c>
      <c r="BS82" s="175">
        <v>0.1</v>
      </c>
      <c r="BU82" s="172" t="s">
        <v>709</v>
      </c>
      <c r="BV82" s="172">
        <v>0.05</v>
      </c>
      <c r="BX82" s="181">
        <f t="shared" si="2"/>
        <v>2</v>
      </c>
      <c r="BY82" s="174" t="str">
        <f t="shared" si="3"/>
        <v>2PF</v>
      </c>
      <c r="BZ82" s="174">
        <v>0.45</v>
      </c>
      <c r="CE82" s="1" t="s">
        <v>710</v>
      </c>
      <c r="CF82" s="1" t="s">
        <v>711</v>
      </c>
      <c r="CG82" s="1" t="s">
        <v>712</v>
      </c>
    </row>
    <row r="83" spans="4:85" ht="15.75" customHeight="1" x14ac:dyDescent="0.3">
      <c r="D83" s="1">
        <v>8</v>
      </c>
      <c r="E83" s="1" t="s">
        <v>33</v>
      </c>
      <c r="F83" s="169"/>
      <c r="V83" s="169"/>
      <c r="W83" s="170"/>
      <c r="BK83" s="171"/>
      <c r="BL83" s="173" t="s">
        <v>713</v>
      </c>
      <c r="BM83" s="173">
        <v>0.1</v>
      </c>
      <c r="BN83" s="174" t="s">
        <v>714</v>
      </c>
      <c r="BO83" s="174">
        <v>0.5</v>
      </c>
      <c r="BP83" s="172" t="s">
        <v>700</v>
      </c>
      <c r="BQ83" s="172">
        <v>0.2</v>
      </c>
      <c r="BR83" s="175" t="s">
        <v>715</v>
      </c>
      <c r="BS83" s="175">
        <v>0.2</v>
      </c>
      <c r="BU83" s="172" t="s">
        <v>716</v>
      </c>
      <c r="BV83" s="172">
        <v>0.1</v>
      </c>
      <c r="BX83" s="181">
        <f t="shared" si="2"/>
        <v>4</v>
      </c>
      <c r="BY83" s="174" t="str">
        <f t="shared" si="3"/>
        <v>4SiSb</v>
      </c>
      <c r="BZ83" s="174">
        <v>0.5</v>
      </c>
      <c r="CE83" s="1" t="s">
        <v>717</v>
      </c>
      <c r="CF83" s="1" t="s">
        <v>718</v>
      </c>
      <c r="CG83" s="1" t="s">
        <v>719</v>
      </c>
    </row>
    <row r="84" spans="4:85" ht="15.75" customHeight="1" x14ac:dyDescent="0.3">
      <c r="D84" s="1">
        <v>8</v>
      </c>
      <c r="E84" s="1" t="s">
        <v>42</v>
      </c>
      <c r="F84" s="169"/>
      <c r="V84" s="169"/>
      <c r="W84" s="170"/>
      <c r="BK84" s="171"/>
      <c r="BL84" s="173" t="s">
        <v>720</v>
      </c>
      <c r="BM84" s="173">
        <v>0.1</v>
      </c>
      <c r="BN84" s="174" t="s">
        <v>721</v>
      </c>
      <c r="BO84" s="174">
        <v>0.3</v>
      </c>
      <c r="BP84" s="172" t="s">
        <v>707</v>
      </c>
      <c r="BQ84" s="172">
        <v>0.05</v>
      </c>
      <c r="BR84" s="175" t="s">
        <v>722</v>
      </c>
      <c r="BS84" s="175">
        <v>0.1</v>
      </c>
      <c r="BU84" s="172" t="s">
        <v>723</v>
      </c>
      <c r="BV84" s="172">
        <v>0.1</v>
      </c>
      <c r="BX84" s="181">
        <f t="shared" si="2"/>
        <v>2</v>
      </c>
      <c r="BY84" s="174" t="str">
        <f t="shared" si="3"/>
        <v>2Bp</v>
      </c>
      <c r="BZ84" s="174">
        <v>0.3</v>
      </c>
      <c r="CE84" s="1" t="s">
        <v>724</v>
      </c>
      <c r="CF84" s="1" t="s">
        <v>725</v>
      </c>
      <c r="CG84" s="1" t="s">
        <v>726</v>
      </c>
    </row>
    <row r="85" spans="4:85" ht="15.75" customHeight="1" x14ac:dyDescent="0.3">
      <c r="D85" s="1">
        <v>8</v>
      </c>
      <c r="E85" s="1" t="s">
        <v>34</v>
      </c>
      <c r="F85" s="169"/>
      <c r="V85" s="169"/>
      <c r="W85" s="170"/>
      <c r="BK85" s="171"/>
      <c r="BL85" s="173" t="s">
        <v>727</v>
      </c>
      <c r="BM85" s="173">
        <v>0.3</v>
      </c>
      <c r="BN85" s="174" t="s">
        <v>728</v>
      </c>
      <c r="BO85" s="174">
        <v>0.3</v>
      </c>
      <c r="BP85" s="172" t="s">
        <v>713</v>
      </c>
      <c r="BQ85" s="172">
        <v>0.1</v>
      </c>
      <c r="BR85" s="175" t="s">
        <v>729</v>
      </c>
      <c r="BS85" s="175">
        <v>0.05</v>
      </c>
      <c r="BU85" s="172" t="s">
        <v>730</v>
      </c>
      <c r="BV85" s="172">
        <v>0.15</v>
      </c>
      <c r="BX85" s="181">
        <f t="shared" si="2"/>
        <v>3</v>
      </c>
      <c r="BY85" s="174" t="str">
        <f t="shared" si="3"/>
        <v>3ShF</v>
      </c>
      <c r="BZ85" s="174">
        <v>0.3</v>
      </c>
      <c r="CE85" s="1" t="s">
        <v>731</v>
      </c>
      <c r="CF85" s="1" t="s">
        <v>732</v>
      </c>
      <c r="CG85" s="1" t="s">
        <v>733</v>
      </c>
    </row>
    <row r="86" spans="4:85" ht="15.75" customHeight="1" x14ac:dyDescent="0.3">
      <c r="D86" s="1">
        <v>8</v>
      </c>
      <c r="E86" s="1" t="s">
        <v>35</v>
      </c>
      <c r="F86" s="169"/>
      <c r="V86" s="169"/>
      <c r="W86" s="170"/>
      <c r="BK86" s="171"/>
      <c r="BL86" s="173" t="s">
        <v>734</v>
      </c>
      <c r="BM86" s="173">
        <v>0.1</v>
      </c>
      <c r="BN86" s="174" t="s">
        <v>735</v>
      </c>
      <c r="BO86" s="174">
        <v>0.45</v>
      </c>
      <c r="BP86" s="172" t="s">
        <v>720</v>
      </c>
      <c r="BQ86" s="172">
        <v>0.1</v>
      </c>
      <c r="BR86" s="175" t="s">
        <v>736</v>
      </c>
      <c r="BS86" s="175">
        <v>0.2</v>
      </c>
      <c r="BU86" s="172" t="s">
        <v>737</v>
      </c>
      <c r="BV86" s="172">
        <v>0.1</v>
      </c>
      <c r="BX86" s="181">
        <f t="shared" si="2"/>
        <v>1</v>
      </c>
      <c r="BY86" s="174" t="str">
        <f t="shared" si="3"/>
        <v>1E</v>
      </c>
      <c r="BZ86" s="174">
        <v>0.45</v>
      </c>
      <c r="CE86" s="1" t="s">
        <v>738</v>
      </c>
      <c r="CF86" s="1" t="s">
        <v>739</v>
      </c>
      <c r="CG86" s="1" t="s">
        <v>740</v>
      </c>
    </row>
    <row r="87" spans="4:85" ht="15.75" customHeight="1" x14ac:dyDescent="0.3">
      <c r="D87" s="1">
        <v>8</v>
      </c>
      <c r="E87" s="1" t="s">
        <v>36</v>
      </c>
      <c r="F87" s="169"/>
      <c r="V87" s="169"/>
      <c r="W87" s="170"/>
      <c r="BK87" s="171"/>
      <c r="BL87" s="173" t="s">
        <v>741</v>
      </c>
      <c r="BM87" s="173">
        <v>0.1</v>
      </c>
      <c r="BN87" s="174" t="s">
        <v>742</v>
      </c>
      <c r="BO87" s="174">
        <v>0.5</v>
      </c>
      <c r="BP87" s="172" t="s">
        <v>727</v>
      </c>
      <c r="BQ87" s="172">
        <v>0.3</v>
      </c>
      <c r="BR87" s="175" t="s">
        <v>743</v>
      </c>
      <c r="BS87" s="175">
        <v>0.2</v>
      </c>
      <c r="BU87" s="172" t="s">
        <v>744</v>
      </c>
      <c r="BV87" s="172">
        <v>0.1</v>
      </c>
      <c r="BX87" s="181">
        <f t="shared" si="2"/>
        <v>1</v>
      </c>
      <c r="BY87" s="174" t="str">
        <f t="shared" si="3"/>
        <v>1I</v>
      </c>
      <c r="BZ87" s="174">
        <v>0.5</v>
      </c>
      <c r="CE87" s="1" t="s">
        <v>745</v>
      </c>
      <c r="CF87" s="1" t="s">
        <v>746</v>
      </c>
      <c r="CG87" s="1" t="s">
        <v>747</v>
      </c>
    </row>
    <row r="88" spans="4:85" ht="15.75" customHeight="1" x14ac:dyDescent="0.3">
      <c r="D88" s="1">
        <v>8</v>
      </c>
      <c r="E88" s="1" t="s">
        <v>420</v>
      </c>
      <c r="F88" s="169"/>
      <c r="V88" s="169"/>
      <c r="W88" s="170"/>
      <c r="BK88" s="171"/>
      <c r="BL88" s="173" t="s">
        <v>748</v>
      </c>
      <c r="BM88" s="173">
        <v>0.15</v>
      </c>
      <c r="BN88" s="174" t="s">
        <v>749</v>
      </c>
      <c r="BO88" s="174">
        <v>0.8</v>
      </c>
      <c r="BP88" s="172" t="s">
        <v>734</v>
      </c>
      <c r="BQ88" s="172">
        <v>0.1</v>
      </c>
      <c r="BR88" s="175" t="s">
        <v>750</v>
      </c>
      <c r="BS88" s="175">
        <v>0.2</v>
      </c>
      <c r="BU88" s="172" t="s">
        <v>751</v>
      </c>
      <c r="BV88" s="172">
        <v>0.1</v>
      </c>
      <c r="BX88" s="181">
        <f t="shared" si="2"/>
        <v>3</v>
      </c>
      <c r="BY88" s="174" t="str">
        <f t="shared" si="3"/>
        <v>3PH/</v>
      </c>
      <c r="BZ88" s="174">
        <v>0.8</v>
      </c>
      <c r="CE88" s="1" t="s">
        <v>752</v>
      </c>
      <c r="CF88" s="1" t="s">
        <v>753</v>
      </c>
      <c r="CG88" s="1" t="s">
        <v>754</v>
      </c>
    </row>
    <row r="89" spans="4:85" ht="15.75" customHeight="1" x14ac:dyDescent="0.3">
      <c r="F89" s="169"/>
      <c r="V89" s="169"/>
      <c r="W89" s="170"/>
      <c r="BK89" s="171"/>
      <c r="BL89" s="173" t="s">
        <v>755</v>
      </c>
      <c r="BM89" s="173">
        <v>0.2</v>
      </c>
      <c r="BN89" s="174" t="s">
        <v>756</v>
      </c>
      <c r="BO89" s="174">
        <v>0.3</v>
      </c>
      <c r="BP89" s="172" t="s">
        <v>741</v>
      </c>
      <c r="BQ89" s="172">
        <v>0.1</v>
      </c>
      <c r="BR89" s="175" t="s">
        <v>757</v>
      </c>
      <c r="BS89" s="175">
        <v>0.3</v>
      </c>
      <c r="BU89" s="172" t="s">
        <v>758</v>
      </c>
      <c r="BV89" s="172">
        <v>0.15</v>
      </c>
      <c r="BX89" s="181">
        <f t="shared" si="2"/>
        <v>4</v>
      </c>
      <c r="BY89" s="174" t="str">
        <f t="shared" si="3"/>
        <v>4Li4H</v>
      </c>
      <c r="BZ89" s="174">
        <v>0.3</v>
      </c>
      <c r="CE89" s="1" t="s">
        <v>759</v>
      </c>
      <c r="CF89" s="1" t="s">
        <v>760</v>
      </c>
      <c r="CG89" s="1" t="s">
        <v>761</v>
      </c>
    </row>
    <row r="90" spans="4:85" ht="15.75" customHeight="1" x14ac:dyDescent="0.3">
      <c r="F90" s="169"/>
      <c r="V90" s="169"/>
      <c r="W90" s="170"/>
      <c r="BK90" s="171"/>
      <c r="BL90" s="173" t="s">
        <v>762</v>
      </c>
      <c r="BM90" s="173">
        <v>0.25</v>
      </c>
      <c r="BN90" s="174" t="s">
        <v>763</v>
      </c>
      <c r="BO90" s="174">
        <v>0.4</v>
      </c>
      <c r="BP90" s="172" t="s">
        <v>748</v>
      </c>
      <c r="BQ90" s="172">
        <v>0.15</v>
      </c>
      <c r="BR90" s="175" t="s">
        <v>764</v>
      </c>
      <c r="BS90" s="175">
        <v>0.2</v>
      </c>
      <c r="BU90" s="172" t="s">
        <v>765</v>
      </c>
      <c r="BV90" s="172">
        <v>0.2</v>
      </c>
      <c r="BX90" s="181">
        <f t="shared" si="2"/>
        <v>1</v>
      </c>
      <c r="BY90" s="174" t="str">
        <f t="shared" si="3"/>
        <v>1W</v>
      </c>
      <c r="BZ90" s="174">
        <v>0.4</v>
      </c>
      <c r="CE90" s="1" t="s">
        <v>766</v>
      </c>
      <c r="CF90" s="1" t="s">
        <v>767</v>
      </c>
      <c r="CG90" s="1" t="s">
        <v>768</v>
      </c>
    </row>
    <row r="91" spans="4:85" ht="15.75" customHeight="1" x14ac:dyDescent="0.3">
      <c r="F91" s="169"/>
      <c r="V91" s="169"/>
      <c r="W91" s="170"/>
      <c r="BK91" s="171"/>
      <c r="BL91" s="173"/>
      <c r="BM91" s="173"/>
      <c r="BN91" s="174" t="s">
        <v>769</v>
      </c>
      <c r="BO91" s="174">
        <v>0.4</v>
      </c>
      <c r="BP91" s="172" t="s">
        <v>755</v>
      </c>
      <c r="BQ91" s="172">
        <v>0.2</v>
      </c>
      <c r="BR91" s="175" t="s">
        <v>770</v>
      </c>
      <c r="BS91" s="175">
        <v>0.2</v>
      </c>
      <c r="BU91" s="172" t="s">
        <v>771</v>
      </c>
      <c r="BV91" s="172">
        <v>0.05</v>
      </c>
      <c r="BX91" s="181">
        <f t="shared" si="2"/>
        <v>2</v>
      </c>
      <c r="BY91" s="174" t="str">
        <f t="shared" si="3"/>
        <v>2Py</v>
      </c>
      <c r="BZ91" s="174">
        <v>0.4</v>
      </c>
      <c r="CE91" s="1" t="s">
        <v>772</v>
      </c>
      <c r="CF91" s="1" t="s">
        <v>773</v>
      </c>
      <c r="CG91" s="1" t="s">
        <v>774</v>
      </c>
    </row>
    <row r="92" spans="4:85" ht="15.75" customHeight="1" x14ac:dyDescent="0.3">
      <c r="F92" s="169"/>
      <c r="V92" s="169"/>
      <c r="W92" s="170"/>
      <c r="BK92" s="171"/>
      <c r="BL92" s="173"/>
      <c r="BM92" s="173"/>
      <c r="BN92" s="174" t="s">
        <v>775</v>
      </c>
      <c r="BO92" s="174">
        <v>0.45</v>
      </c>
      <c r="BP92" s="172" t="s">
        <v>762</v>
      </c>
      <c r="BQ92" s="172">
        <v>0.25</v>
      </c>
      <c r="BR92" s="175" t="s">
        <v>776</v>
      </c>
      <c r="BS92" s="175">
        <v>0.1</v>
      </c>
      <c r="BU92" s="172" t="s">
        <v>777</v>
      </c>
      <c r="BV92" s="172">
        <v>0.05</v>
      </c>
      <c r="BX92" s="181">
        <f t="shared" si="2"/>
        <v>2</v>
      </c>
      <c r="BY92" s="174" t="str">
        <f t="shared" si="3"/>
        <v>2AP</v>
      </c>
      <c r="BZ92" s="174">
        <v>0.45</v>
      </c>
      <c r="CE92" s="1" t="s">
        <v>778</v>
      </c>
      <c r="CF92" s="1" t="s">
        <v>779</v>
      </c>
      <c r="CG92" s="1" t="s">
        <v>780</v>
      </c>
    </row>
    <row r="93" spans="4:85" ht="15.75" customHeight="1" x14ac:dyDescent="0.3">
      <c r="D93" s="1">
        <v>9</v>
      </c>
      <c r="E93" s="1" t="s">
        <v>33</v>
      </c>
      <c r="F93" s="169"/>
      <c r="V93" s="169"/>
      <c r="W93" s="170"/>
      <c r="BK93" s="171"/>
      <c r="BL93" s="173" t="s">
        <v>675</v>
      </c>
      <c r="BM93" s="173">
        <v>0.05</v>
      </c>
      <c r="BN93" s="174" t="s">
        <v>781</v>
      </c>
      <c r="BO93" s="174">
        <v>0.1</v>
      </c>
      <c r="BP93" s="172" t="s">
        <v>782</v>
      </c>
      <c r="BQ93" s="172">
        <v>0.1</v>
      </c>
      <c r="BR93" s="175" t="s">
        <v>783</v>
      </c>
      <c r="BS93" s="175">
        <v>0.3</v>
      </c>
      <c r="BU93" s="172" t="s">
        <v>784</v>
      </c>
      <c r="BV93" s="172">
        <v>0.1</v>
      </c>
      <c r="BX93" s="181">
        <f t="shared" si="2"/>
        <v>4</v>
      </c>
      <c r="BY93" s="174" t="str">
        <f t="shared" si="3"/>
        <v>4ShF*</v>
      </c>
      <c r="BZ93" s="174">
        <v>0.1</v>
      </c>
      <c r="CE93" s="1" t="s">
        <v>785</v>
      </c>
      <c r="CF93" s="1" t="s">
        <v>786</v>
      </c>
      <c r="CG93" s="1" t="s">
        <v>787</v>
      </c>
    </row>
    <row r="94" spans="4:85" ht="15.75" customHeight="1" x14ac:dyDescent="0.3">
      <c r="D94" s="1">
        <v>9</v>
      </c>
      <c r="E94" s="1" t="s">
        <v>34</v>
      </c>
      <c r="F94" s="169"/>
      <c r="V94" s="169"/>
      <c r="W94" s="170"/>
      <c r="BK94" s="171"/>
      <c r="BL94" s="173" t="s">
        <v>682</v>
      </c>
      <c r="BM94" s="173">
        <v>0.1</v>
      </c>
      <c r="BN94" s="174" t="s">
        <v>788</v>
      </c>
      <c r="BO94" s="174">
        <v>0.1</v>
      </c>
      <c r="BP94" s="172" t="s">
        <v>789</v>
      </c>
      <c r="BQ94" s="172">
        <v>0.15</v>
      </c>
      <c r="BR94" s="175" t="s">
        <v>790</v>
      </c>
      <c r="BS94" s="175">
        <v>0.1</v>
      </c>
      <c r="BU94" s="172" t="s">
        <v>791</v>
      </c>
      <c r="BV94" s="172">
        <v>0.2</v>
      </c>
      <c r="BX94" s="181">
        <f t="shared" si="2"/>
        <v>2</v>
      </c>
      <c r="BY94" s="174" t="str">
        <f t="shared" si="3"/>
        <v>2Su</v>
      </c>
      <c r="BZ94" s="174">
        <v>0.1</v>
      </c>
      <c r="CE94" s="1" t="s">
        <v>792</v>
      </c>
      <c r="CF94" s="1" t="s">
        <v>793</v>
      </c>
      <c r="CG94" s="1" t="s">
        <v>794</v>
      </c>
    </row>
    <row r="95" spans="4:85" ht="15.75" customHeight="1" x14ac:dyDescent="0.3">
      <c r="D95" s="1">
        <v>9</v>
      </c>
      <c r="E95" s="1" t="s">
        <v>35</v>
      </c>
      <c r="F95" s="169"/>
      <c r="V95" s="169"/>
      <c r="W95" s="170"/>
      <c r="BK95" s="171"/>
      <c r="BL95" s="173" t="s">
        <v>689</v>
      </c>
      <c r="BM95" s="173">
        <v>0.15</v>
      </c>
      <c r="BN95" s="174" t="s">
        <v>795</v>
      </c>
      <c r="BO95" s="174">
        <v>0.15</v>
      </c>
      <c r="BP95" s="172" t="s">
        <v>796</v>
      </c>
      <c r="BQ95" s="172">
        <v>0.2</v>
      </c>
      <c r="BR95" s="175" t="s">
        <v>797</v>
      </c>
      <c r="BS95" s="175">
        <v>0.3</v>
      </c>
      <c r="BU95" s="172" t="s">
        <v>798</v>
      </c>
      <c r="BV95" s="172">
        <v>0.3</v>
      </c>
      <c r="BX95" s="181">
        <f t="shared" si="2"/>
        <v>2</v>
      </c>
      <c r="BY95" s="174" t="str">
        <f t="shared" si="3"/>
        <v>2Ta</v>
      </c>
      <c r="BZ95" s="174">
        <v>0.15</v>
      </c>
      <c r="CE95" s="1" t="s">
        <v>799</v>
      </c>
      <c r="CF95" s="1" t="s">
        <v>800</v>
      </c>
      <c r="CG95" s="1" t="s">
        <v>801</v>
      </c>
    </row>
    <row r="96" spans="4:85" ht="15.75" customHeight="1" x14ac:dyDescent="0.3">
      <c r="D96" s="1">
        <v>9</v>
      </c>
      <c r="E96" s="1" t="s">
        <v>557</v>
      </c>
      <c r="F96" s="169"/>
      <c r="V96" s="169"/>
      <c r="W96" s="170"/>
      <c r="BK96" s="171"/>
      <c r="BL96" s="173" t="s">
        <v>696</v>
      </c>
      <c r="BM96" s="173">
        <v>0.1</v>
      </c>
      <c r="BN96" s="174" t="s">
        <v>802</v>
      </c>
      <c r="BO96" s="174">
        <v>0.1</v>
      </c>
      <c r="BP96" s="172" t="s">
        <v>803</v>
      </c>
      <c r="BQ96" s="172">
        <v>0.25</v>
      </c>
      <c r="BR96" s="175" t="s">
        <v>804</v>
      </c>
      <c r="BS96" s="175">
        <v>0.2</v>
      </c>
      <c r="BU96" s="172" t="s">
        <v>805</v>
      </c>
      <c r="BV96" s="172">
        <v>0.3</v>
      </c>
      <c r="BX96" s="181">
        <f t="shared" si="2"/>
        <v>3</v>
      </c>
      <c r="BY96" s="174" t="str">
        <f t="shared" si="3"/>
        <v>3SiS</v>
      </c>
      <c r="BZ96" s="174">
        <v>0.1</v>
      </c>
      <c r="CE96" s="1" t="s">
        <v>806</v>
      </c>
      <c r="CF96" s="1" t="s">
        <v>807</v>
      </c>
      <c r="CG96" s="1" t="s">
        <v>808</v>
      </c>
    </row>
    <row r="97" spans="4:85" ht="15.75" customHeight="1" x14ac:dyDescent="0.3">
      <c r="D97" s="1">
        <v>9</v>
      </c>
      <c r="E97" s="1" t="s">
        <v>562</v>
      </c>
      <c r="F97" s="169"/>
      <c r="V97" s="169"/>
      <c r="W97" s="170"/>
      <c r="BK97" s="171"/>
      <c r="BL97" s="173" t="s">
        <v>703</v>
      </c>
      <c r="BM97" s="173">
        <v>0.2</v>
      </c>
      <c r="BN97" s="174" t="s">
        <v>809</v>
      </c>
      <c r="BO97" s="174">
        <v>0.1</v>
      </c>
      <c r="BP97" s="172" t="s">
        <v>810</v>
      </c>
      <c r="BQ97" s="172">
        <v>0.45</v>
      </c>
      <c r="BR97" s="175" t="s">
        <v>811</v>
      </c>
      <c r="BS97" s="175">
        <v>0.3</v>
      </c>
      <c r="BU97" s="172" t="s">
        <v>812</v>
      </c>
      <c r="BV97" s="172">
        <v>0.4</v>
      </c>
      <c r="BX97" s="181">
        <f t="shared" si="2"/>
        <v>3</v>
      </c>
      <c r="BY97" s="174" t="str">
        <f t="shared" si="3"/>
        <v>3F1S</v>
      </c>
      <c r="BZ97" s="174">
        <v>0.1</v>
      </c>
      <c r="CE97" s="1" t="s">
        <v>813</v>
      </c>
      <c r="CF97" s="1" t="s">
        <v>814</v>
      </c>
      <c r="CG97" s="1" t="s">
        <v>815</v>
      </c>
    </row>
    <row r="98" spans="4:85" ht="15.75" customHeight="1" x14ac:dyDescent="0.3">
      <c r="D98" s="1">
        <v>9</v>
      </c>
      <c r="E98" s="1" t="s">
        <v>567</v>
      </c>
      <c r="F98" s="169"/>
      <c r="V98" s="169"/>
      <c r="W98" s="170"/>
      <c r="BK98" s="171"/>
      <c r="BL98" s="173" t="s">
        <v>709</v>
      </c>
      <c r="BM98" s="173">
        <v>0.05</v>
      </c>
      <c r="BN98" s="174" t="s">
        <v>816</v>
      </c>
      <c r="BO98" s="174">
        <v>0.05</v>
      </c>
      <c r="BP98" s="172" t="s">
        <v>817</v>
      </c>
      <c r="BQ98" s="172">
        <v>0.4</v>
      </c>
      <c r="BR98" s="175" t="s">
        <v>818</v>
      </c>
      <c r="BS98" s="175">
        <v>0.2</v>
      </c>
      <c r="BU98" s="172" t="s">
        <v>819</v>
      </c>
      <c r="BV98" s="172">
        <v>0.1</v>
      </c>
      <c r="BX98" s="181">
        <f t="shared" si="2"/>
        <v>2</v>
      </c>
      <c r="BY98" s="174" t="str">
        <f t="shared" si="3"/>
        <v>2FS</v>
      </c>
      <c r="BZ98" s="174">
        <v>0.05</v>
      </c>
      <c r="CE98" s="1" t="s">
        <v>820</v>
      </c>
      <c r="CF98" s="1" t="s">
        <v>821</v>
      </c>
      <c r="CG98" s="1" t="s">
        <v>822</v>
      </c>
    </row>
    <row r="99" spans="4:85" ht="15.75" customHeight="1" x14ac:dyDescent="0.3">
      <c r="D99" s="1">
        <v>9</v>
      </c>
      <c r="E99" s="1" t="s">
        <v>572</v>
      </c>
      <c r="F99" s="169"/>
      <c r="V99" s="169"/>
      <c r="W99" s="170"/>
      <c r="BK99" s="171"/>
      <c r="BL99" s="173" t="s">
        <v>716</v>
      </c>
      <c r="BM99" s="173">
        <v>0.1</v>
      </c>
      <c r="BN99" s="174" t="s">
        <v>823</v>
      </c>
      <c r="BO99" s="174">
        <v>0.2</v>
      </c>
      <c r="BP99" s="172" t="s">
        <v>824</v>
      </c>
      <c r="BQ99" s="172">
        <v>0.5</v>
      </c>
      <c r="BR99" s="175" t="s">
        <v>825</v>
      </c>
      <c r="BS99" s="175">
        <v>0.4</v>
      </c>
      <c r="BU99" s="172" t="s">
        <v>826</v>
      </c>
      <c r="BV99" s="172">
        <v>0.25</v>
      </c>
      <c r="BX99" s="181">
        <f t="shared" si="2"/>
        <v>4</v>
      </c>
      <c r="BY99" s="174" t="str">
        <f t="shared" si="3"/>
        <v>4F1S/</v>
      </c>
      <c r="BZ99" s="174">
        <v>0.2</v>
      </c>
      <c r="CE99" s="1" t="s">
        <v>827</v>
      </c>
      <c r="CF99" s="1" t="s">
        <v>828</v>
      </c>
      <c r="CG99" s="1" t="s">
        <v>829</v>
      </c>
    </row>
    <row r="100" spans="4:85" ht="15.75" customHeight="1" x14ac:dyDescent="0.3">
      <c r="F100" s="169"/>
      <c r="V100" s="169"/>
      <c r="W100" s="170"/>
      <c r="BK100" s="171"/>
      <c r="BL100" s="173" t="s">
        <v>723</v>
      </c>
      <c r="BM100" s="173">
        <v>0.1</v>
      </c>
      <c r="BN100" s="174" t="s">
        <v>830</v>
      </c>
      <c r="BO100" s="174">
        <v>0.1</v>
      </c>
      <c r="BP100" s="172" t="s">
        <v>831</v>
      </c>
      <c r="BQ100" s="172">
        <v>0.25</v>
      </c>
      <c r="BR100" s="175" t="s">
        <v>832</v>
      </c>
      <c r="BS100" s="175">
        <v>0.3</v>
      </c>
      <c r="BU100" s="172" t="s">
        <v>833</v>
      </c>
      <c r="BV100" s="172">
        <v>0.3</v>
      </c>
      <c r="BX100" s="181">
        <f t="shared" si="2"/>
        <v>2</v>
      </c>
      <c r="BY100" s="174" t="str">
        <f t="shared" si="3"/>
        <v>2Le</v>
      </c>
      <c r="BZ100" s="174">
        <v>0.1</v>
      </c>
      <c r="CE100" s="1" t="s">
        <v>834</v>
      </c>
      <c r="CF100" s="1" t="s">
        <v>835</v>
      </c>
      <c r="CG100" s="1" t="s">
        <v>836</v>
      </c>
    </row>
    <row r="101" spans="4:85" ht="15.75" customHeight="1" x14ac:dyDescent="0.3">
      <c r="F101" s="169"/>
      <c r="V101" s="169"/>
      <c r="W101" s="170"/>
      <c r="BK101" s="171"/>
      <c r="BL101" s="173" t="s">
        <v>730</v>
      </c>
      <c r="BM101" s="173">
        <v>0.15</v>
      </c>
      <c r="BN101" s="174" t="s">
        <v>837</v>
      </c>
      <c r="BO101" s="174">
        <v>0.1</v>
      </c>
      <c r="BP101" s="172" t="s">
        <v>838</v>
      </c>
      <c r="BQ101" s="172">
        <v>0.35</v>
      </c>
      <c r="BR101" s="175" t="s">
        <v>839</v>
      </c>
      <c r="BS101" s="175">
        <v>0.1</v>
      </c>
      <c r="BU101" s="172" t="s">
        <v>840</v>
      </c>
      <c r="BV101" s="172">
        <v>0.45</v>
      </c>
      <c r="BX101" s="181">
        <f t="shared" si="2"/>
        <v>2</v>
      </c>
      <c r="BY101" s="174" t="str">
        <f t="shared" si="3"/>
        <v>2Li</v>
      </c>
      <c r="BZ101" s="174">
        <v>0.1</v>
      </c>
      <c r="CE101" s="1" t="s">
        <v>841</v>
      </c>
      <c r="CF101" s="1" t="s">
        <v>842</v>
      </c>
      <c r="CG101" s="1" t="s">
        <v>843</v>
      </c>
    </row>
    <row r="102" spans="4:85" ht="15.75" customHeight="1" x14ac:dyDescent="0.3">
      <c r="F102" s="169"/>
      <c r="V102" s="169"/>
      <c r="W102" s="170"/>
      <c r="BK102" s="171"/>
      <c r="BL102" s="173" t="s">
        <v>737</v>
      </c>
      <c r="BM102" s="173">
        <v>0.1</v>
      </c>
      <c r="BN102" s="174" t="s">
        <v>844</v>
      </c>
      <c r="BO102" s="174">
        <v>0.2</v>
      </c>
      <c r="BP102" s="172" t="s">
        <v>845</v>
      </c>
      <c r="BQ102" s="172">
        <v>0.45</v>
      </c>
      <c r="BR102" s="175" t="s">
        <v>846</v>
      </c>
      <c r="BS102" s="175">
        <v>0.3</v>
      </c>
      <c r="BU102" s="172" t="s">
        <v>847</v>
      </c>
      <c r="BV102" s="172">
        <v>0.4</v>
      </c>
      <c r="BX102" s="181">
        <f t="shared" si="2"/>
        <v>2</v>
      </c>
      <c r="BY102" s="174" t="str">
        <f t="shared" si="3"/>
        <v>2Ch</v>
      </c>
      <c r="BZ102" s="174">
        <v>0.2</v>
      </c>
      <c r="CE102" s="1" t="s">
        <v>848</v>
      </c>
      <c r="CF102" s="1" t="s">
        <v>849</v>
      </c>
      <c r="CG102" s="1" t="s">
        <v>850</v>
      </c>
    </row>
    <row r="103" spans="4:85" ht="15.75" customHeight="1" x14ac:dyDescent="0.3">
      <c r="D103" s="1">
        <v>10</v>
      </c>
      <c r="E103" s="1" t="s">
        <v>33</v>
      </c>
      <c r="F103" s="169"/>
      <c r="V103" s="169"/>
      <c r="W103" s="170"/>
      <c r="BK103" s="171"/>
      <c r="BL103" s="173" t="s">
        <v>744</v>
      </c>
      <c r="BM103" s="173">
        <v>0.1</v>
      </c>
      <c r="BN103" s="174" t="s">
        <v>851</v>
      </c>
      <c r="BO103" s="174">
        <v>0.1</v>
      </c>
      <c r="BP103" s="172" t="s">
        <v>852</v>
      </c>
      <c r="BQ103" s="172">
        <v>0.55000000000000004</v>
      </c>
      <c r="BR103" s="175" t="s">
        <v>853</v>
      </c>
      <c r="BS103" s="175">
        <v>0.4</v>
      </c>
      <c r="BU103" s="172" t="s">
        <v>854</v>
      </c>
      <c r="BV103" s="172">
        <v>0.1</v>
      </c>
      <c r="BX103" s="181">
        <f t="shared" si="2"/>
        <v>2</v>
      </c>
      <c r="BY103" s="174" t="str">
        <f t="shared" si="3"/>
        <v>2Tw</v>
      </c>
      <c r="BZ103" s="174">
        <v>0.1</v>
      </c>
      <c r="CE103" s="1" t="s">
        <v>855</v>
      </c>
      <c r="CF103" s="1" t="s">
        <v>856</v>
      </c>
      <c r="CG103" s="1" t="s">
        <v>857</v>
      </c>
    </row>
    <row r="104" spans="4:85" ht="15.75" customHeight="1" x14ac:dyDescent="0.3">
      <c r="D104" s="1">
        <v>10</v>
      </c>
      <c r="E104" s="1" t="s">
        <v>557</v>
      </c>
      <c r="F104" s="169"/>
      <c r="V104" s="169"/>
      <c r="W104" s="170"/>
      <c r="BK104" s="171"/>
      <c r="BL104" s="173" t="s">
        <v>751</v>
      </c>
      <c r="BM104" s="173">
        <v>0.1</v>
      </c>
      <c r="BN104" s="174" t="s">
        <v>858</v>
      </c>
      <c r="BO104" s="174">
        <v>0.1</v>
      </c>
      <c r="BP104" s="172" t="s">
        <v>859</v>
      </c>
      <c r="BQ104" s="172">
        <v>0.65</v>
      </c>
      <c r="BR104" s="175" t="s">
        <v>860</v>
      </c>
      <c r="BS104" s="175">
        <v>0.4</v>
      </c>
      <c r="BU104" s="172" t="s">
        <v>861</v>
      </c>
      <c r="BV104" s="172">
        <v>0.1</v>
      </c>
      <c r="BX104" s="181">
        <f t="shared" si="2"/>
        <v>3</v>
      </c>
      <c r="BY104" s="174" t="str">
        <f t="shared" si="3"/>
        <v>3Tw*</v>
      </c>
      <c r="BZ104" s="174">
        <v>0.1</v>
      </c>
      <c r="CE104" s="1" t="s">
        <v>862</v>
      </c>
      <c r="CF104" s="1" t="s">
        <v>863</v>
      </c>
      <c r="CG104" s="1" t="s">
        <v>864</v>
      </c>
    </row>
    <row r="105" spans="4:85" ht="15.75" customHeight="1" x14ac:dyDescent="0.3">
      <c r="D105" s="1">
        <v>10</v>
      </c>
      <c r="E105" s="1" t="s">
        <v>562</v>
      </c>
      <c r="F105" s="169"/>
      <c r="V105" s="169"/>
      <c r="W105" s="170"/>
      <c r="BK105" s="171"/>
      <c r="BL105" s="173" t="s">
        <v>758</v>
      </c>
      <c r="BM105" s="173">
        <v>0.15</v>
      </c>
      <c r="BN105" s="174" t="s">
        <v>865</v>
      </c>
      <c r="BO105" s="174">
        <v>0.1</v>
      </c>
      <c r="BP105" s="172" t="s">
        <v>866</v>
      </c>
      <c r="BQ105" s="172">
        <v>0.1</v>
      </c>
      <c r="BR105" s="175" t="s">
        <v>867</v>
      </c>
      <c r="BS105" s="175">
        <v>0.3</v>
      </c>
      <c r="BU105" s="172" t="s">
        <v>868</v>
      </c>
      <c r="BV105" s="172">
        <v>0.05</v>
      </c>
      <c r="BX105" s="181">
        <f t="shared" si="2"/>
        <v>2</v>
      </c>
      <c r="BY105" s="174" t="str">
        <f t="shared" si="3"/>
        <v>2AV</v>
      </c>
      <c r="BZ105" s="174">
        <v>0.1</v>
      </c>
      <c r="CE105" s="1" t="s">
        <v>869</v>
      </c>
      <c r="CF105" s="1" t="s">
        <v>870</v>
      </c>
      <c r="CG105" s="1" t="s">
        <v>871</v>
      </c>
    </row>
    <row r="106" spans="4:85" ht="15.75" customHeight="1" x14ac:dyDescent="0.3">
      <c r="D106" s="1">
        <v>10</v>
      </c>
      <c r="E106" s="1" t="s">
        <v>567</v>
      </c>
      <c r="F106" s="169"/>
      <c r="V106" s="169"/>
      <c r="W106" s="170"/>
      <c r="BK106" s="171"/>
      <c r="BL106" s="173" t="s">
        <v>765</v>
      </c>
      <c r="BM106" s="173">
        <v>0.2</v>
      </c>
      <c r="BN106" s="174" t="s">
        <v>872</v>
      </c>
      <c r="BO106" s="174">
        <v>0.1</v>
      </c>
      <c r="BP106" s="172" t="s">
        <v>873</v>
      </c>
      <c r="BQ106" s="172">
        <v>0.15</v>
      </c>
      <c r="BR106" s="175" t="s">
        <v>874</v>
      </c>
      <c r="BS106" s="175">
        <v>0.3</v>
      </c>
      <c r="BU106" s="172" t="s">
        <v>875</v>
      </c>
      <c r="BV106" s="172">
        <v>0.1</v>
      </c>
      <c r="BX106" s="181">
        <f t="shared" si="2"/>
        <v>3</v>
      </c>
      <c r="BY106" s="174" t="str">
        <f t="shared" si="3"/>
        <v>3AF*</v>
      </c>
      <c r="BZ106" s="174">
        <v>0.1</v>
      </c>
      <c r="CE106" s="1" t="s">
        <v>876</v>
      </c>
      <c r="CF106" s="1" t="s">
        <v>877</v>
      </c>
      <c r="CG106" s="1" t="s">
        <v>878</v>
      </c>
    </row>
    <row r="107" spans="4:85" ht="15.75" customHeight="1" x14ac:dyDescent="0.3">
      <c r="D107" s="1">
        <v>10</v>
      </c>
      <c r="E107" s="1" t="s">
        <v>572</v>
      </c>
      <c r="F107" s="169"/>
      <c r="V107" s="169"/>
      <c r="W107" s="170"/>
      <c r="BK107" s="171"/>
      <c r="BL107" s="173"/>
      <c r="BM107" s="173"/>
      <c r="BN107" s="174" t="s">
        <v>879</v>
      </c>
      <c r="BO107" s="174">
        <v>0.1</v>
      </c>
      <c r="BP107" s="172" t="s">
        <v>880</v>
      </c>
      <c r="BQ107" s="172">
        <v>0.05</v>
      </c>
      <c r="BR107" s="175" t="s">
        <v>881</v>
      </c>
      <c r="BS107" s="175">
        <v>0.2</v>
      </c>
      <c r="BU107" s="172" t="s">
        <v>882</v>
      </c>
      <c r="BV107" s="172">
        <v>0.2</v>
      </c>
      <c r="BX107" s="181">
        <f t="shared" si="2"/>
        <v>4</v>
      </c>
      <c r="BY107" s="174" t="str">
        <f t="shared" si="3"/>
        <v>4SpSp</v>
      </c>
      <c r="BZ107" s="174">
        <v>0.1</v>
      </c>
      <c r="CE107" s="1" t="s">
        <v>883</v>
      </c>
      <c r="CF107" s="1" t="s">
        <v>884</v>
      </c>
      <c r="CG107" s="1" t="s">
        <v>885</v>
      </c>
    </row>
    <row r="108" spans="4:85" ht="15.75" customHeight="1" x14ac:dyDescent="0.3">
      <c r="F108" s="169"/>
      <c r="V108" s="169"/>
      <c r="W108" s="170"/>
      <c r="BK108" s="171"/>
      <c r="BL108" s="173"/>
      <c r="BM108" s="173"/>
      <c r="BN108" s="174" t="s">
        <v>886</v>
      </c>
      <c r="BO108" s="174">
        <v>0.15</v>
      </c>
      <c r="BP108" s="172" t="s">
        <v>887</v>
      </c>
      <c r="BQ108" s="172">
        <v>0.1</v>
      </c>
      <c r="BR108" s="175" t="s">
        <v>888</v>
      </c>
      <c r="BS108" s="175">
        <v>0.2</v>
      </c>
      <c r="BU108" s="172" t="s">
        <v>889</v>
      </c>
      <c r="BV108" s="172">
        <v>0.2</v>
      </c>
      <c r="BX108" s="181">
        <f t="shared" si="2"/>
        <v>3</v>
      </c>
      <c r="BY108" s="174" t="str">
        <f t="shared" si="3"/>
        <v>3SiF</v>
      </c>
      <c r="BZ108" s="174">
        <v>0.15</v>
      </c>
      <c r="CE108" s="1" t="s">
        <v>890</v>
      </c>
      <c r="CF108" s="1" t="s">
        <v>891</v>
      </c>
      <c r="CG108" s="1" t="s">
        <v>892</v>
      </c>
    </row>
    <row r="109" spans="4:85" ht="15.75" customHeight="1" x14ac:dyDescent="0.3">
      <c r="F109" s="169"/>
      <c r="V109" s="169"/>
      <c r="W109" s="170"/>
      <c r="BK109" s="171"/>
      <c r="BL109" s="173"/>
      <c r="BM109" s="173"/>
      <c r="BN109" s="174" t="s">
        <v>893</v>
      </c>
      <c r="BO109" s="174">
        <v>0.25</v>
      </c>
      <c r="BP109" s="172" t="s">
        <v>894</v>
      </c>
      <c r="BQ109" s="172">
        <v>0.2</v>
      </c>
      <c r="BR109" s="175" t="s">
        <v>895</v>
      </c>
      <c r="BS109" s="175">
        <v>0.1</v>
      </c>
      <c r="BU109" s="172" t="s">
        <v>896</v>
      </c>
      <c r="BV109" s="172">
        <v>0.1</v>
      </c>
      <c r="BX109" s="181">
        <f t="shared" si="2"/>
        <v>3</v>
      </c>
      <c r="BY109" s="174" t="str">
        <f t="shared" si="3"/>
        <v>3BBb</v>
      </c>
      <c r="BZ109" s="174">
        <v>0.25</v>
      </c>
      <c r="CE109" s="1" t="s">
        <v>897</v>
      </c>
      <c r="CF109" s="1" t="s">
        <v>898</v>
      </c>
      <c r="CG109" s="1" t="s">
        <v>899</v>
      </c>
    </row>
    <row r="110" spans="4:85" ht="15.75" customHeight="1" x14ac:dyDescent="0.3">
      <c r="F110" s="169"/>
      <c r="V110" s="169"/>
      <c r="W110" s="170"/>
      <c r="BK110" s="171"/>
      <c r="BL110" s="173"/>
      <c r="BM110" s="173"/>
      <c r="BN110" s="174" t="s">
        <v>900</v>
      </c>
      <c r="BO110" s="174">
        <v>0.1</v>
      </c>
      <c r="BP110" s="172" t="s">
        <v>901</v>
      </c>
      <c r="BQ110" s="172">
        <v>0.2</v>
      </c>
      <c r="BR110" s="175" t="s">
        <v>902</v>
      </c>
      <c r="BS110" s="175">
        <v>0.1</v>
      </c>
      <c r="BU110" s="172" t="s">
        <v>903</v>
      </c>
      <c r="BV110" s="172">
        <v>0.2</v>
      </c>
      <c r="BX110" s="181">
        <f t="shared" si="2"/>
        <v>3</v>
      </c>
      <c r="BY110" s="174" t="str">
        <f t="shared" si="3"/>
        <v>3Li*</v>
      </c>
      <c r="BZ110" s="174">
        <v>0.1</v>
      </c>
      <c r="CE110" s="1" t="s">
        <v>904</v>
      </c>
      <c r="CF110" s="1" t="s">
        <v>905</v>
      </c>
      <c r="CG110" s="1" t="s">
        <v>906</v>
      </c>
    </row>
    <row r="111" spans="4:85" ht="15.75" customHeight="1" x14ac:dyDescent="0.3">
      <c r="F111" s="169"/>
      <c r="V111" s="169"/>
      <c r="W111" s="170"/>
      <c r="BK111" s="171"/>
      <c r="BL111" s="173"/>
      <c r="BM111" s="173"/>
      <c r="BN111" s="174" t="s">
        <v>907</v>
      </c>
      <c r="BO111" s="174">
        <v>0.2</v>
      </c>
      <c r="BP111" s="172" t="s">
        <v>908</v>
      </c>
      <c r="BQ111" s="172">
        <v>0.2</v>
      </c>
      <c r="BR111" s="175" t="s">
        <v>909</v>
      </c>
      <c r="BS111" s="175">
        <v>0.1</v>
      </c>
      <c r="BU111" s="172" t="s">
        <v>910</v>
      </c>
      <c r="BV111" s="172">
        <v>0.05</v>
      </c>
      <c r="BX111" s="181">
        <f t="shared" si="2"/>
        <v>3</v>
      </c>
      <c r="BY111" s="174" t="str">
        <f t="shared" si="3"/>
        <v>3SiV</v>
      </c>
      <c r="BZ111" s="174">
        <v>0.2</v>
      </c>
      <c r="CE111" s="1" t="s">
        <v>911</v>
      </c>
      <c r="CF111" s="1" t="s">
        <v>912</v>
      </c>
      <c r="CG111" s="1" t="s">
        <v>913</v>
      </c>
    </row>
    <row r="112" spans="4:85" ht="15.75" customHeight="1" x14ac:dyDescent="0.3">
      <c r="F112" s="169"/>
      <c r="V112" s="169"/>
      <c r="W112" s="170"/>
      <c r="BK112" s="171"/>
      <c r="BL112" s="173"/>
      <c r="BM112" s="173"/>
      <c r="BN112" s="174" t="s">
        <v>914</v>
      </c>
      <c r="BO112" s="174">
        <v>0.35</v>
      </c>
      <c r="BP112" s="172" t="s">
        <v>915</v>
      </c>
      <c r="BQ112" s="172">
        <v>0.3</v>
      </c>
      <c r="BR112" s="175" t="s">
        <v>916</v>
      </c>
      <c r="BS112" s="175">
        <v>0.1</v>
      </c>
      <c r="BU112" s="172" t="s">
        <v>917</v>
      </c>
      <c r="BV112" s="172">
        <v>0.05</v>
      </c>
      <c r="BX112" s="181">
        <f t="shared" si="2"/>
        <v>3</v>
      </c>
      <c r="BY112" s="174" t="str">
        <f t="shared" si="3"/>
        <v>3AP/</v>
      </c>
      <c r="BZ112" s="174">
        <v>0.35</v>
      </c>
      <c r="CE112" s="1" t="s">
        <v>918</v>
      </c>
      <c r="CF112" s="1" t="s">
        <v>919</v>
      </c>
      <c r="CG112" s="1" t="s">
        <v>920</v>
      </c>
    </row>
    <row r="113" spans="4:85" ht="15.75" customHeight="1" x14ac:dyDescent="0.3">
      <c r="D113" s="1">
        <v>11</v>
      </c>
      <c r="E113" s="1" t="s">
        <v>33</v>
      </c>
      <c r="F113" s="169"/>
      <c r="V113" s="169"/>
      <c r="W113" s="170"/>
      <c r="BK113" s="171"/>
      <c r="BL113" s="173"/>
      <c r="BM113" s="173"/>
      <c r="BN113" s="174" t="s">
        <v>921</v>
      </c>
      <c r="BO113" s="174">
        <v>0.3</v>
      </c>
      <c r="BP113" s="172" t="s">
        <v>922</v>
      </c>
      <c r="BQ113" s="172">
        <v>0.15</v>
      </c>
      <c r="BR113" s="175" t="s">
        <v>923</v>
      </c>
      <c r="BS113" s="175">
        <v>0.3</v>
      </c>
      <c r="BU113" s="172" t="s">
        <v>924</v>
      </c>
      <c r="BV113" s="172">
        <v>0.05</v>
      </c>
      <c r="BX113" s="181">
        <f t="shared" si="2"/>
        <v>3</v>
      </c>
      <c r="BY113" s="174" t="str">
        <f t="shared" si="3"/>
        <v>3PH*</v>
      </c>
      <c r="BZ113" s="174">
        <v>0.3</v>
      </c>
      <c r="CE113" s="1" t="s">
        <v>925</v>
      </c>
      <c r="CF113" s="1" t="s">
        <v>926</v>
      </c>
      <c r="CG113" s="1" t="s">
        <v>927</v>
      </c>
    </row>
    <row r="114" spans="4:85" ht="15.75" customHeight="1" x14ac:dyDescent="0.3">
      <c r="D114" s="1">
        <v>11</v>
      </c>
      <c r="E114" s="1" t="s">
        <v>34</v>
      </c>
      <c r="F114" s="169"/>
      <c r="V114" s="169"/>
      <c r="W114" s="170"/>
      <c r="BK114" s="171"/>
      <c r="BL114" s="173"/>
      <c r="BM114" s="173"/>
      <c r="BN114" s="174" t="s">
        <v>928</v>
      </c>
      <c r="BO114" s="174">
        <v>0.55000000000000004</v>
      </c>
      <c r="BP114" s="172" t="s">
        <v>929</v>
      </c>
      <c r="BQ114" s="172">
        <v>0.15</v>
      </c>
      <c r="BR114" s="175" t="s">
        <v>930</v>
      </c>
      <c r="BS114" s="175">
        <v>0.05</v>
      </c>
      <c r="BU114" s="172" t="s">
        <v>931</v>
      </c>
      <c r="BV114" s="172">
        <v>0.05</v>
      </c>
      <c r="BX114" s="181">
        <f t="shared" si="2"/>
        <v>4</v>
      </c>
      <c r="BY114" s="174" t="str">
        <f t="shared" si="3"/>
        <v>4FHP/</v>
      </c>
      <c r="BZ114" s="174">
        <v>0.55000000000000004</v>
      </c>
      <c r="CE114" s="1" t="s">
        <v>932</v>
      </c>
      <c r="CF114" s="1" t="s">
        <v>933</v>
      </c>
      <c r="CG114" s="1" t="s">
        <v>934</v>
      </c>
    </row>
    <row r="115" spans="4:85" ht="15.75" customHeight="1" x14ac:dyDescent="0.3">
      <c r="D115" s="1">
        <v>11</v>
      </c>
      <c r="E115" s="1" t="s">
        <v>35</v>
      </c>
      <c r="F115" s="169"/>
      <c r="V115" s="169"/>
      <c r="W115" s="170"/>
      <c r="BK115" s="171"/>
      <c r="BL115" s="173"/>
      <c r="BM115" s="173"/>
      <c r="BN115" s="174" t="s">
        <v>935</v>
      </c>
      <c r="BO115" s="174">
        <v>0.5</v>
      </c>
      <c r="BP115" s="172" t="s">
        <v>936</v>
      </c>
      <c r="BQ115" s="172">
        <v>0.2</v>
      </c>
      <c r="BR115" s="175" t="s">
        <v>937</v>
      </c>
      <c r="BS115" s="175">
        <v>0.1</v>
      </c>
      <c r="BU115" s="172" t="s">
        <v>938</v>
      </c>
      <c r="BV115" s="172">
        <v>0.1</v>
      </c>
      <c r="BX115" s="181">
        <f t="shared" si="2"/>
        <v>3</v>
      </c>
      <c r="BY115" s="174" t="str">
        <f t="shared" si="3"/>
        <v>3FF*</v>
      </c>
      <c r="BZ115" s="174">
        <v>0.5</v>
      </c>
      <c r="CE115" s="1" t="s">
        <v>939</v>
      </c>
      <c r="CF115" s="1" t="s">
        <v>940</v>
      </c>
      <c r="CG115" s="1" t="s">
        <v>941</v>
      </c>
    </row>
    <row r="116" spans="4:85" ht="15.75" customHeight="1" x14ac:dyDescent="0.3">
      <c r="D116" s="1">
        <v>11</v>
      </c>
      <c r="E116" s="1" t="s">
        <v>41</v>
      </c>
      <c r="F116" s="169"/>
      <c r="V116" s="169"/>
      <c r="W116" s="170"/>
      <c r="BK116" s="171"/>
      <c r="BL116" s="173"/>
      <c r="BM116" s="173"/>
      <c r="BN116" s="174" t="s">
        <v>942</v>
      </c>
      <c r="BO116" s="174">
        <v>0.1</v>
      </c>
      <c r="BP116" s="172" t="s">
        <v>943</v>
      </c>
      <c r="BQ116" s="172">
        <v>0.15</v>
      </c>
      <c r="BR116" s="175" t="s">
        <v>944</v>
      </c>
      <c r="BS116" s="175">
        <v>0.1</v>
      </c>
      <c r="BU116" s="172" t="s">
        <v>945</v>
      </c>
      <c r="BV116" s="172">
        <v>0.1</v>
      </c>
      <c r="BX116" s="181">
        <f t="shared" si="2"/>
        <v>3</v>
      </c>
      <c r="BY116" s="174" t="str">
        <f t="shared" si="3"/>
        <v>3AL/</v>
      </c>
      <c r="BZ116" s="174">
        <v>0.1</v>
      </c>
      <c r="CE116" s="1" t="s">
        <v>946</v>
      </c>
      <c r="CF116" s="1" t="s">
        <v>947</v>
      </c>
      <c r="CG116" s="1" t="s">
        <v>948</v>
      </c>
    </row>
    <row r="117" spans="4:85" ht="15.75" customHeight="1" x14ac:dyDescent="0.3">
      <c r="D117" s="1">
        <v>11</v>
      </c>
      <c r="E117" s="1" t="s">
        <v>557</v>
      </c>
      <c r="F117" s="169"/>
      <c r="V117" s="169"/>
      <c r="W117" s="170"/>
      <c r="BK117" s="171"/>
      <c r="BL117" s="173"/>
      <c r="BM117" s="173"/>
      <c r="BN117" s="174" t="s">
        <v>949</v>
      </c>
      <c r="BO117" s="174">
        <v>0.4</v>
      </c>
      <c r="BP117" s="172" t="s">
        <v>950</v>
      </c>
      <c r="BQ117" s="172">
        <v>0.25</v>
      </c>
      <c r="BR117" s="175" t="s">
        <v>951</v>
      </c>
      <c r="BS117" s="175">
        <v>0.1</v>
      </c>
      <c r="BU117" s="172" t="s">
        <v>952</v>
      </c>
      <c r="BV117" s="172">
        <v>0.1</v>
      </c>
      <c r="BX117" s="181">
        <f t="shared" si="2"/>
        <v>3</v>
      </c>
      <c r="BY117" s="174" t="str">
        <f t="shared" si="3"/>
        <v>3FP*</v>
      </c>
      <c r="BZ117" s="174">
        <v>0.4</v>
      </c>
      <c r="CE117" s="1" t="s">
        <v>953</v>
      </c>
      <c r="CF117" s="1" t="s">
        <v>954</v>
      </c>
      <c r="CG117" s="1" t="s">
        <v>955</v>
      </c>
    </row>
    <row r="118" spans="4:85" ht="15.75" customHeight="1" x14ac:dyDescent="0.3">
      <c r="D118" s="1">
        <v>11</v>
      </c>
      <c r="E118" s="1" t="s">
        <v>562</v>
      </c>
      <c r="F118" s="169"/>
      <c r="V118" s="169"/>
      <c r="W118" s="170"/>
      <c r="BK118" s="171"/>
      <c r="BL118" s="173"/>
      <c r="BM118" s="173"/>
      <c r="BN118" s="174" t="s">
        <v>956</v>
      </c>
      <c r="BO118" s="174">
        <v>0.1</v>
      </c>
      <c r="BP118" s="172" t="s">
        <v>957</v>
      </c>
      <c r="BQ118" s="172">
        <v>0.25</v>
      </c>
      <c r="BR118" s="175" t="s">
        <v>958</v>
      </c>
      <c r="BS118" s="175">
        <v>0.3</v>
      </c>
      <c r="BU118" s="172" t="s">
        <v>959</v>
      </c>
      <c r="BV118" s="172">
        <v>0.05</v>
      </c>
      <c r="BX118" s="181">
        <f t="shared" si="2"/>
        <v>4</v>
      </c>
      <c r="BY118" s="174" t="str">
        <f t="shared" si="3"/>
        <v>4SiF*</v>
      </c>
      <c r="BZ118" s="174">
        <v>0.1</v>
      </c>
      <c r="CE118" s="1" t="s">
        <v>960</v>
      </c>
      <c r="CF118" s="1" t="s">
        <v>961</v>
      </c>
      <c r="CG118" s="1" t="s">
        <v>962</v>
      </c>
    </row>
    <row r="119" spans="4:85" ht="15.75" customHeight="1" x14ac:dyDescent="0.3">
      <c r="D119" s="1">
        <v>11</v>
      </c>
      <c r="E119" s="1" t="s">
        <v>567</v>
      </c>
      <c r="F119" s="169"/>
      <c r="V119" s="169"/>
      <c r="W119" s="170"/>
      <c r="BK119" s="171"/>
      <c r="BL119" s="173"/>
      <c r="BM119" s="173"/>
      <c r="BN119" s="174" t="s">
        <v>963</v>
      </c>
      <c r="BO119" s="174">
        <v>0.1</v>
      </c>
      <c r="BP119" s="172" t="s">
        <v>964</v>
      </c>
      <c r="BQ119" s="172">
        <v>0.25</v>
      </c>
      <c r="BR119" s="175" t="s">
        <v>965</v>
      </c>
      <c r="BS119" s="175">
        <v>0.1</v>
      </c>
      <c r="BU119" s="172" t="s">
        <v>966</v>
      </c>
      <c r="BV119" s="172">
        <v>0.1</v>
      </c>
      <c r="BX119" s="181">
        <f t="shared" si="2"/>
        <v>3</v>
      </c>
      <c r="BY119" s="174" t="str">
        <f t="shared" si="3"/>
        <v>3AP\</v>
      </c>
      <c r="BZ119" s="174">
        <v>0.1</v>
      </c>
      <c r="CE119" s="1" t="s">
        <v>967</v>
      </c>
      <c r="CF119" s="1" t="s">
        <v>968</v>
      </c>
      <c r="CG119" s="1" t="s">
        <v>969</v>
      </c>
    </row>
    <row r="120" spans="4:85" ht="15.75" customHeight="1" x14ac:dyDescent="0.3">
      <c r="D120" s="1">
        <v>11</v>
      </c>
      <c r="E120" s="1" t="s">
        <v>572</v>
      </c>
      <c r="F120" s="169"/>
      <c r="V120" s="169"/>
      <c r="W120" s="170"/>
      <c r="BK120" s="171"/>
      <c r="BL120" s="173"/>
      <c r="BM120" s="173"/>
      <c r="BN120" s="174" t="s">
        <v>970</v>
      </c>
      <c r="BO120" s="174">
        <v>0.15</v>
      </c>
      <c r="BP120" s="172" t="s">
        <v>971</v>
      </c>
      <c r="BQ120" s="172">
        <v>0.3</v>
      </c>
      <c r="BR120" s="175" t="s">
        <v>972</v>
      </c>
      <c r="BS120" s="175">
        <v>0.1</v>
      </c>
      <c r="BU120" s="172" t="s">
        <v>973</v>
      </c>
      <c r="BV120" s="172">
        <v>0.1</v>
      </c>
      <c r="BX120" s="181">
        <f t="shared" si="2"/>
        <v>5</v>
      </c>
      <c r="BY120" s="174" t="str">
        <f t="shared" si="3"/>
        <v>5SF+FB</v>
      </c>
      <c r="BZ120" s="174">
        <v>0.15</v>
      </c>
      <c r="CE120" s="1" t="s">
        <v>974</v>
      </c>
      <c r="CF120" s="1" t="s">
        <v>975</v>
      </c>
      <c r="CG120" s="1" t="s">
        <v>976</v>
      </c>
    </row>
    <row r="121" spans="4:85" ht="15.75" customHeight="1" x14ac:dyDescent="0.3">
      <c r="F121" s="169"/>
      <c r="V121" s="169"/>
      <c r="W121" s="170"/>
      <c r="BK121" s="171"/>
      <c r="BL121" s="173"/>
      <c r="BM121" s="173"/>
      <c r="BN121" s="174" t="s">
        <v>977</v>
      </c>
      <c r="BO121" s="174">
        <v>1.5</v>
      </c>
      <c r="BP121" s="172" t="s">
        <v>978</v>
      </c>
      <c r="BQ121" s="172">
        <v>0.3</v>
      </c>
      <c r="BR121" s="175" t="s">
        <v>979</v>
      </c>
      <c r="BS121" s="175">
        <v>0.1</v>
      </c>
      <c r="BU121" s="172" t="s">
        <v>980</v>
      </c>
      <c r="BV121" s="172">
        <v>0.45</v>
      </c>
      <c r="BX121" s="181">
        <f t="shared" si="2"/>
        <v>4</v>
      </c>
      <c r="BY121" s="174" t="str">
        <f t="shared" si="3"/>
        <v>4Px1P</v>
      </c>
      <c r="BZ121" s="174">
        <v>1.5</v>
      </c>
      <c r="CE121" s="1" t="s">
        <v>981</v>
      </c>
      <c r="CF121" s="1" t="s">
        <v>982</v>
      </c>
      <c r="CG121" s="1" t="s">
        <v>983</v>
      </c>
    </row>
    <row r="122" spans="4:85" ht="15.75" customHeight="1" x14ac:dyDescent="0.3">
      <c r="F122" s="169"/>
      <c r="V122" s="169"/>
      <c r="W122" s="170"/>
      <c r="BK122" s="171"/>
      <c r="BL122" s="173"/>
      <c r="BM122" s="173"/>
      <c r="BN122" s="174" t="s">
        <v>984</v>
      </c>
      <c r="BO122" s="174">
        <v>0.3</v>
      </c>
      <c r="BP122" s="172" t="s">
        <v>985</v>
      </c>
      <c r="BQ122" s="172">
        <v>0.35</v>
      </c>
      <c r="BR122" s="175" t="s">
        <v>986</v>
      </c>
      <c r="BS122" s="175">
        <v>0.2</v>
      </c>
      <c r="BU122" s="172" t="s">
        <v>987</v>
      </c>
      <c r="BV122" s="172">
        <v>0.05</v>
      </c>
      <c r="BX122" s="181">
        <f t="shared" si="2"/>
        <v>4</v>
      </c>
      <c r="BY122" s="174" t="str">
        <f t="shared" si="3"/>
        <v>4SiF1</v>
      </c>
      <c r="BZ122" s="174">
        <v>0.3</v>
      </c>
      <c r="CE122" s="1" t="s">
        <v>988</v>
      </c>
      <c r="CF122" s="1" t="s">
        <v>989</v>
      </c>
      <c r="CG122" s="1" t="s">
        <v>990</v>
      </c>
    </row>
    <row r="123" spans="4:85" ht="15.75" customHeight="1" x14ac:dyDescent="0.3">
      <c r="D123" s="1">
        <v>12</v>
      </c>
      <c r="E123" s="1" t="s">
        <v>33</v>
      </c>
      <c r="F123" s="169"/>
      <c r="V123" s="169"/>
      <c r="W123" s="170"/>
      <c r="BK123" s="171"/>
      <c r="BL123" s="173"/>
      <c r="BM123" s="173"/>
      <c r="BN123" s="174" t="s">
        <v>991</v>
      </c>
      <c r="BO123" s="174">
        <v>1.8</v>
      </c>
      <c r="BP123" s="172" t="s">
        <v>992</v>
      </c>
      <c r="BQ123" s="172">
        <v>0.6</v>
      </c>
      <c r="BR123" s="175" t="s">
        <v>993</v>
      </c>
      <c r="BS123" s="175">
        <v>0.1</v>
      </c>
      <c r="BU123" s="172" t="s">
        <v>994</v>
      </c>
      <c r="BV123" s="172">
        <v>0.15</v>
      </c>
      <c r="BX123" s="181">
        <f t="shared" si="2"/>
        <v>4</v>
      </c>
      <c r="BY123" s="174" t="str">
        <f t="shared" si="3"/>
        <v>41P1P</v>
      </c>
      <c r="BZ123" s="174"/>
      <c r="CE123" s="1" t="s">
        <v>995</v>
      </c>
      <c r="CF123" s="1" t="s">
        <v>996</v>
      </c>
      <c r="CG123" s="1" t="s">
        <v>997</v>
      </c>
    </row>
    <row r="124" spans="4:85" ht="15.75" customHeight="1" x14ac:dyDescent="0.3">
      <c r="D124" s="1">
        <v>12</v>
      </c>
      <c r="E124" s="1" t="s">
        <v>35</v>
      </c>
      <c r="F124" s="169"/>
      <c r="V124" s="169"/>
      <c r="W124" s="170"/>
      <c r="BK124" s="171"/>
      <c r="BL124" s="173"/>
      <c r="BM124" s="173"/>
      <c r="BN124" s="174"/>
      <c r="BO124" s="174"/>
      <c r="BP124" s="172" t="s">
        <v>998</v>
      </c>
      <c r="BQ124" s="172">
        <v>0.2</v>
      </c>
      <c r="BR124" s="175" t="s">
        <v>999</v>
      </c>
      <c r="BS124" s="175">
        <v>0.1</v>
      </c>
      <c r="BU124" s="172" t="s">
        <v>1000</v>
      </c>
      <c r="BV124" s="172">
        <v>0.1</v>
      </c>
      <c r="BX124" s="181"/>
      <c r="BY124" s="174"/>
      <c r="BZ124" s="174"/>
      <c r="CE124" s="1" t="s">
        <v>1001</v>
      </c>
      <c r="CF124" s="1" t="s">
        <v>1002</v>
      </c>
      <c r="CG124" s="1" t="s">
        <v>1003</v>
      </c>
    </row>
    <row r="125" spans="4:85" ht="15.75" customHeight="1" x14ac:dyDescent="0.3">
      <c r="D125" s="1">
        <v>12</v>
      </c>
      <c r="E125" s="1" t="s">
        <v>557</v>
      </c>
      <c r="F125" s="169"/>
      <c r="V125" s="169"/>
      <c r="W125" s="170"/>
      <c r="BK125" s="171"/>
      <c r="BL125" s="173"/>
      <c r="BM125" s="173"/>
      <c r="BN125" s="174"/>
      <c r="BO125" s="174"/>
      <c r="BP125" s="172" t="s">
        <v>1004</v>
      </c>
      <c r="BQ125" s="172">
        <v>0.25</v>
      </c>
      <c r="BR125" s="175" t="s">
        <v>1005</v>
      </c>
      <c r="BS125" s="175">
        <v>0.25</v>
      </c>
      <c r="BU125" s="172" t="s">
        <v>1006</v>
      </c>
      <c r="BV125" s="172">
        <v>0.1</v>
      </c>
      <c r="BX125" s="181"/>
      <c r="BY125" s="174"/>
      <c r="BZ125" s="174"/>
      <c r="CE125" s="1" t="s">
        <v>1007</v>
      </c>
      <c r="CF125" s="1" t="s">
        <v>1008</v>
      </c>
      <c r="CG125" s="1" t="s">
        <v>1009</v>
      </c>
    </row>
    <row r="126" spans="4:85" ht="15.75" customHeight="1" x14ac:dyDescent="0.3">
      <c r="D126" s="1">
        <v>12</v>
      </c>
      <c r="E126" s="1" t="s">
        <v>562</v>
      </c>
      <c r="F126" s="169"/>
      <c r="V126" s="169"/>
      <c r="W126" s="170"/>
      <c r="BK126" s="171"/>
      <c r="BL126" s="173"/>
      <c r="BM126" s="173"/>
      <c r="BN126" s="174"/>
      <c r="BO126" s="174"/>
      <c r="BP126" s="172" t="s">
        <v>1010</v>
      </c>
      <c r="BQ126" s="172">
        <v>0.3</v>
      </c>
      <c r="BR126" s="175" t="s">
        <v>1011</v>
      </c>
      <c r="BS126" s="175">
        <v>0.05</v>
      </c>
      <c r="BU126" s="172" t="s">
        <v>1012</v>
      </c>
      <c r="BV126" s="172">
        <v>0.2</v>
      </c>
      <c r="BX126" s="181"/>
      <c r="BY126" s="174"/>
      <c r="BZ126" s="174"/>
      <c r="CE126" s="1" t="s">
        <v>1013</v>
      </c>
      <c r="CF126" s="1" t="s">
        <v>1014</v>
      </c>
      <c r="CG126" s="1" t="s">
        <v>1015</v>
      </c>
    </row>
    <row r="127" spans="4:85" ht="15.75" customHeight="1" x14ac:dyDescent="0.3">
      <c r="D127" s="1">
        <v>12</v>
      </c>
      <c r="E127" s="1" t="s">
        <v>567</v>
      </c>
      <c r="F127" s="169"/>
      <c r="V127" s="169"/>
      <c r="W127" s="170"/>
      <c r="BK127" s="171"/>
      <c r="BL127" s="173"/>
      <c r="BM127" s="173"/>
      <c r="BN127" s="174"/>
      <c r="BO127" s="174"/>
      <c r="BP127" s="172" t="s">
        <v>1016</v>
      </c>
      <c r="BQ127" s="172">
        <v>0.3</v>
      </c>
      <c r="BR127" s="175" t="s">
        <v>1017</v>
      </c>
      <c r="BS127" s="175">
        <v>0.15</v>
      </c>
      <c r="BU127" s="172" t="s">
        <v>1018</v>
      </c>
      <c r="BV127" s="172">
        <v>0.15</v>
      </c>
      <c r="BX127" s="181"/>
      <c r="BY127" s="174"/>
      <c r="BZ127" s="174"/>
      <c r="CE127" s="1" t="s">
        <v>1019</v>
      </c>
      <c r="CF127" s="1" t="s">
        <v>1020</v>
      </c>
      <c r="CG127" s="1" t="s">
        <v>1021</v>
      </c>
    </row>
    <row r="128" spans="4:85" ht="15.75" customHeight="1" x14ac:dyDescent="0.3">
      <c r="D128" s="1">
        <v>12</v>
      </c>
      <c r="E128" s="1" t="s">
        <v>572</v>
      </c>
      <c r="F128" s="169"/>
      <c r="V128" s="169"/>
      <c r="W128" s="170"/>
      <c r="BK128" s="171"/>
      <c r="BL128" s="173"/>
      <c r="BM128" s="173"/>
      <c r="BN128" s="174"/>
      <c r="BO128" s="174"/>
      <c r="BP128" s="172" t="s">
        <v>1022</v>
      </c>
      <c r="BQ128" s="172">
        <v>0.35</v>
      </c>
      <c r="BR128" s="175" t="s">
        <v>1023</v>
      </c>
      <c r="BS128" s="175">
        <v>0.2</v>
      </c>
      <c r="BU128" s="172" t="s">
        <v>1024</v>
      </c>
      <c r="BV128" s="172">
        <v>0.15</v>
      </c>
      <c r="BX128" s="182"/>
      <c r="CE128" s="1" t="s">
        <v>1025</v>
      </c>
      <c r="CF128" s="1" t="s">
        <v>1026</v>
      </c>
      <c r="CG128" s="1" t="s">
        <v>1027</v>
      </c>
    </row>
    <row r="129" spans="5:85" ht="15.75" customHeight="1" x14ac:dyDescent="0.3">
      <c r="F129" s="169"/>
      <c r="V129" s="169"/>
      <c r="W129" s="170"/>
      <c r="BK129" s="171"/>
      <c r="BL129" s="173"/>
      <c r="BM129" s="173"/>
      <c r="BN129" s="174"/>
      <c r="BO129" s="174"/>
      <c r="BP129" s="172" t="s">
        <v>1028</v>
      </c>
      <c r="BQ129" s="172">
        <v>0.35</v>
      </c>
      <c r="BR129" s="175" t="s">
        <v>1029</v>
      </c>
      <c r="BS129" s="175">
        <v>0.95</v>
      </c>
      <c r="BU129" s="172" t="s">
        <v>1030</v>
      </c>
      <c r="BV129" s="172">
        <v>0.2</v>
      </c>
      <c r="CE129" s="1" t="s">
        <v>1031</v>
      </c>
      <c r="CF129" s="1" t="s">
        <v>1032</v>
      </c>
      <c r="CG129" s="1" t="s">
        <v>1033</v>
      </c>
    </row>
    <row r="130" spans="5:85" ht="15.75" customHeight="1" x14ac:dyDescent="0.3">
      <c r="F130" s="169"/>
      <c r="V130" s="169"/>
      <c r="W130" s="170"/>
      <c r="BK130" s="171"/>
      <c r="BL130" s="173"/>
      <c r="BM130" s="173"/>
      <c r="BN130" s="174"/>
      <c r="BO130" s="174"/>
      <c r="BP130" s="172" t="s">
        <v>1034</v>
      </c>
      <c r="BQ130" s="172">
        <v>0.4</v>
      </c>
      <c r="BR130" s="175" t="s">
        <v>1035</v>
      </c>
      <c r="BS130" s="175">
        <v>0.2</v>
      </c>
      <c r="BU130" s="172" t="s">
        <v>1036</v>
      </c>
      <c r="BV130" s="172">
        <v>0.15</v>
      </c>
      <c r="CE130" s="1" t="s">
        <v>1037</v>
      </c>
      <c r="CF130" s="1" t="s">
        <v>1038</v>
      </c>
      <c r="CG130" s="1" t="s">
        <v>1039</v>
      </c>
    </row>
    <row r="131" spans="5:85" ht="15.75" customHeight="1" x14ac:dyDescent="0.3">
      <c r="F131" s="169"/>
      <c r="V131" s="169"/>
      <c r="W131" s="170"/>
      <c r="BK131" s="171"/>
      <c r="BL131" s="173"/>
      <c r="BM131" s="173"/>
      <c r="BN131" s="174"/>
      <c r="BO131" s="174"/>
      <c r="BP131" s="172" t="s">
        <v>1040</v>
      </c>
      <c r="BQ131" s="172">
        <v>0.4</v>
      </c>
      <c r="BR131" s="175"/>
      <c r="BS131" s="175"/>
      <c r="BU131" s="172" t="s">
        <v>1041</v>
      </c>
      <c r="BV131" s="172">
        <v>0.2</v>
      </c>
      <c r="CE131" s="1" t="s">
        <v>1042</v>
      </c>
      <c r="CF131" s="1" t="s">
        <v>1043</v>
      </c>
      <c r="CG131" s="1" t="s">
        <v>1044</v>
      </c>
    </row>
    <row r="132" spans="5:85" ht="15.75" customHeight="1" x14ac:dyDescent="0.3">
      <c r="F132" s="169"/>
      <c r="V132" s="169"/>
      <c r="W132" s="170"/>
      <c r="BK132" s="171"/>
      <c r="BL132" s="173"/>
      <c r="BM132" s="173"/>
      <c r="BN132" s="174"/>
      <c r="BO132" s="174"/>
      <c r="BP132" s="172" t="s">
        <v>1045</v>
      </c>
      <c r="BQ132" s="172">
        <v>0.45</v>
      </c>
      <c r="BR132" s="175"/>
      <c r="BS132" s="175"/>
      <c r="BU132" s="172" t="s">
        <v>1046</v>
      </c>
      <c r="BV132" s="172">
        <v>0.2</v>
      </c>
      <c r="CE132" s="1" t="s">
        <v>1047</v>
      </c>
      <c r="CF132" s="1" t="s">
        <v>1048</v>
      </c>
      <c r="CG132" s="1" t="s">
        <v>1049</v>
      </c>
    </row>
    <row r="133" spans="5:85" ht="15.75" customHeight="1" x14ac:dyDescent="0.3">
      <c r="F133" s="169"/>
      <c r="V133" s="169"/>
      <c r="W133" s="170"/>
      <c r="BK133" s="171"/>
      <c r="BL133" s="173"/>
      <c r="BM133" s="173"/>
      <c r="BN133" s="174"/>
      <c r="BO133" s="174"/>
      <c r="BP133" s="172" t="s">
        <v>1050</v>
      </c>
      <c r="BQ133" s="172">
        <v>0.45</v>
      </c>
      <c r="BR133" s="175"/>
      <c r="BS133" s="175"/>
      <c r="BU133" s="172" t="s">
        <v>1051</v>
      </c>
      <c r="BV133" s="172">
        <v>0.3</v>
      </c>
      <c r="CE133" s="1" t="s">
        <v>1052</v>
      </c>
      <c r="CF133" s="1" t="s">
        <v>1053</v>
      </c>
      <c r="CG133" s="1" t="s">
        <v>1054</v>
      </c>
    </row>
    <row r="134" spans="5:85" ht="15.75" customHeight="1" x14ac:dyDescent="0.3">
      <c r="F134" s="169"/>
      <c r="V134" s="169"/>
      <c r="W134" s="170"/>
      <c r="BK134" s="171"/>
      <c r="BL134" s="173"/>
      <c r="BM134" s="173"/>
      <c r="BN134" s="174"/>
      <c r="BO134" s="174"/>
      <c r="BP134" s="172" t="s">
        <v>1055</v>
      </c>
      <c r="BQ134" s="172">
        <v>0.45</v>
      </c>
      <c r="BR134" s="175"/>
      <c r="BS134" s="175"/>
      <c r="BU134" s="172" t="s">
        <v>1056</v>
      </c>
      <c r="BV134" s="172">
        <v>0.5</v>
      </c>
      <c r="CE134" s="1" t="s">
        <v>1057</v>
      </c>
      <c r="CF134" s="1" t="s">
        <v>1058</v>
      </c>
      <c r="CG134" s="1" t="s">
        <v>1059</v>
      </c>
    </row>
    <row r="135" spans="5:85" ht="15.75" customHeight="1" x14ac:dyDescent="0.3">
      <c r="F135" s="169"/>
      <c r="V135" s="169"/>
      <c r="W135" s="170"/>
      <c r="BK135" s="171"/>
      <c r="BL135" s="173"/>
      <c r="BM135" s="173"/>
      <c r="BN135" s="174"/>
      <c r="BO135" s="174"/>
      <c r="BP135" s="172" t="s">
        <v>1060</v>
      </c>
      <c r="BQ135" s="172">
        <v>0.6</v>
      </c>
      <c r="BR135" s="175"/>
      <c r="BS135" s="175"/>
      <c r="BU135" s="172"/>
      <c r="BV135" s="172"/>
      <c r="CE135" s="1" t="s">
        <v>1061</v>
      </c>
      <c r="CF135" s="1" t="s">
        <v>1062</v>
      </c>
      <c r="CG135" s="1" t="s">
        <v>1063</v>
      </c>
    </row>
    <row r="136" spans="5:85" ht="15.75" customHeight="1" x14ac:dyDescent="0.3">
      <c r="F136" s="169"/>
      <c r="V136" s="169"/>
      <c r="W136" s="170"/>
      <c r="BK136" s="171"/>
      <c r="BL136" s="173"/>
      <c r="BM136" s="173"/>
      <c r="BN136" s="174"/>
      <c r="BO136" s="174"/>
      <c r="BP136" s="172" t="s">
        <v>1064</v>
      </c>
      <c r="BQ136" s="172">
        <v>1</v>
      </c>
      <c r="BR136" s="175"/>
      <c r="BS136" s="175"/>
      <c r="BU136" s="172"/>
      <c r="BV136" s="172"/>
      <c r="CE136" s="1" t="s">
        <v>1065</v>
      </c>
      <c r="CF136" s="1" t="s">
        <v>1066</v>
      </c>
      <c r="CG136" s="1" t="s">
        <v>1067</v>
      </c>
    </row>
    <row r="137" spans="5:85" ht="15.75" customHeight="1" x14ac:dyDescent="0.3">
      <c r="F137" s="169"/>
      <c r="V137" s="169"/>
      <c r="W137" s="170"/>
      <c r="BK137" s="171">
        <v>5</v>
      </c>
      <c r="BL137" s="173"/>
      <c r="BM137" s="173"/>
      <c r="BN137" s="174" t="s">
        <v>782</v>
      </c>
      <c r="BO137" s="174">
        <v>0.1</v>
      </c>
      <c r="BP137" s="172"/>
      <c r="BQ137" s="172"/>
      <c r="BR137" s="175" t="s">
        <v>782</v>
      </c>
      <c r="BS137" s="175">
        <v>0.1</v>
      </c>
      <c r="BU137" s="172"/>
      <c r="BV137" s="172"/>
      <c r="CE137" s="1" t="s">
        <v>1068</v>
      </c>
      <c r="CF137" s="1" t="s">
        <v>1069</v>
      </c>
      <c r="CG137" s="1" t="s">
        <v>1070</v>
      </c>
    </row>
    <row r="138" spans="5:85" ht="15.75" customHeight="1" x14ac:dyDescent="0.3">
      <c r="F138" s="169"/>
      <c r="V138" s="169"/>
      <c r="W138" s="170"/>
      <c r="BK138" s="171"/>
      <c r="BL138" s="173"/>
      <c r="BM138" s="173"/>
      <c r="BN138" s="174" t="s">
        <v>789</v>
      </c>
      <c r="BO138" s="174">
        <v>0.15</v>
      </c>
      <c r="BP138" s="172" t="s">
        <v>1071</v>
      </c>
      <c r="BQ138" s="172">
        <v>0.05</v>
      </c>
      <c r="BR138" s="175" t="s">
        <v>789</v>
      </c>
      <c r="BS138" s="175">
        <v>0.15</v>
      </c>
      <c r="BU138" s="172"/>
      <c r="BV138" s="172"/>
      <c r="CE138" s="1" t="s">
        <v>1072</v>
      </c>
      <c r="CF138" s="1" t="s">
        <v>1073</v>
      </c>
      <c r="CG138" s="1" t="s">
        <v>1074</v>
      </c>
    </row>
    <row r="139" spans="5:85" ht="15.75" customHeight="1" x14ac:dyDescent="0.3">
      <c r="F139" s="169"/>
      <c r="V139" s="169"/>
      <c r="W139" s="170"/>
      <c r="BK139" s="171"/>
      <c r="BL139" s="173"/>
      <c r="BM139" s="173"/>
      <c r="BN139" s="174" t="s">
        <v>796</v>
      </c>
      <c r="BO139" s="174">
        <v>0.2</v>
      </c>
      <c r="BP139" s="172" t="s">
        <v>1075</v>
      </c>
      <c r="BQ139" s="172">
        <v>0.1</v>
      </c>
      <c r="BR139" s="175" t="s">
        <v>796</v>
      </c>
      <c r="BS139" s="175">
        <v>0.2</v>
      </c>
      <c r="BU139" s="172"/>
      <c r="BV139" s="172"/>
      <c r="CE139" s="1" t="s">
        <v>1076</v>
      </c>
      <c r="CF139" s="1" t="s">
        <v>1077</v>
      </c>
      <c r="CG139" s="1" t="s">
        <v>1078</v>
      </c>
    </row>
    <row r="140" spans="5:85" ht="15.75" customHeight="1" x14ac:dyDescent="0.3">
      <c r="E140" s="1" t="s">
        <v>420</v>
      </c>
      <c r="F140" s="169"/>
      <c r="V140" s="169"/>
      <c r="W140" s="170"/>
      <c r="BK140" s="171"/>
      <c r="BL140" s="173"/>
      <c r="BM140" s="173"/>
      <c r="BN140" s="174" t="s">
        <v>803</v>
      </c>
      <c r="BO140" s="174">
        <v>0.25</v>
      </c>
      <c r="BP140" s="172" t="s">
        <v>1079</v>
      </c>
      <c r="BQ140" s="172">
        <v>0.05</v>
      </c>
      <c r="BR140" s="175" t="s">
        <v>803</v>
      </c>
      <c r="BS140" s="175">
        <v>0.25</v>
      </c>
      <c r="BU140" s="172"/>
      <c r="BV140" s="172"/>
      <c r="CE140" s="1" t="s">
        <v>1080</v>
      </c>
      <c r="CF140" s="1" t="s">
        <v>1081</v>
      </c>
      <c r="CG140" s="1" t="s">
        <v>1082</v>
      </c>
    </row>
    <row r="141" spans="5:85" ht="15.75" customHeight="1" x14ac:dyDescent="0.3">
      <c r="E141" s="1" t="s">
        <v>557</v>
      </c>
      <c r="F141" s="169"/>
      <c r="V141" s="169"/>
      <c r="W141" s="170"/>
      <c r="BK141" s="171"/>
      <c r="BL141" s="173"/>
      <c r="BM141" s="173"/>
      <c r="BN141" s="174" t="s">
        <v>810</v>
      </c>
      <c r="BO141" s="174">
        <v>0.45</v>
      </c>
      <c r="BP141" s="172" t="s">
        <v>1083</v>
      </c>
      <c r="BQ141" s="172">
        <v>0.1</v>
      </c>
      <c r="BR141" s="175" t="s">
        <v>810</v>
      </c>
      <c r="BS141" s="175">
        <v>0.45</v>
      </c>
      <c r="BU141" s="172"/>
      <c r="BV141" s="172"/>
      <c r="CE141" s="1" t="s">
        <v>1084</v>
      </c>
      <c r="CF141" s="1" t="s">
        <v>1085</v>
      </c>
      <c r="CG141" s="1" t="s">
        <v>1086</v>
      </c>
    </row>
    <row r="142" spans="5:85" ht="15.75" customHeight="1" x14ac:dyDescent="0.3">
      <c r="E142" s="1" t="s">
        <v>562</v>
      </c>
      <c r="F142" s="169"/>
      <c r="V142" s="169"/>
      <c r="W142" s="170"/>
      <c r="BK142" s="171"/>
      <c r="BL142" s="173"/>
      <c r="BM142" s="173"/>
      <c r="BN142" s="174" t="s">
        <v>817</v>
      </c>
      <c r="BO142" s="174">
        <v>0.4</v>
      </c>
      <c r="BP142" s="172" t="s">
        <v>1087</v>
      </c>
      <c r="BQ142" s="172">
        <v>0.15</v>
      </c>
      <c r="BR142" s="175" t="s">
        <v>817</v>
      </c>
      <c r="BS142" s="175">
        <v>0.4</v>
      </c>
      <c r="BU142" s="172"/>
      <c r="BV142" s="172"/>
      <c r="CE142" s="1" t="s">
        <v>1088</v>
      </c>
      <c r="CF142" s="1" t="s">
        <v>1089</v>
      </c>
      <c r="CG142" s="1" t="s">
        <v>1090</v>
      </c>
    </row>
    <row r="143" spans="5:85" ht="15.75" customHeight="1" x14ac:dyDescent="0.3">
      <c r="E143" s="1" t="s">
        <v>567</v>
      </c>
      <c r="F143" s="169"/>
      <c r="V143" s="169"/>
      <c r="W143" s="170"/>
      <c r="BK143" s="171"/>
      <c r="BL143" s="173"/>
      <c r="BM143" s="173"/>
      <c r="BN143" s="174" t="s">
        <v>824</v>
      </c>
      <c r="BO143" s="174">
        <v>0.5</v>
      </c>
      <c r="BP143" s="172" t="s">
        <v>1091</v>
      </c>
      <c r="BQ143" s="172">
        <v>0.15</v>
      </c>
      <c r="BR143" s="175" t="s">
        <v>824</v>
      </c>
      <c r="BS143" s="175">
        <v>0.5</v>
      </c>
      <c r="CE143" s="1" t="s">
        <v>1092</v>
      </c>
      <c r="CF143" s="1" t="s">
        <v>1093</v>
      </c>
      <c r="CG143" s="1" t="s">
        <v>1094</v>
      </c>
    </row>
    <row r="144" spans="5:85" ht="15.75" customHeight="1" x14ac:dyDescent="0.3">
      <c r="E144" s="1" t="s">
        <v>572</v>
      </c>
      <c r="F144" s="169"/>
      <c r="V144" s="169"/>
      <c r="W144" s="170"/>
      <c r="BK144" s="171"/>
      <c r="BL144" s="173"/>
      <c r="BM144" s="173"/>
      <c r="BN144" s="183" t="s">
        <v>831</v>
      </c>
      <c r="BO144" s="174">
        <v>0.25</v>
      </c>
      <c r="BP144" s="172" t="s">
        <v>1095</v>
      </c>
      <c r="BQ144" s="172">
        <v>0.2</v>
      </c>
      <c r="BR144" s="175" t="s">
        <v>831</v>
      </c>
      <c r="BS144" s="175">
        <v>0.25</v>
      </c>
      <c r="CE144" s="1" t="s">
        <v>1096</v>
      </c>
      <c r="CF144" s="1" t="s">
        <v>1097</v>
      </c>
      <c r="CG144" s="1" t="s">
        <v>1098</v>
      </c>
    </row>
    <row r="145" spans="5:85" ht="15.75" customHeight="1" x14ac:dyDescent="0.3">
      <c r="E145" s="1" t="s">
        <v>35</v>
      </c>
      <c r="F145" s="169"/>
      <c r="V145" s="169"/>
      <c r="W145" s="170"/>
      <c r="BK145" s="171"/>
      <c r="BL145" s="173"/>
      <c r="BM145" s="173"/>
      <c r="BN145" s="174" t="s">
        <v>838</v>
      </c>
      <c r="BO145" s="174">
        <v>0.35</v>
      </c>
      <c r="BP145" s="172" t="s">
        <v>1099</v>
      </c>
      <c r="BQ145" s="172">
        <v>0.05</v>
      </c>
      <c r="BR145" s="175" t="s">
        <v>838</v>
      </c>
      <c r="BS145" s="175">
        <v>0.35</v>
      </c>
      <c r="CE145" s="1" t="s">
        <v>1100</v>
      </c>
      <c r="CF145" s="1" t="s">
        <v>1101</v>
      </c>
      <c r="CG145" s="1" t="s">
        <v>1102</v>
      </c>
    </row>
    <row r="146" spans="5:85" ht="15.75" customHeight="1" x14ac:dyDescent="0.3">
      <c r="E146" s="1" t="s">
        <v>36</v>
      </c>
      <c r="F146" s="169"/>
      <c r="V146" s="169"/>
      <c r="W146" s="170"/>
      <c r="BK146" s="171"/>
      <c r="BL146" s="173"/>
      <c r="BM146" s="173"/>
      <c r="BN146" s="174" t="s">
        <v>845</v>
      </c>
      <c r="BO146" s="174">
        <v>0.45</v>
      </c>
      <c r="BP146" s="172" t="s">
        <v>1103</v>
      </c>
      <c r="BQ146" s="172">
        <v>0.1</v>
      </c>
      <c r="BR146" s="175" t="s">
        <v>845</v>
      </c>
      <c r="BS146" s="175">
        <v>0.45</v>
      </c>
      <c r="CE146" s="1" t="s">
        <v>1104</v>
      </c>
      <c r="CF146" s="1" t="s">
        <v>1105</v>
      </c>
      <c r="CG146" s="1" t="s">
        <v>1106</v>
      </c>
    </row>
    <row r="147" spans="5:85" ht="15.75" customHeight="1" x14ac:dyDescent="0.3">
      <c r="E147" s="1" t="s">
        <v>37</v>
      </c>
      <c r="F147" s="169"/>
      <c r="V147" s="169"/>
      <c r="W147" s="170"/>
      <c r="BK147" s="171"/>
      <c r="BL147" s="173"/>
      <c r="BM147" s="173"/>
      <c r="BN147" s="174" t="s">
        <v>852</v>
      </c>
      <c r="BO147" s="174">
        <v>0.55000000000000004</v>
      </c>
      <c r="BP147" s="172" t="s">
        <v>1107</v>
      </c>
      <c r="BQ147" s="172">
        <v>0.1</v>
      </c>
      <c r="BR147" s="175" t="s">
        <v>852</v>
      </c>
      <c r="BS147" s="175">
        <v>0.55000000000000004</v>
      </c>
      <c r="CE147" s="1" t="s">
        <v>1108</v>
      </c>
      <c r="CF147" s="1" t="s">
        <v>1109</v>
      </c>
      <c r="CG147" s="1" t="s">
        <v>1110</v>
      </c>
    </row>
    <row r="148" spans="5:85" ht="15.75" customHeight="1" x14ac:dyDescent="0.3">
      <c r="E148" s="1" t="s">
        <v>38</v>
      </c>
      <c r="F148" s="169"/>
      <c r="V148" s="169"/>
      <c r="W148" s="170"/>
      <c r="BK148" s="171"/>
      <c r="BL148" s="173"/>
      <c r="BM148" s="173"/>
      <c r="BN148" s="174" t="s">
        <v>859</v>
      </c>
      <c r="BO148" s="174">
        <v>0.65</v>
      </c>
      <c r="BP148" s="172" t="s">
        <v>1111</v>
      </c>
      <c r="BQ148" s="172">
        <v>0.3</v>
      </c>
      <c r="BR148" s="175" t="s">
        <v>859</v>
      </c>
      <c r="BS148" s="175">
        <v>0.65</v>
      </c>
      <c r="CE148" s="1" t="s">
        <v>1112</v>
      </c>
      <c r="CF148" s="1" t="s">
        <v>1113</v>
      </c>
      <c r="CG148" s="1" t="s">
        <v>1114</v>
      </c>
    </row>
    <row r="149" spans="5:85" ht="15.75" customHeight="1" x14ac:dyDescent="0.3">
      <c r="E149" s="1" t="s">
        <v>39</v>
      </c>
      <c r="F149" s="169"/>
      <c r="V149" s="169"/>
      <c r="W149" s="170"/>
      <c r="BK149" s="171"/>
      <c r="BL149" s="173"/>
      <c r="BM149" s="173"/>
      <c r="BN149" s="174" t="s">
        <v>866</v>
      </c>
      <c r="BO149" s="174">
        <v>0.1</v>
      </c>
      <c r="BP149" s="172" t="s">
        <v>1115</v>
      </c>
      <c r="BQ149" s="172">
        <v>0.1</v>
      </c>
      <c r="BR149" s="175" t="s">
        <v>866</v>
      </c>
      <c r="BS149" s="175">
        <v>0.1</v>
      </c>
      <c r="CE149" s="1" t="s">
        <v>1116</v>
      </c>
      <c r="CF149" s="1" t="s">
        <v>1117</v>
      </c>
      <c r="CG149" s="1" t="s">
        <v>1118</v>
      </c>
    </row>
    <row r="150" spans="5:85" ht="15.75" customHeight="1" x14ac:dyDescent="0.3">
      <c r="E150" s="1" t="s">
        <v>40</v>
      </c>
      <c r="F150" s="169"/>
      <c r="V150" s="169"/>
      <c r="W150" s="170"/>
      <c r="BK150" s="171"/>
      <c r="BL150" s="173"/>
      <c r="BM150" s="173"/>
      <c r="BN150" s="174" t="s">
        <v>873</v>
      </c>
      <c r="BO150" s="174">
        <v>0.15</v>
      </c>
      <c r="BP150" s="172" t="s">
        <v>1119</v>
      </c>
      <c r="BQ150" s="172">
        <v>0.1</v>
      </c>
      <c r="BR150" s="175" t="s">
        <v>873</v>
      </c>
      <c r="BS150" s="175">
        <v>0.15</v>
      </c>
      <c r="CE150" s="1" t="s">
        <v>1120</v>
      </c>
      <c r="CF150" s="1" t="s">
        <v>1121</v>
      </c>
      <c r="CG150" s="1" t="s">
        <v>1122</v>
      </c>
    </row>
    <row r="151" spans="5:85" ht="15.75" customHeight="1" x14ac:dyDescent="0.3">
      <c r="E151" s="1" t="s">
        <v>34</v>
      </c>
      <c r="F151" s="169"/>
      <c r="V151" s="169"/>
      <c r="W151" s="170"/>
      <c r="BK151" s="171"/>
      <c r="BL151" s="173"/>
      <c r="BM151" s="173"/>
      <c r="BN151" s="174" t="s">
        <v>880</v>
      </c>
      <c r="BO151" s="174">
        <v>0.05</v>
      </c>
      <c r="BP151" s="172" t="s">
        <v>1123</v>
      </c>
      <c r="BQ151" s="172">
        <v>0.15</v>
      </c>
      <c r="BR151" s="175" t="s">
        <v>880</v>
      </c>
      <c r="BS151" s="175">
        <v>0.05</v>
      </c>
      <c r="CE151" s="1" t="s">
        <v>1124</v>
      </c>
      <c r="CF151" s="1" t="s">
        <v>1125</v>
      </c>
      <c r="CG151" s="1" t="s">
        <v>1126</v>
      </c>
    </row>
    <row r="152" spans="5:85" ht="15.75" customHeight="1" x14ac:dyDescent="0.3">
      <c r="E152" s="1" t="s">
        <v>33</v>
      </c>
      <c r="F152" s="169"/>
      <c r="V152" s="169"/>
      <c r="W152" s="170"/>
      <c r="BK152" s="171"/>
      <c r="BL152" s="173"/>
      <c r="BM152" s="173"/>
      <c r="BN152" s="174" t="s">
        <v>887</v>
      </c>
      <c r="BO152" s="174">
        <v>0.1</v>
      </c>
      <c r="BP152" s="172" t="s">
        <v>1127</v>
      </c>
      <c r="BQ152" s="172">
        <v>0.2</v>
      </c>
      <c r="BR152" s="175" t="s">
        <v>887</v>
      </c>
      <c r="BS152" s="175">
        <v>0.1</v>
      </c>
      <c r="CE152" s="1" t="s">
        <v>1128</v>
      </c>
      <c r="CF152" s="1" t="s">
        <v>1129</v>
      </c>
      <c r="CG152" s="1" t="s">
        <v>1130</v>
      </c>
    </row>
    <row r="153" spans="5:85" ht="15.75" customHeight="1" x14ac:dyDescent="0.3">
      <c r="E153" s="1" t="s">
        <v>42</v>
      </c>
      <c r="F153" s="169"/>
      <c r="V153" s="169"/>
      <c r="W153" s="170"/>
      <c r="BK153" s="171"/>
      <c r="BL153" s="173"/>
      <c r="BM153" s="173"/>
      <c r="BN153" s="174" t="s">
        <v>894</v>
      </c>
      <c r="BO153" s="174">
        <v>0.2</v>
      </c>
      <c r="BP153" s="172" t="s">
        <v>1131</v>
      </c>
      <c r="BQ153" s="172">
        <v>0.25</v>
      </c>
      <c r="BR153" s="175" t="s">
        <v>894</v>
      </c>
      <c r="BS153" s="175">
        <v>0.2</v>
      </c>
      <c r="CE153" s="1" t="s">
        <v>1132</v>
      </c>
      <c r="CF153" s="1" t="s">
        <v>1133</v>
      </c>
      <c r="CG153" s="1" t="s">
        <v>1134</v>
      </c>
    </row>
    <row r="154" spans="5:85" ht="15.75" customHeight="1" x14ac:dyDescent="0.3">
      <c r="F154" s="169"/>
      <c r="V154" s="169"/>
      <c r="W154" s="170"/>
      <c r="BK154" s="171"/>
      <c r="BL154" s="173"/>
      <c r="BM154" s="173"/>
      <c r="BN154" s="174" t="s">
        <v>901</v>
      </c>
      <c r="BO154" s="174">
        <v>0.2</v>
      </c>
      <c r="BP154" s="172" t="s">
        <v>1135</v>
      </c>
      <c r="BQ154" s="172">
        <v>0.1</v>
      </c>
      <c r="BR154" s="175" t="s">
        <v>901</v>
      </c>
      <c r="BS154" s="175">
        <v>0.2</v>
      </c>
      <c r="CE154" s="1" t="s">
        <v>1136</v>
      </c>
      <c r="CF154" s="1" t="s">
        <v>1137</v>
      </c>
      <c r="CG154" s="1" t="s">
        <v>1138</v>
      </c>
    </row>
    <row r="155" spans="5:85" ht="15.75" customHeight="1" x14ac:dyDescent="0.3">
      <c r="F155" s="169"/>
      <c r="V155" s="169"/>
      <c r="W155" s="170"/>
      <c r="BK155" s="171"/>
      <c r="BL155" s="173"/>
      <c r="BM155" s="173"/>
      <c r="BN155" s="174" t="s">
        <v>908</v>
      </c>
      <c r="BO155" s="174">
        <v>0.2</v>
      </c>
      <c r="BP155" s="172" t="s">
        <v>1139</v>
      </c>
      <c r="BQ155" s="172">
        <v>0.15</v>
      </c>
      <c r="BR155" s="175" t="s">
        <v>908</v>
      </c>
      <c r="BS155" s="175">
        <v>0.2</v>
      </c>
      <c r="CE155" s="1" t="s">
        <v>1140</v>
      </c>
      <c r="CF155" s="1" t="s">
        <v>1141</v>
      </c>
      <c r="CG155" s="1" t="s">
        <v>1142</v>
      </c>
    </row>
    <row r="156" spans="5:85" ht="15.75" customHeight="1" x14ac:dyDescent="0.3">
      <c r="F156" s="169"/>
      <c r="V156" s="169"/>
      <c r="W156" s="170"/>
      <c r="BK156" s="171"/>
      <c r="BL156" s="173"/>
      <c r="BM156" s="173"/>
      <c r="BN156" s="174" t="s">
        <v>915</v>
      </c>
      <c r="BO156" s="174">
        <v>0.3</v>
      </c>
      <c r="BP156" s="172" t="s">
        <v>1143</v>
      </c>
      <c r="BQ156" s="172">
        <v>0.2</v>
      </c>
      <c r="BR156" s="175" t="s">
        <v>915</v>
      </c>
      <c r="BS156" s="175">
        <v>0.3</v>
      </c>
      <c r="CE156" s="1" t="s">
        <v>1144</v>
      </c>
      <c r="CF156" s="1" t="s">
        <v>1145</v>
      </c>
      <c r="CG156" s="1" t="s">
        <v>1146</v>
      </c>
    </row>
    <row r="157" spans="5:85" ht="15.75" customHeight="1" x14ac:dyDescent="0.3">
      <c r="F157" s="169"/>
      <c r="V157" s="169"/>
      <c r="W157" s="170"/>
      <c r="BK157" s="171"/>
      <c r="BL157" s="173"/>
      <c r="BM157" s="173"/>
      <c r="BN157" s="174" t="s">
        <v>922</v>
      </c>
      <c r="BO157" s="174">
        <v>0.15</v>
      </c>
      <c r="BP157" s="172" t="s">
        <v>1147</v>
      </c>
      <c r="BQ157" s="172">
        <v>0.25</v>
      </c>
      <c r="BR157" s="175" t="s">
        <v>922</v>
      </c>
      <c r="BS157" s="175">
        <v>0.15</v>
      </c>
      <c r="CE157" s="1" t="s">
        <v>1148</v>
      </c>
      <c r="CF157" s="1" t="s">
        <v>1149</v>
      </c>
      <c r="CG157" s="1" t="s">
        <v>1150</v>
      </c>
    </row>
    <row r="158" spans="5:85" ht="15.75" customHeight="1" x14ac:dyDescent="0.3">
      <c r="F158" s="169"/>
      <c r="V158" s="169"/>
      <c r="W158" s="170"/>
      <c r="BK158" s="171"/>
      <c r="BL158" s="173"/>
      <c r="BM158" s="173"/>
      <c r="BN158" s="174" t="s">
        <v>929</v>
      </c>
      <c r="BO158" s="174">
        <v>0.15</v>
      </c>
      <c r="BP158" s="172" t="s">
        <v>1151</v>
      </c>
      <c r="BQ158" s="172">
        <v>0.45</v>
      </c>
      <c r="BR158" s="175" t="s">
        <v>929</v>
      </c>
      <c r="BS158" s="175">
        <v>0.15</v>
      </c>
      <c r="CE158" s="1" t="s">
        <v>1152</v>
      </c>
      <c r="CF158" s="1" t="s">
        <v>1153</v>
      </c>
      <c r="CG158" s="1" t="s">
        <v>1154</v>
      </c>
    </row>
    <row r="159" spans="5:85" ht="15.75" customHeight="1" x14ac:dyDescent="0.3">
      <c r="F159" s="169"/>
      <c r="V159" s="169"/>
      <c r="W159" s="170"/>
      <c r="BK159" s="171"/>
      <c r="BL159" s="173"/>
      <c r="BM159" s="173"/>
      <c r="BN159" s="174" t="s">
        <v>936</v>
      </c>
      <c r="BO159" s="174">
        <v>0.2</v>
      </c>
      <c r="BP159" s="172" t="s">
        <v>1155</v>
      </c>
      <c r="BQ159" s="172">
        <v>0.4</v>
      </c>
      <c r="BR159" s="175" t="s">
        <v>936</v>
      </c>
      <c r="BS159" s="175">
        <v>0.2</v>
      </c>
      <c r="CE159" s="1" t="s">
        <v>1156</v>
      </c>
      <c r="CF159" s="1" t="s">
        <v>1157</v>
      </c>
      <c r="CG159" s="1" t="s">
        <v>1158</v>
      </c>
    </row>
    <row r="160" spans="5:85" ht="15.75" customHeight="1" x14ac:dyDescent="0.3">
      <c r="F160" s="169"/>
      <c r="V160" s="169"/>
      <c r="W160" s="170"/>
      <c r="BK160" s="171"/>
      <c r="BL160" s="173"/>
      <c r="BM160" s="173"/>
      <c r="BN160" s="174" t="s">
        <v>943</v>
      </c>
      <c r="BO160" s="174">
        <v>0.15</v>
      </c>
      <c r="BP160" s="172" t="s">
        <v>1159</v>
      </c>
      <c r="BQ160" s="172">
        <v>0.5</v>
      </c>
      <c r="BR160" s="175" t="s">
        <v>943</v>
      </c>
      <c r="BS160" s="175">
        <v>0.15</v>
      </c>
      <c r="CE160" s="1" t="s">
        <v>1160</v>
      </c>
      <c r="CF160" s="1" t="s">
        <v>1161</v>
      </c>
      <c r="CG160" s="1" t="s">
        <v>1162</v>
      </c>
    </row>
    <row r="161" spans="63:85" ht="15.75" customHeight="1" x14ac:dyDescent="0.3">
      <c r="BK161" s="171"/>
      <c r="BL161" s="173"/>
      <c r="BM161" s="173"/>
      <c r="BN161" s="174" t="s">
        <v>950</v>
      </c>
      <c r="BO161" s="174">
        <v>0.25</v>
      </c>
      <c r="BP161" s="172" t="s">
        <v>1163</v>
      </c>
      <c r="BQ161" s="172">
        <v>0.25</v>
      </c>
      <c r="BR161" s="175" t="s">
        <v>950</v>
      </c>
      <c r="BS161" s="175">
        <v>0.25</v>
      </c>
      <c r="CE161" s="1" t="s">
        <v>1164</v>
      </c>
      <c r="CF161" s="1" t="s">
        <v>1165</v>
      </c>
      <c r="CG161" s="1" t="s">
        <v>1166</v>
      </c>
    </row>
    <row r="162" spans="63:85" ht="15.75" customHeight="1" x14ac:dyDescent="0.3">
      <c r="BK162" s="171"/>
      <c r="BL162" s="173"/>
      <c r="BM162" s="173"/>
      <c r="BN162" s="174" t="s">
        <v>957</v>
      </c>
      <c r="BO162" s="174">
        <v>0.25</v>
      </c>
      <c r="BP162" s="172" t="s">
        <v>1167</v>
      </c>
      <c r="BQ162" s="172">
        <v>0.35</v>
      </c>
      <c r="BR162" s="175" t="s">
        <v>957</v>
      </c>
      <c r="BS162" s="175">
        <v>0.25</v>
      </c>
      <c r="CE162" s="1" t="s">
        <v>1168</v>
      </c>
      <c r="CF162" s="1" t="s">
        <v>1169</v>
      </c>
      <c r="CG162" s="1" t="s">
        <v>1170</v>
      </c>
    </row>
    <row r="163" spans="63:85" ht="15.75" customHeight="1" x14ac:dyDescent="0.3">
      <c r="BK163" s="171"/>
      <c r="BL163" s="173"/>
      <c r="BM163" s="173"/>
      <c r="BN163" s="174" t="s">
        <v>964</v>
      </c>
      <c r="BO163" s="174">
        <v>0.25</v>
      </c>
      <c r="BP163" s="172" t="s">
        <v>1171</v>
      </c>
      <c r="BQ163" s="172">
        <v>0.45</v>
      </c>
      <c r="BR163" s="175" t="s">
        <v>964</v>
      </c>
      <c r="BS163" s="175">
        <v>0.25</v>
      </c>
      <c r="CE163" s="1" t="s">
        <v>1172</v>
      </c>
      <c r="CF163" s="1" t="s">
        <v>1173</v>
      </c>
      <c r="CG163" s="1" t="s">
        <v>1174</v>
      </c>
    </row>
    <row r="164" spans="63:85" ht="15.75" customHeight="1" x14ac:dyDescent="0.3">
      <c r="BK164" s="171"/>
      <c r="BL164" s="173"/>
      <c r="BM164" s="173"/>
      <c r="BN164" s="174" t="s">
        <v>971</v>
      </c>
      <c r="BO164" s="174">
        <v>0.3</v>
      </c>
      <c r="BP164" s="172" t="s">
        <v>1175</v>
      </c>
      <c r="BQ164" s="172">
        <v>0.55000000000000004</v>
      </c>
      <c r="BR164" s="175" t="s">
        <v>971</v>
      </c>
      <c r="BS164" s="175">
        <v>0.3</v>
      </c>
      <c r="CE164" s="1" t="s">
        <v>1176</v>
      </c>
      <c r="CF164" s="1" t="s">
        <v>1177</v>
      </c>
      <c r="CG164" s="1" t="s">
        <v>1178</v>
      </c>
    </row>
    <row r="165" spans="63:85" ht="15.75" customHeight="1" x14ac:dyDescent="0.3">
      <c r="BK165" s="171"/>
      <c r="BL165" s="173"/>
      <c r="BM165" s="173"/>
      <c r="BN165" s="174" t="s">
        <v>978</v>
      </c>
      <c r="BO165" s="174">
        <v>0.3</v>
      </c>
      <c r="BP165" s="172" t="s">
        <v>1179</v>
      </c>
      <c r="BQ165" s="172">
        <v>0.65</v>
      </c>
      <c r="BR165" s="175" t="s">
        <v>978</v>
      </c>
      <c r="BS165" s="175">
        <v>0.3</v>
      </c>
      <c r="CE165" s="1" t="s">
        <v>1180</v>
      </c>
      <c r="CF165" s="1" t="s">
        <v>1181</v>
      </c>
      <c r="CG165" s="1" t="s">
        <v>1182</v>
      </c>
    </row>
    <row r="166" spans="63:85" ht="15.75" customHeight="1" x14ac:dyDescent="0.3">
      <c r="BK166" s="171"/>
      <c r="BL166" s="173"/>
      <c r="BM166" s="173"/>
      <c r="BN166" s="174" t="s">
        <v>985</v>
      </c>
      <c r="BO166" s="174">
        <v>0.35</v>
      </c>
      <c r="BP166" s="172" t="s">
        <v>1183</v>
      </c>
      <c r="BQ166" s="172">
        <v>0.1</v>
      </c>
      <c r="BR166" s="175" t="s">
        <v>985</v>
      </c>
      <c r="BS166" s="175">
        <v>0.35</v>
      </c>
      <c r="CE166" s="1" t="s">
        <v>1184</v>
      </c>
      <c r="CF166" s="1" t="s">
        <v>1185</v>
      </c>
      <c r="CG166" s="1" t="s">
        <v>1186</v>
      </c>
    </row>
    <row r="167" spans="63:85" ht="15.75" customHeight="1" x14ac:dyDescent="0.3">
      <c r="BK167" s="171"/>
      <c r="BL167" s="173"/>
      <c r="BM167" s="173"/>
      <c r="BN167" s="174" t="s">
        <v>992</v>
      </c>
      <c r="BO167" s="174">
        <v>0.6</v>
      </c>
      <c r="BP167" s="172" t="s">
        <v>1187</v>
      </c>
      <c r="BQ167" s="172">
        <v>0.15</v>
      </c>
      <c r="BR167" s="175" t="s">
        <v>992</v>
      </c>
      <c r="BS167" s="175">
        <v>0.6</v>
      </c>
      <c r="CE167" s="1" t="s">
        <v>1188</v>
      </c>
      <c r="CF167" s="1" t="s">
        <v>1189</v>
      </c>
      <c r="CG167" s="1" t="s">
        <v>1190</v>
      </c>
    </row>
    <row r="168" spans="63:85" ht="15.75" customHeight="1" x14ac:dyDescent="0.3">
      <c r="BK168" s="171"/>
      <c r="BL168" s="173"/>
      <c r="BM168" s="173"/>
      <c r="BN168" s="174" t="s">
        <v>998</v>
      </c>
      <c r="BO168" s="174">
        <v>0.2</v>
      </c>
      <c r="BP168" s="172" t="s">
        <v>1191</v>
      </c>
      <c r="BQ168" s="172">
        <v>0.05</v>
      </c>
      <c r="BR168" s="175" t="s">
        <v>998</v>
      </c>
      <c r="BS168" s="175">
        <v>0.2</v>
      </c>
      <c r="CE168" s="1" t="s">
        <v>1192</v>
      </c>
      <c r="CF168" s="1" t="s">
        <v>1193</v>
      </c>
      <c r="CG168" s="1" t="s">
        <v>1194</v>
      </c>
    </row>
    <row r="169" spans="63:85" ht="15.75" customHeight="1" x14ac:dyDescent="0.3">
      <c r="BK169" s="171"/>
      <c r="BL169" s="173"/>
      <c r="BM169" s="173"/>
      <c r="BN169" s="174" t="s">
        <v>1004</v>
      </c>
      <c r="BO169" s="174">
        <v>0.25</v>
      </c>
      <c r="BP169" s="172" t="s">
        <v>1195</v>
      </c>
      <c r="BQ169" s="172">
        <v>0.1</v>
      </c>
      <c r="BR169" s="175" t="s">
        <v>1004</v>
      </c>
      <c r="BS169" s="175">
        <v>0.25</v>
      </c>
      <c r="CE169" s="1" t="s">
        <v>1196</v>
      </c>
      <c r="CF169" s="1" t="s">
        <v>1197</v>
      </c>
      <c r="CG169" s="1" t="s">
        <v>1198</v>
      </c>
    </row>
    <row r="170" spans="63:85" ht="15.75" customHeight="1" x14ac:dyDescent="0.3">
      <c r="BK170" s="171"/>
      <c r="BL170" s="173"/>
      <c r="BM170" s="173"/>
      <c r="BN170" s="174" t="s">
        <v>1010</v>
      </c>
      <c r="BO170" s="174">
        <v>0.3</v>
      </c>
      <c r="BP170" s="172" t="s">
        <v>1199</v>
      </c>
      <c r="BQ170" s="172">
        <v>0.2</v>
      </c>
      <c r="BR170" s="175" t="s">
        <v>1010</v>
      </c>
      <c r="BS170" s="175">
        <v>0.3</v>
      </c>
      <c r="CE170" s="1" t="s">
        <v>1200</v>
      </c>
      <c r="CF170" s="1" t="s">
        <v>1201</v>
      </c>
      <c r="CG170" s="1" t="s">
        <v>1202</v>
      </c>
    </row>
    <row r="171" spans="63:85" ht="15.75" customHeight="1" x14ac:dyDescent="0.3">
      <c r="BK171" s="171"/>
      <c r="BL171" s="173"/>
      <c r="BM171" s="173"/>
      <c r="BN171" s="174" t="s">
        <v>1016</v>
      </c>
      <c r="BO171" s="174">
        <v>0.3</v>
      </c>
      <c r="BP171" s="172" t="s">
        <v>1203</v>
      </c>
      <c r="BQ171" s="172">
        <v>0.2</v>
      </c>
      <c r="BR171" s="175" t="s">
        <v>1016</v>
      </c>
      <c r="BS171" s="175">
        <v>0.3</v>
      </c>
      <c r="CE171" s="1" t="s">
        <v>1204</v>
      </c>
      <c r="CF171" s="1" t="s">
        <v>1205</v>
      </c>
      <c r="CG171" s="1" t="s">
        <v>1206</v>
      </c>
    </row>
    <row r="172" spans="63:85" ht="15.75" customHeight="1" x14ac:dyDescent="0.3">
      <c r="BK172" s="171"/>
      <c r="BL172" s="173"/>
      <c r="BM172" s="173"/>
      <c r="BN172" s="174" t="s">
        <v>1022</v>
      </c>
      <c r="BO172" s="174">
        <v>0.35</v>
      </c>
      <c r="BP172" s="172" t="s">
        <v>1207</v>
      </c>
      <c r="BQ172" s="172">
        <v>0.2</v>
      </c>
      <c r="BR172" s="184" t="s">
        <v>1022</v>
      </c>
      <c r="BS172" s="175">
        <v>0.35</v>
      </c>
      <c r="CE172" s="1" t="s">
        <v>1208</v>
      </c>
      <c r="CF172" s="1" t="s">
        <v>1209</v>
      </c>
      <c r="CG172" s="1" t="s">
        <v>1210</v>
      </c>
    </row>
    <row r="173" spans="63:85" ht="15.75" customHeight="1" x14ac:dyDescent="0.3">
      <c r="BK173" s="171"/>
      <c r="BL173" s="173"/>
      <c r="BM173" s="173"/>
      <c r="BN173" s="174" t="s">
        <v>1028</v>
      </c>
      <c r="BO173" s="174">
        <v>0.35</v>
      </c>
      <c r="BP173" s="172" t="s">
        <v>1211</v>
      </c>
      <c r="BQ173" s="172">
        <v>0.3</v>
      </c>
      <c r="BR173" s="175" t="s">
        <v>1028</v>
      </c>
      <c r="BS173" s="175">
        <v>0.35</v>
      </c>
      <c r="CE173" s="1" t="s">
        <v>1212</v>
      </c>
      <c r="CF173" s="1" t="s">
        <v>1213</v>
      </c>
      <c r="CG173" s="1" t="s">
        <v>1214</v>
      </c>
    </row>
    <row r="174" spans="63:85" ht="15.75" customHeight="1" x14ac:dyDescent="0.3">
      <c r="BK174" s="171"/>
      <c r="BL174" s="173"/>
      <c r="BM174" s="173"/>
      <c r="BN174" s="174" t="s">
        <v>1034</v>
      </c>
      <c r="BO174" s="174">
        <v>0.4</v>
      </c>
      <c r="BP174" s="172" t="s">
        <v>1215</v>
      </c>
      <c r="BQ174" s="172">
        <v>0.15</v>
      </c>
      <c r="BR174" s="175" t="s">
        <v>1034</v>
      </c>
      <c r="BS174" s="175">
        <v>0.4</v>
      </c>
      <c r="CE174" s="1" t="s">
        <v>1216</v>
      </c>
      <c r="CF174" s="1" t="s">
        <v>1217</v>
      </c>
      <c r="CG174" s="1" t="s">
        <v>1218</v>
      </c>
    </row>
    <row r="175" spans="63:85" ht="15.75" customHeight="1" x14ac:dyDescent="0.3">
      <c r="BK175" s="171"/>
      <c r="BL175" s="173"/>
      <c r="BM175" s="173"/>
      <c r="BN175" s="174" t="s">
        <v>1040</v>
      </c>
      <c r="BO175" s="174">
        <v>0.4</v>
      </c>
      <c r="BP175" s="172" t="s">
        <v>1219</v>
      </c>
      <c r="BQ175" s="172">
        <v>0.15</v>
      </c>
      <c r="BR175" s="175" t="s">
        <v>1040</v>
      </c>
      <c r="BS175" s="175">
        <v>0.4</v>
      </c>
      <c r="CE175" s="1" t="s">
        <v>1220</v>
      </c>
      <c r="CF175" s="1" t="s">
        <v>1221</v>
      </c>
      <c r="CG175" s="1" t="s">
        <v>1222</v>
      </c>
    </row>
    <row r="176" spans="63:85" ht="15.75" customHeight="1" x14ac:dyDescent="0.3">
      <c r="BK176" s="171"/>
      <c r="BL176" s="173"/>
      <c r="BM176" s="173"/>
      <c r="BN176" s="174" t="s">
        <v>1045</v>
      </c>
      <c r="BO176" s="174">
        <v>0.45</v>
      </c>
      <c r="BP176" s="172" t="s">
        <v>1223</v>
      </c>
      <c r="BQ176" s="172">
        <v>0.2</v>
      </c>
      <c r="BR176" s="175" t="s">
        <v>1045</v>
      </c>
      <c r="BS176" s="175">
        <v>0.45</v>
      </c>
      <c r="CE176" s="1" t="s">
        <v>1224</v>
      </c>
      <c r="CF176" s="1" t="s">
        <v>1225</v>
      </c>
      <c r="CG176" s="1" t="s">
        <v>1226</v>
      </c>
    </row>
    <row r="177" spans="63:85" ht="15.75" customHeight="1" x14ac:dyDescent="0.3">
      <c r="BK177" s="171"/>
      <c r="BL177" s="173"/>
      <c r="BM177" s="173"/>
      <c r="BN177" s="174" t="s">
        <v>1050</v>
      </c>
      <c r="BO177" s="174">
        <v>0.45</v>
      </c>
      <c r="BP177" s="172" t="s">
        <v>1227</v>
      </c>
      <c r="BQ177" s="172">
        <v>0.15</v>
      </c>
      <c r="BR177" s="175" t="s">
        <v>1050</v>
      </c>
      <c r="BS177" s="175">
        <v>0.45</v>
      </c>
      <c r="CE177" s="1" t="s">
        <v>1228</v>
      </c>
      <c r="CF177" s="1" t="s">
        <v>1229</v>
      </c>
      <c r="CG177" s="1" t="s">
        <v>1230</v>
      </c>
    </row>
    <row r="178" spans="63:85" ht="15.75" customHeight="1" x14ac:dyDescent="0.3">
      <c r="BK178" s="171"/>
      <c r="BL178" s="173"/>
      <c r="BM178" s="173"/>
      <c r="BN178" s="174" t="s">
        <v>1055</v>
      </c>
      <c r="BO178" s="174">
        <v>0.45</v>
      </c>
      <c r="BP178" s="172" t="s">
        <v>1231</v>
      </c>
      <c r="BQ178" s="172">
        <v>0.25</v>
      </c>
      <c r="BR178" s="175" t="s">
        <v>1055</v>
      </c>
      <c r="BS178" s="175">
        <v>0.45</v>
      </c>
      <c r="CE178" s="1" t="s">
        <v>1232</v>
      </c>
      <c r="CF178" s="1" t="s">
        <v>1233</v>
      </c>
      <c r="CG178" s="1" t="s">
        <v>1234</v>
      </c>
    </row>
    <row r="179" spans="63:85" ht="15.75" customHeight="1" x14ac:dyDescent="0.3">
      <c r="BK179" s="171"/>
      <c r="BL179" s="173"/>
      <c r="BM179" s="173"/>
      <c r="BN179" s="174" t="s">
        <v>1060</v>
      </c>
      <c r="BO179" s="174">
        <v>0.6</v>
      </c>
      <c r="BP179" s="172" t="s">
        <v>1235</v>
      </c>
      <c r="BQ179" s="172">
        <v>0.25</v>
      </c>
      <c r="BR179" s="175" t="s">
        <v>1060</v>
      </c>
      <c r="BS179" s="175">
        <v>0.6</v>
      </c>
      <c r="CE179" s="1" t="s">
        <v>1236</v>
      </c>
      <c r="CF179" s="1" t="s">
        <v>1237</v>
      </c>
      <c r="CG179" s="1" t="s">
        <v>1238</v>
      </c>
    </row>
    <row r="180" spans="63:85" ht="15.75" customHeight="1" x14ac:dyDescent="0.3">
      <c r="BK180" s="171"/>
      <c r="BL180" s="173"/>
      <c r="BM180" s="173"/>
      <c r="BN180" s="174" t="s">
        <v>1064</v>
      </c>
      <c r="BO180" s="174">
        <v>1</v>
      </c>
      <c r="BP180" s="172" t="s">
        <v>1239</v>
      </c>
      <c r="BQ180" s="172">
        <v>0.25</v>
      </c>
      <c r="BR180" s="175" t="s">
        <v>1064</v>
      </c>
      <c r="BS180" s="175">
        <v>1</v>
      </c>
      <c r="CE180" s="1" t="s">
        <v>1240</v>
      </c>
      <c r="CF180" s="1" t="s">
        <v>1241</v>
      </c>
      <c r="CG180" s="1" t="s">
        <v>1242</v>
      </c>
    </row>
    <row r="181" spans="63:85" ht="15.75" customHeight="1" x14ac:dyDescent="0.3">
      <c r="BK181" s="171"/>
      <c r="BL181" s="173"/>
      <c r="BM181" s="173"/>
      <c r="BN181" s="174"/>
      <c r="BO181" s="174"/>
      <c r="BP181" s="172" t="s">
        <v>1243</v>
      </c>
      <c r="BQ181" s="172">
        <v>0.3</v>
      </c>
      <c r="BR181" s="175" t="s">
        <v>1244</v>
      </c>
      <c r="BS181" s="175">
        <v>0.25</v>
      </c>
      <c r="CE181" s="1" t="s">
        <v>1245</v>
      </c>
      <c r="CF181" s="1" t="s">
        <v>1246</v>
      </c>
      <c r="CG181" s="1" t="s">
        <v>1247</v>
      </c>
    </row>
    <row r="182" spans="63:85" ht="15.75" customHeight="1" x14ac:dyDescent="0.3">
      <c r="BK182" s="171"/>
      <c r="BL182" s="173"/>
      <c r="BM182" s="173"/>
      <c r="BN182" s="174"/>
      <c r="BO182" s="174"/>
      <c r="BP182" s="172" t="s">
        <v>1248</v>
      </c>
      <c r="BQ182" s="172">
        <v>0.3</v>
      </c>
      <c r="BR182" s="175"/>
      <c r="BS182" s="175"/>
      <c r="CE182" s="1" t="s">
        <v>1249</v>
      </c>
      <c r="CF182" s="1" t="s">
        <v>1250</v>
      </c>
      <c r="CG182" s="1" t="s">
        <v>1251</v>
      </c>
    </row>
    <row r="183" spans="63:85" ht="15.75" customHeight="1" x14ac:dyDescent="0.3">
      <c r="BK183" s="171"/>
      <c r="BL183" s="173"/>
      <c r="BM183" s="173"/>
      <c r="BN183" s="174"/>
      <c r="BO183" s="174"/>
      <c r="BP183" s="172" t="s">
        <v>1252</v>
      </c>
      <c r="BQ183" s="172">
        <v>0.35</v>
      </c>
      <c r="BR183" s="175"/>
      <c r="BS183" s="175"/>
      <c r="CE183" s="1" t="s">
        <v>1253</v>
      </c>
      <c r="CF183" s="1" t="s">
        <v>1254</v>
      </c>
      <c r="CG183" s="1" t="s">
        <v>1255</v>
      </c>
    </row>
    <row r="184" spans="63:85" ht="15.75" customHeight="1" x14ac:dyDescent="0.3">
      <c r="BK184" s="171"/>
      <c r="BL184" s="173"/>
      <c r="BM184" s="173"/>
      <c r="BN184" s="174" t="s">
        <v>771</v>
      </c>
      <c r="BO184" s="174">
        <v>0.05</v>
      </c>
      <c r="BP184" s="172" t="s">
        <v>1256</v>
      </c>
      <c r="BQ184" s="172">
        <v>0.6</v>
      </c>
      <c r="BR184" s="175"/>
      <c r="BS184" s="175"/>
      <c r="CE184" s="1" t="s">
        <v>1257</v>
      </c>
      <c r="CF184" s="1" t="s">
        <v>1258</v>
      </c>
      <c r="CG184" s="1" t="s">
        <v>1259</v>
      </c>
    </row>
    <row r="185" spans="63:85" ht="15.75" customHeight="1" x14ac:dyDescent="0.3">
      <c r="BK185" s="171"/>
      <c r="BL185" s="173"/>
      <c r="BM185" s="173"/>
      <c r="BN185" s="174" t="s">
        <v>777</v>
      </c>
      <c r="BO185" s="174">
        <v>0.05</v>
      </c>
      <c r="BP185" s="172" t="s">
        <v>1260</v>
      </c>
      <c r="BQ185" s="172">
        <v>0.2</v>
      </c>
      <c r="BR185" s="175"/>
      <c r="BS185" s="175"/>
      <c r="CE185" s="1" t="s">
        <v>1261</v>
      </c>
      <c r="CF185" s="1" t="s">
        <v>1262</v>
      </c>
      <c r="CG185" s="1" t="s">
        <v>1263</v>
      </c>
    </row>
    <row r="186" spans="63:85" ht="15.75" customHeight="1" x14ac:dyDescent="0.3">
      <c r="BK186" s="171"/>
      <c r="BL186" s="173"/>
      <c r="BM186" s="173"/>
      <c r="BN186" s="174" t="s">
        <v>784</v>
      </c>
      <c r="BO186" s="174">
        <v>0.1</v>
      </c>
      <c r="BP186" s="172" t="s">
        <v>1264</v>
      </c>
      <c r="BQ186" s="172">
        <v>0.25</v>
      </c>
      <c r="BR186" s="175"/>
      <c r="BS186" s="175"/>
      <c r="CE186" s="1" t="s">
        <v>1265</v>
      </c>
      <c r="CF186" s="1" t="s">
        <v>1266</v>
      </c>
      <c r="CG186" s="1" t="s">
        <v>1267</v>
      </c>
    </row>
    <row r="187" spans="63:85" ht="15.75" customHeight="1" x14ac:dyDescent="0.3">
      <c r="BK187" s="171"/>
      <c r="BL187" s="173"/>
      <c r="BM187" s="173"/>
      <c r="BN187" s="174" t="s">
        <v>791</v>
      </c>
      <c r="BO187" s="174">
        <v>0.2</v>
      </c>
      <c r="BP187" s="172" t="s">
        <v>1268</v>
      </c>
      <c r="BQ187" s="172">
        <v>0.3</v>
      </c>
      <c r="BR187" s="175"/>
      <c r="BS187" s="175"/>
      <c r="CE187" s="1" t="s">
        <v>1269</v>
      </c>
      <c r="CF187" s="1" t="s">
        <v>1270</v>
      </c>
      <c r="CG187" s="1" t="s">
        <v>1271</v>
      </c>
    </row>
    <row r="188" spans="63:85" ht="15.75" customHeight="1" x14ac:dyDescent="0.3">
      <c r="BK188" s="171"/>
      <c r="BL188" s="173"/>
      <c r="BM188" s="173"/>
      <c r="BN188" s="174" t="s">
        <v>798</v>
      </c>
      <c r="BO188" s="174">
        <v>0.3</v>
      </c>
      <c r="BP188" s="172" t="s">
        <v>1272</v>
      </c>
      <c r="BQ188" s="172">
        <v>0.3</v>
      </c>
      <c r="BR188" s="175"/>
      <c r="BS188" s="175"/>
      <c r="CE188" s="1" t="s">
        <v>1273</v>
      </c>
      <c r="CF188" s="1" t="s">
        <v>1274</v>
      </c>
      <c r="CG188" s="1" t="s">
        <v>1275</v>
      </c>
    </row>
    <row r="189" spans="63:85" ht="15.75" customHeight="1" x14ac:dyDescent="0.3">
      <c r="BK189" s="171"/>
      <c r="BL189" s="173"/>
      <c r="BM189" s="173"/>
      <c r="BN189" s="174" t="s">
        <v>805</v>
      </c>
      <c r="BO189" s="174">
        <v>0.3</v>
      </c>
      <c r="BP189" s="172" t="s">
        <v>1276</v>
      </c>
      <c r="BQ189" s="172">
        <v>0.35</v>
      </c>
      <c r="BR189" s="175"/>
      <c r="BS189" s="175"/>
      <c r="CE189" s="1" t="s">
        <v>1277</v>
      </c>
      <c r="CF189" s="1" t="s">
        <v>1278</v>
      </c>
      <c r="CG189" s="1" t="s">
        <v>1279</v>
      </c>
    </row>
    <row r="190" spans="63:85" ht="15.75" customHeight="1" x14ac:dyDescent="0.3">
      <c r="BK190" s="171"/>
      <c r="BL190" s="173"/>
      <c r="BM190" s="173"/>
      <c r="BN190" s="174" t="s">
        <v>812</v>
      </c>
      <c r="BO190" s="174">
        <v>0.4</v>
      </c>
      <c r="BP190" s="172" t="s">
        <v>1280</v>
      </c>
      <c r="BQ190" s="172">
        <v>0.35</v>
      </c>
      <c r="BR190" s="175"/>
      <c r="BS190" s="175"/>
      <c r="CE190" s="1" t="s">
        <v>1281</v>
      </c>
      <c r="CF190" s="1" t="s">
        <v>1282</v>
      </c>
      <c r="CG190" s="1" t="s">
        <v>1283</v>
      </c>
    </row>
    <row r="191" spans="63:85" ht="15.75" customHeight="1" x14ac:dyDescent="0.3">
      <c r="BK191" s="171"/>
      <c r="BL191" s="173"/>
      <c r="BM191" s="173"/>
      <c r="BN191" s="174" t="s">
        <v>819</v>
      </c>
      <c r="BO191" s="174">
        <v>0.1</v>
      </c>
      <c r="BP191" s="172" t="s">
        <v>1284</v>
      </c>
      <c r="BQ191" s="172">
        <v>0.4</v>
      </c>
      <c r="BR191" s="175"/>
      <c r="BS191" s="175"/>
      <c r="CE191" s="1" t="s">
        <v>1285</v>
      </c>
      <c r="CF191" s="1" t="s">
        <v>1286</v>
      </c>
      <c r="CG191" s="1" t="s">
        <v>1287</v>
      </c>
    </row>
    <row r="192" spans="63:85" ht="15.75" customHeight="1" x14ac:dyDescent="0.3">
      <c r="BK192" s="171"/>
      <c r="BL192" s="173"/>
      <c r="BM192" s="173"/>
      <c r="BN192" s="174" t="s">
        <v>826</v>
      </c>
      <c r="BO192" s="174">
        <v>0.25</v>
      </c>
      <c r="BP192" s="172" t="s">
        <v>1288</v>
      </c>
      <c r="BQ192" s="172">
        <v>0.4</v>
      </c>
      <c r="BR192" s="175"/>
      <c r="BS192" s="175"/>
      <c r="CE192" s="1" t="s">
        <v>1289</v>
      </c>
      <c r="CF192" s="1" t="s">
        <v>1290</v>
      </c>
      <c r="CG192" s="1" t="s">
        <v>1291</v>
      </c>
    </row>
    <row r="193" spans="63:85" ht="15.75" customHeight="1" x14ac:dyDescent="0.3">
      <c r="BK193" s="171"/>
      <c r="BL193" s="173"/>
      <c r="BM193" s="173"/>
      <c r="BN193" s="174" t="s">
        <v>833</v>
      </c>
      <c r="BO193" s="174">
        <v>0.3</v>
      </c>
      <c r="BP193" s="172" t="s">
        <v>1292</v>
      </c>
      <c r="BQ193" s="172">
        <v>0.45</v>
      </c>
      <c r="BR193" s="175"/>
      <c r="BS193" s="175"/>
      <c r="CE193" s="1" t="s">
        <v>1293</v>
      </c>
      <c r="CF193" s="1" t="s">
        <v>1294</v>
      </c>
      <c r="CG193" s="1" t="s">
        <v>1295</v>
      </c>
    </row>
    <row r="194" spans="63:85" ht="15.75" customHeight="1" x14ac:dyDescent="0.3">
      <c r="BK194" s="171"/>
      <c r="BL194" s="173"/>
      <c r="BM194" s="173"/>
      <c r="BN194" s="174" t="s">
        <v>840</v>
      </c>
      <c r="BO194" s="174">
        <v>0.45</v>
      </c>
      <c r="BP194" s="172" t="s">
        <v>1296</v>
      </c>
      <c r="BQ194" s="172">
        <v>0.45</v>
      </c>
      <c r="BR194" s="175"/>
      <c r="BS194" s="175"/>
      <c r="CE194" s="1" t="s">
        <v>1297</v>
      </c>
      <c r="CF194" s="1" t="s">
        <v>1298</v>
      </c>
      <c r="CG194" s="1" t="s">
        <v>1299</v>
      </c>
    </row>
    <row r="195" spans="63:85" ht="15.75" customHeight="1" x14ac:dyDescent="0.3">
      <c r="BK195" s="171"/>
      <c r="BL195" s="173"/>
      <c r="BM195" s="173"/>
      <c r="BN195" s="174" t="s">
        <v>847</v>
      </c>
      <c r="BO195" s="174">
        <v>0.4</v>
      </c>
      <c r="BP195" s="172" t="s">
        <v>1300</v>
      </c>
      <c r="BQ195" s="172">
        <v>0.45</v>
      </c>
      <c r="BR195" s="175"/>
      <c r="BS195" s="175"/>
      <c r="CE195" s="1" t="s">
        <v>1301</v>
      </c>
      <c r="CF195" s="1" t="s">
        <v>1302</v>
      </c>
      <c r="CG195" s="1" t="s">
        <v>1303</v>
      </c>
    </row>
    <row r="196" spans="63:85" ht="15.75" customHeight="1" x14ac:dyDescent="0.3">
      <c r="BK196" s="171"/>
      <c r="BL196" s="173"/>
      <c r="BM196" s="173"/>
      <c r="BN196" s="174" t="s">
        <v>854</v>
      </c>
      <c r="BO196" s="174">
        <v>0.1</v>
      </c>
      <c r="BP196" s="172" t="s">
        <v>1304</v>
      </c>
      <c r="BQ196" s="172">
        <v>0.6</v>
      </c>
      <c r="BR196" s="175"/>
      <c r="BS196" s="175"/>
      <c r="CE196" s="1" t="s">
        <v>1305</v>
      </c>
      <c r="CF196" s="1" t="s">
        <v>1306</v>
      </c>
      <c r="CG196" s="1" t="s">
        <v>1307</v>
      </c>
    </row>
    <row r="197" spans="63:85" ht="15.75" customHeight="1" x14ac:dyDescent="0.3">
      <c r="BK197" s="171"/>
      <c r="BL197" s="173"/>
      <c r="BM197" s="173"/>
      <c r="BN197" s="174" t="s">
        <v>861</v>
      </c>
      <c r="BO197" s="174">
        <v>0.1</v>
      </c>
      <c r="BP197" s="172" t="s">
        <v>1308</v>
      </c>
      <c r="BQ197" s="172">
        <v>1</v>
      </c>
      <c r="BR197" s="175" t="s">
        <v>771</v>
      </c>
      <c r="BS197" s="175">
        <v>0.05</v>
      </c>
      <c r="CE197" s="1" t="s">
        <v>1309</v>
      </c>
      <c r="CF197" s="1" t="s">
        <v>1310</v>
      </c>
      <c r="CG197" s="1" t="s">
        <v>1311</v>
      </c>
    </row>
    <row r="198" spans="63:85" ht="15.75" customHeight="1" x14ac:dyDescent="0.3">
      <c r="BK198" s="171"/>
      <c r="BL198" s="173"/>
      <c r="BM198" s="173"/>
      <c r="BN198" s="174" t="s">
        <v>868</v>
      </c>
      <c r="BO198" s="174">
        <v>0.05</v>
      </c>
      <c r="BP198" s="172"/>
      <c r="BQ198" s="172"/>
      <c r="BR198" s="175" t="s">
        <v>777</v>
      </c>
      <c r="BS198" s="175">
        <v>0.05</v>
      </c>
      <c r="CE198" s="1" t="s">
        <v>1312</v>
      </c>
      <c r="CF198" s="1" t="s">
        <v>1313</v>
      </c>
      <c r="CG198" s="1" t="s">
        <v>1314</v>
      </c>
    </row>
    <row r="199" spans="63:85" ht="15.75" customHeight="1" x14ac:dyDescent="0.3">
      <c r="BK199" s="171"/>
      <c r="BL199" s="173"/>
      <c r="BM199" s="173"/>
      <c r="BN199" s="174" t="s">
        <v>875</v>
      </c>
      <c r="BO199" s="174">
        <v>0.1</v>
      </c>
      <c r="BP199" s="172"/>
      <c r="BQ199" s="172"/>
      <c r="BR199" s="175" t="s">
        <v>784</v>
      </c>
      <c r="BS199" s="175">
        <v>0.1</v>
      </c>
      <c r="CE199" s="1" t="s">
        <v>1315</v>
      </c>
      <c r="CF199" s="1" t="s">
        <v>1316</v>
      </c>
      <c r="CG199" s="1" t="s">
        <v>1317</v>
      </c>
    </row>
    <row r="200" spans="63:85" ht="15.75" customHeight="1" x14ac:dyDescent="0.3">
      <c r="BK200" s="171"/>
      <c r="BL200" s="173"/>
      <c r="BM200" s="173"/>
      <c r="BN200" s="174" t="s">
        <v>882</v>
      </c>
      <c r="BO200" s="174">
        <v>0.2</v>
      </c>
      <c r="BP200" s="172"/>
      <c r="BQ200" s="172"/>
      <c r="BR200" s="175" t="s">
        <v>791</v>
      </c>
      <c r="BS200" s="175">
        <v>0.2</v>
      </c>
      <c r="CE200" s="1" t="s">
        <v>1318</v>
      </c>
      <c r="CF200" s="1" t="s">
        <v>1319</v>
      </c>
      <c r="CG200" s="1" t="s">
        <v>1320</v>
      </c>
    </row>
    <row r="201" spans="63:85" ht="15.75" customHeight="1" x14ac:dyDescent="0.3">
      <c r="BK201" s="171"/>
      <c r="BL201" s="173"/>
      <c r="BM201" s="173"/>
      <c r="BN201" s="174" t="s">
        <v>889</v>
      </c>
      <c r="BO201" s="174">
        <v>0.2</v>
      </c>
      <c r="BP201" s="172"/>
      <c r="BQ201" s="172"/>
      <c r="BR201" s="175" t="s">
        <v>798</v>
      </c>
      <c r="BS201" s="175">
        <v>0.3</v>
      </c>
      <c r="CE201" s="1" t="s">
        <v>1321</v>
      </c>
      <c r="CF201" s="1" t="s">
        <v>1322</v>
      </c>
      <c r="CG201" s="1" t="s">
        <v>1323</v>
      </c>
    </row>
    <row r="202" spans="63:85" ht="15.75" customHeight="1" x14ac:dyDescent="0.3">
      <c r="BK202" s="171"/>
      <c r="BL202" s="173"/>
      <c r="BM202" s="173"/>
      <c r="BN202" s="174" t="s">
        <v>896</v>
      </c>
      <c r="BO202" s="174">
        <v>0.1</v>
      </c>
      <c r="BP202" s="172"/>
      <c r="BQ202" s="172"/>
      <c r="BR202" s="175" t="s">
        <v>805</v>
      </c>
      <c r="BS202" s="175">
        <v>0.3</v>
      </c>
      <c r="CE202" s="1" t="s">
        <v>1324</v>
      </c>
      <c r="CF202" s="1" t="s">
        <v>1325</v>
      </c>
      <c r="CG202" s="1" t="s">
        <v>1326</v>
      </c>
    </row>
    <row r="203" spans="63:85" ht="15.75" customHeight="1" x14ac:dyDescent="0.3">
      <c r="BK203" s="171"/>
      <c r="BL203" s="173"/>
      <c r="BM203" s="173"/>
      <c r="BN203" s="174" t="s">
        <v>903</v>
      </c>
      <c r="BO203" s="174">
        <v>0.2</v>
      </c>
      <c r="BP203" s="172"/>
      <c r="BQ203" s="172"/>
      <c r="BR203" s="175" t="s">
        <v>812</v>
      </c>
      <c r="BS203" s="175">
        <v>0.4</v>
      </c>
      <c r="CE203" s="1" t="s">
        <v>1327</v>
      </c>
      <c r="CF203" s="1" t="s">
        <v>1328</v>
      </c>
      <c r="CG203" s="1" t="s">
        <v>1329</v>
      </c>
    </row>
    <row r="204" spans="63:85" ht="15.75" customHeight="1" x14ac:dyDescent="0.3">
      <c r="BK204" s="171"/>
      <c r="BL204" s="173"/>
      <c r="BM204" s="173"/>
      <c r="BN204" s="174" t="s">
        <v>910</v>
      </c>
      <c r="BO204" s="174">
        <v>0.05</v>
      </c>
      <c r="BP204" s="172"/>
      <c r="BQ204" s="172"/>
      <c r="BR204" s="175" t="s">
        <v>819</v>
      </c>
      <c r="BS204" s="175">
        <v>0.1</v>
      </c>
      <c r="CE204" s="1" t="s">
        <v>1330</v>
      </c>
      <c r="CF204" s="1" t="s">
        <v>1331</v>
      </c>
      <c r="CG204" s="1" t="s">
        <v>1332</v>
      </c>
    </row>
    <row r="205" spans="63:85" ht="15.75" customHeight="1" x14ac:dyDescent="0.3">
      <c r="BK205" s="171"/>
      <c r="BL205" s="173"/>
      <c r="BM205" s="173"/>
      <c r="BN205" s="174" t="s">
        <v>917</v>
      </c>
      <c r="BO205" s="174">
        <v>0.05</v>
      </c>
      <c r="BP205" s="172"/>
      <c r="BQ205" s="172"/>
      <c r="BR205" s="175" t="s">
        <v>826</v>
      </c>
      <c r="BS205" s="175">
        <v>0.25</v>
      </c>
      <c r="CE205" s="1" t="s">
        <v>1333</v>
      </c>
      <c r="CF205" s="1" t="s">
        <v>1334</v>
      </c>
      <c r="CG205" s="1" t="s">
        <v>1335</v>
      </c>
    </row>
    <row r="206" spans="63:85" ht="15.75" customHeight="1" x14ac:dyDescent="0.3">
      <c r="BK206" s="171"/>
      <c r="BL206" s="173"/>
      <c r="BM206" s="173"/>
      <c r="BN206" s="174" t="s">
        <v>924</v>
      </c>
      <c r="BO206" s="174">
        <v>0.05</v>
      </c>
      <c r="BP206" s="172"/>
      <c r="BQ206" s="172"/>
      <c r="BR206" s="175" t="s">
        <v>833</v>
      </c>
      <c r="BS206" s="175">
        <v>0.3</v>
      </c>
      <c r="CE206" s="1" t="s">
        <v>1336</v>
      </c>
      <c r="CF206" s="1" t="s">
        <v>1337</v>
      </c>
      <c r="CG206" s="1" t="s">
        <v>1338</v>
      </c>
    </row>
    <row r="207" spans="63:85" ht="15.75" customHeight="1" x14ac:dyDescent="0.3">
      <c r="BK207" s="171"/>
      <c r="BL207" s="173"/>
      <c r="BM207" s="173"/>
      <c r="BN207" s="174" t="s">
        <v>931</v>
      </c>
      <c r="BO207" s="174">
        <v>0.05</v>
      </c>
      <c r="BP207" s="172"/>
      <c r="BQ207" s="172"/>
      <c r="BR207" s="175" t="s">
        <v>840</v>
      </c>
      <c r="BS207" s="175">
        <v>0.45</v>
      </c>
      <c r="CE207" s="1" t="s">
        <v>1339</v>
      </c>
      <c r="CF207" s="1" t="s">
        <v>1340</v>
      </c>
      <c r="CG207" s="1" t="s">
        <v>1341</v>
      </c>
    </row>
    <row r="208" spans="63:85" ht="15.75" customHeight="1" x14ac:dyDescent="0.3">
      <c r="BK208" s="171"/>
      <c r="BL208" s="173"/>
      <c r="BM208" s="173"/>
      <c r="BN208" s="174" t="s">
        <v>938</v>
      </c>
      <c r="BO208" s="174">
        <v>0.1</v>
      </c>
      <c r="BP208" s="172"/>
      <c r="BQ208" s="172"/>
      <c r="BR208" s="175" t="s">
        <v>847</v>
      </c>
      <c r="BS208" s="175">
        <v>0.4</v>
      </c>
      <c r="CE208" s="1" t="s">
        <v>1342</v>
      </c>
      <c r="CF208" s="1" t="s">
        <v>1343</v>
      </c>
      <c r="CG208" s="1" t="s">
        <v>1344</v>
      </c>
    </row>
    <row r="209" spans="63:85" ht="15.75" customHeight="1" x14ac:dyDescent="0.3">
      <c r="BK209" s="171"/>
      <c r="BL209" s="173"/>
      <c r="BM209" s="173"/>
      <c r="BN209" s="174" t="s">
        <v>945</v>
      </c>
      <c r="BO209" s="174">
        <v>0.1</v>
      </c>
      <c r="BP209" s="172"/>
      <c r="BQ209" s="172"/>
      <c r="BR209" s="175" t="s">
        <v>854</v>
      </c>
      <c r="BS209" s="175">
        <v>0.1</v>
      </c>
      <c r="CE209" s="1" t="s">
        <v>1345</v>
      </c>
      <c r="CF209" s="1" t="s">
        <v>1346</v>
      </c>
      <c r="CG209" s="1" t="s">
        <v>1347</v>
      </c>
    </row>
    <row r="210" spans="63:85" ht="15.75" customHeight="1" x14ac:dyDescent="0.3">
      <c r="BK210" s="171"/>
      <c r="BL210" s="173"/>
      <c r="BM210" s="173"/>
      <c r="BN210" s="174" t="s">
        <v>952</v>
      </c>
      <c r="BO210" s="174">
        <v>0.1</v>
      </c>
      <c r="BP210" s="172"/>
      <c r="BQ210" s="172"/>
      <c r="BR210" s="175" t="s">
        <v>861</v>
      </c>
      <c r="BS210" s="175">
        <v>0.1</v>
      </c>
    </row>
    <row r="211" spans="63:85" ht="15.75" customHeight="1" x14ac:dyDescent="0.3">
      <c r="BK211" s="171"/>
      <c r="BL211" s="173"/>
      <c r="BM211" s="173"/>
      <c r="BN211" s="174" t="s">
        <v>959</v>
      </c>
      <c r="BO211" s="174">
        <v>0.05</v>
      </c>
      <c r="BP211" s="172"/>
      <c r="BQ211" s="172"/>
      <c r="BR211" s="175" t="s">
        <v>868</v>
      </c>
      <c r="BS211" s="175">
        <v>0.05</v>
      </c>
    </row>
    <row r="212" spans="63:85" ht="15.75" customHeight="1" x14ac:dyDescent="0.3">
      <c r="BK212" s="171"/>
      <c r="BL212" s="173"/>
      <c r="BM212" s="173"/>
      <c r="BN212" s="174" t="s">
        <v>966</v>
      </c>
      <c r="BO212" s="174">
        <v>0.1</v>
      </c>
      <c r="BP212" s="172"/>
      <c r="BQ212" s="172"/>
      <c r="BR212" s="175" t="s">
        <v>875</v>
      </c>
      <c r="BS212" s="175">
        <v>0.1</v>
      </c>
    </row>
    <row r="213" spans="63:85" ht="15.75" customHeight="1" x14ac:dyDescent="0.3">
      <c r="BK213" s="171"/>
      <c r="BL213" s="173"/>
      <c r="BM213" s="173"/>
      <c r="BN213" s="174" t="s">
        <v>973</v>
      </c>
      <c r="BO213" s="174">
        <v>0.1</v>
      </c>
      <c r="BP213" s="172"/>
      <c r="BQ213" s="172"/>
      <c r="BR213" s="175" t="s">
        <v>882</v>
      </c>
      <c r="BS213" s="175">
        <v>0.2</v>
      </c>
    </row>
    <row r="214" spans="63:85" ht="15.75" customHeight="1" x14ac:dyDescent="0.3">
      <c r="BK214" s="171"/>
      <c r="BL214" s="173"/>
      <c r="BM214" s="173"/>
      <c r="BN214" s="174" t="s">
        <v>980</v>
      </c>
      <c r="BO214" s="174">
        <v>0.45</v>
      </c>
      <c r="BP214" s="172"/>
      <c r="BQ214" s="172"/>
      <c r="BR214" s="175" t="s">
        <v>889</v>
      </c>
      <c r="BS214" s="175">
        <v>0.2</v>
      </c>
    </row>
    <row r="215" spans="63:85" ht="15.75" customHeight="1" x14ac:dyDescent="0.3">
      <c r="BK215" s="171"/>
      <c r="BL215" s="173"/>
      <c r="BM215" s="173"/>
      <c r="BN215" s="174" t="s">
        <v>987</v>
      </c>
      <c r="BO215" s="174">
        <v>0.05</v>
      </c>
      <c r="BP215" s="172"/>
      <c r="BQ215" s="172"/>
      <c r="BR215" s="175" t="s">
        <v>896</v>
      </c>
      <c r="BS215" s="175">
        <v>0.1</v>
      </c>
    </row>
    <row r="216" spans="63:85" ht="15.75" customHeight="1" x14ac:dyDescent="0.3">
      <c r="BK216" s="171"/>
      <c r="BL216" s="173"/>
      <c r="BM216" s="173"/>
      <c r="BN216" s="174" t="s">
        <v>994</v>
      </c>
      <c r="BO216" s="174">
        <v>0.15</v>
      </c>
      <c r="BP216" s="172"/>
      <c r="BQ216" s="172"/>
      <c r="BR216" s="175" t="s">
        <v>903</v>
      </c>
      <c r="BS216" s="175">
        <v>0.2</v>
      </c>
    </row>
    <row r="217" spans="63:85" ht="15.75" customHeight="1" x14ac:dyDescent="0.3">
      <c r="BK217" s="171"/>
      <c r="BL217" s="173"/>
      <c r="BM217" s="173"/>
      <c r="BN217" s="174" t="s">
        <v>1000</v>
      </c>
      <c r="BO217" s="174">
        <v>0.1</v>
      </c>
      <c r="BP217" s="172"/>
      <c r="BQ217" s="172"/>
      <c r="BR217" s="175" t="s">
        <v>910</v>
      </c>
      <c r="BS217" s="175">
        <v>0.05</v>
      </c>
    </row>
    <row r="218" spans="63:85" ht="15.75" customHeight="1" x14ac:dyDescent="0.3">
      <c r="BK218" s="171"/>
      <c r="BL218" s="173"/>
      <c r="BM218" s="173"/>
      <c r="BN218" s="174" t="s">
        <v>1006</v>
      </c>
      <c r="BO218" s="174">
        <v>0.1</v>
      </c>
      <c r="BP218" s="172"/>
      <c r="BQ218" s="172"/>
      <c r="BR218" s="175" t="s">
        <v>917</v>
      </c>
      <c r="BS218" s="175">
        <v>0.05</v>
      </c>
    </row>
    <row r="219" spans="63:85" ht="15.75" customHeight="1" x14ac:dyDescent="0.3">
      <c r="BK219" s="171"/>
      <c r="BL219" s="173"/>
      <c r="BM219" s="173"/>
      <c r="BN219" s="174" t="s">
        <v>1012</v>
      </c>
      <c r="BO219" s="174">
        <v>0.2</v>
      </c>
      <c r="BP219" s="172"/>
      <c r="BQ219" s="172"/>
      <c r="BR219" s="175" t="s">
        <v>924</v>
      </c>
      <c r="BS219" s="175">
        <v>0.05</v>
      </c>
    </row>
    <row r="220" spans="63:85" ht="15.75" customHeight="1" x14ac:dyDescent="0.3">
      <c r="BK220" s="171"/>
      <c r="BL220" s="173"/>
      <c r="BM220" s="173"/>
      <c r="BN220" s="174" t="s">
        <v>1018</v>
      </c>
      <c r="BO220" s="174">
        <v>0.15</v>
      </c>
      <c r="BP220" s="172"/>
      <c r="BQ220" s="172"/>
      <c r="BR220" s="175" t="s">
        <v>931</v>
      </c>
      <c r="BS220" s="175">
        <v>0.05</v>
      </c>
    </row>
    <row r="221" spans="63:85" ht="15.75" customHeight="1" x14ac:dyDescent="0.3">
      <c r="BK221" s="171"/>
      <c r="BL221" s="173"/>
      <c r="BM221" s="173"/>
      <c r="BN221" s="174" t="s">
        <v>1024</v>
      </c>
      <c r="BO221" s="174">
        <v>0.15</v>
      </c>
      <c r="BP221" s="172"/>
      <c r="BQ221" s="172"/>
      <c r="BR221" s="175" t="s">
        <v>938</v>
      </c>
      <c r="BS221" s="175">
        <v>0.1</v>
      </c>
    </row>
    <row r="222" spans="63:85" ht="15.75" customHeight="1" x14ac:dyDescent="0.3">
      <c r="BK222" s="171"/>
      <c r="BL222" s="173"/>
      <c r="BM222" s="173"/>
      <c r="BN222" s="174" t="s">
        <v>1030</v>
      </c>
      <c r="BO222" s="174">
        <v>0.2</v>
      </c>
      <c r="BP222" s="172"/>
      <c r="BQ222" s="172"/>
      <c r="BR222" s="175" t="s">
        <v>945</v>
      </c>
      <c r="BS222" s="175">
        <v>0.1</v>
      </c>
    </row>
    <row r="223" spans="63:85" ht="15.75" customHeight="1" x14ac:dyDescent="0.3">
      <c r="BK223" s="171"/>
      <c r="BL223" s="173"/>
      <c r="BM223" s="173"/>
      <c r="BN223" s="174" t="s">
        <v>1036</v>
      </c>
      <c r="BO223" s="174">
        <v>0.15</v>
      </c>
      <c r="BP223" s="172"/>
      <c r="BQ223" s="172"/>
      <c r="BR223" s="175" t="s">
        <v>952</v>
      </c>
      <c r="BS223" s="175">
        <v>0.1</v>
      </c>
    </row>
    <row r="224" spans="63:85" ht="15.75" customHeight="1" x14ac:dyDescent="0.3">
      <c r="BK224" s="171"/>
      <c r="BL224" s="173"/>
      <c r="BM224" s="173"/>
      <c r="BN224" s="174" t="s">
        <v>1041</v>
      </c>
      <c r="BO224" s="174">
        <v>0.2</v>
      </c>
      <c r="BP224" s="172"/>
      <c r="BQ224" s="172"/>
      <c r="BR224" s="175" t="s">
        <v>959</v>
      </c>
      <c r="BS224" s="175">
        <v>0.05</v>
      </c>
    </row>
    <row r="225" spans="63:71" ht="15.75" customHeight="1" x14ac:dyDescent="0.3">
      <c r="BK225" s="171"/>
      <c r="BL225" s="173"/>
      <c r="BM225" s="173"/>
      <c r="BN225" s="174" t="s">
        <v>1046</v>
      </c>
      <c r="BO225" s="174">
        <v>0.2</v>
      </c>
      <c r="BP225" s="172"/>
      <c r="BQ225" s="172"/>
      <c r="BR225" s="175" t="s">
        <v>966</v>
      </c>
      <c r="BS225" s="175">
        <v>0.1</v>
      </c>
    </row>
    <row r="226" spans="63:71" ht="15.75" customHeight="1" x14ac:dyDescent="0.3">
      <c r="BK226" s="171"/>
      <c r="BL226" s="173"/>
      <c r="BM226" s="173"/>
      <c r="BN226" s="174" t="s">
        <v>1051</v>
      </c>
      <c r="BO226" s="174">
        <v>0.3</v>
      </c>
      <c r="BP226" s="172"/>
      <c r="BQ226" s="172"/>
      <c r="BR226" s="175" t="s">
        <v>973</v>
      </c>
      <c r="BS226" s="175">
        <v>0.1</v>
      </c>
    </row>
    <row r="227" spans="63:71" ht="15.75" customHeight="1" x14ac:dyDescent="0.3">
      <c r="BK227" s="171"/>
      <c r="BL227" s="173"/>
      <c r="BM227" s="173"/>
      <c r="BN227" s="174" t="s">
        <v>1056</v>
      </c>
      <c r="BO227" s="174">
        <v>0.5</v>
      </c>
      <c r="BP227" s="172"/>
      <c r="BQ227" s="172"/>
      <c r="BR227" s="175" t="s">
        <v>980</v>
      </c>
      <c r="BS227" s="175">
        <v>0.45</v>
      </c>
    </row>
    <row r="228" spans="63:71" ht="15.75" customHeight="1" x14ac:dyDescent="0.3">
      <c r="BK228" s="171"/>
      <c r="BL228" s="173"/>
      <c r="BM228" s="173"/>
      <c r="BN228" s="174"/>
      <c r="BO228" s="174"/>
      <c r="BP228" s="172"/>
      <c r="BQ228" s="172"/>
      <c r="BR228" s="175" t="s">
        <v>987</v>
      </c>
      <c r="BS228" s="175">
        <v>0.05</v>
      </c>
    </row>
    <row r="229" spans="63:71" ht="15.75" customHeight="1" x14ac:dyDescent="0.3">
      <c r="BK229" s="171"/>
      <c r="BL229" s="173"/>
      <c r="BM229" s="173"/>
      <c r="BN229" s="174"/>
      <c r="BO229" s="174"/>
      <c r="BP229" s="172"/>
      <c r="BQ229" s="172"/>
      <c r="BR229" s="175" t="s">
        <v>994</v>
      </c>
      <c r="BS229" s="175">
        <v>0.15</v>
      </c>
    </row>
    <row r="230" spans="63:71" ht="15.75" customHeight="1" x14ac:dyDescent="0.3">
      <c r="BK230" s="171"/>
      <c r="BL230" s="173"/>
      <c r="BM230" s="173"/>
      <c r="BN230" s="174"/>
      <c r="BO230" s="174"/>
      <c r="BP230" s="172"/>
      <c r="BQ230" s="172"/>
      <c r="BR230" s="175" t="s">
        <v>1000</v>
      </c>
      <c r="BS230" s="175">
        <v>0.1</v>
      </c>
    </row>
    <row r="231" spans="63:71" ht="15.75" customHeight="1" x14ac:dyDescent="0.3">
      <c r="BK231" s="171"/>
      <c r="BL231" s="173"/>
      <c r="BM231" s="173"/>
      <c r="BN231" s="174"/>
      <c r="BO231" s="174"/>
      <c r="BP231" s="172"/>
      <c r="BQ231" s="172"/>
      <c r="BR231" s="175" t="s">
        <v>1006</v>
      </c>
      <c r="BS231" s="175">
        <v>0.1</v>
      </c>
    </row>
    <row r="232" spans="63:71" ht="15.75" customHeight="1" x14ac:dyDescent="0.3">
      <c r="BK232" s="171"/>
      <c r="BL232" s="173"/>
      <c r="BM232" s="173"/>
      <c r="BN232" s="174"/>
      <c r="BO232" s="174"/>
      <c r="BP232" s="172"/>
      <c r="BQ232" s="172"/>
      <c r="BR232" s="175" t="s">
        <v>1012</v>
      </c>
      <c r="BS232" s="175">
        <v>0.2</v>
      </c>
    </row>
    <row r="233" spans="63:71" ht="15.75" customHeight="1" x14ac:dyDescent="0.3">
      <c r="BK233" s="171"/>
      <c r="BL233" s="173"/>
      <c r="BM233" s="173"/>
      <c r="BN233" s="174"/>
      <c r="BO233" s="174"/>
      <c r="BP233" s="172"/>
      <c r="BQ233" s="172"/>
      <c r="BR233" s="175" t="s">
        <v>1018</v>
      </c>
      <c r="BS233" s="175">
        <v>0.15</v>
      </c>
    </row>
    <row r="234" spans="63:71" ht="15.75" customHeight="1" x14ac:dyDescent="0.3">
      <c r="BK234" s="171"/>
      <c r="BL234" s="173"/>
      <c r="BM234" s="173"/>
      <c r="BN234" s="174"/>
      <c r="BO234" s="174"/>
      <c r="BP234" s="172"/>
      <c r="BQ234" s="172"/>
      <c r="BR234" s="175" t="s">
        <v>1024</v>
      </c>
      <c r="BS234" s="175">
        <v>0.15</v>
      </c>
    </row>
    <row r="235" spans="63:71" ht="15.75" customHeight="1" x14ac:dyDescent="0.3">
      <c r="BK235" s="171"/>
      <c r="BL235" s="173"/>
      <c r="BM235" s="173"/>
      <c r="BN235" s="174"/>
      <c r="BO235" s="174"/>
      <c r="BP235" s="172"/>
      <c r="BQ235" s="172"/>
      <c r="BR235" s="175" t="s">
        <v>1030</v>
      </c>
      <c r="BS235" s="175">
        <v>0.2</v>
      </c>
    </row>
    <row r="236" spans="63:71" ht="15.75" customHeight="1" x14ac:dyDescent="0.3">
      <c r="BK236" s="171"/>
      <c r="BL236" s="173"/>
      <c r="BM236" s="173"/>
      <c r="BN236" s="174"/>
      <c r="BO236" s="174"/>
      <c r="BP236" s="172"/>
      <c r="BQ236" s="172"/>
      <c r="BR236" s="175" t="s">
        <v>1036</v>
      </c>
      <c r="BS236" s="175">
        <v>0.15</v>
      </c>
    </row>
    <row r="237" spans="63:71" ht="15.75" customHeight="1" x14ac:dyDescent="0.3">
      <c r="BK237" s="171"/>
      <c r="BL237" s="173"/>
      <c r="BM237" s="173"/>
      <c r="BN237" s="174"/>
      <c r="BO237" s="174"/>
      <c r="BP237" s="172"/>
      <c r="BQ237" s="172"/>
      <c r="BR237" s="175" t="s">
        <v>1041</v>
      </c>
      <c r="BS237" s="175">
        <v>0.2</v>
      </c>
    </row>
    <row r="238" spans="63:71" ht="15.75" customHeight="1" x14ac:dyDescent="0.3">
      <c r="BK238" s="171"/>
      <c r="BL238" s="173"/>
      <c r="BM238" s="173"/>
      <c r="BN238" s="174"/>
      <c r="BO238" s="174"/>
      <c r="BP238" s="172"/>
      <c r="BQ238" s="172"/>
      <c r="BR238" s="175" t="s">
        <v>1046</v>
      </c>
      <c r="BS238" s="175">
        <v>0.2</v>
      </c>
    </row>
    <row r="239" spans="63:71" ht="15.75" customHeight="1" x14ac:dyDescent="0.3">
      <c r="BK239" s="171"/>
      <c r="BL239" s="173"/>
      <c r="BM239" s="173"/>
      <c r="BN239" s="174"/>
      <c r="BO239" s="174"/>
      <c r="BP239" s="172"/>
      <c r="BQ239" s="172"/>
      <c r="BR239" s="175" t="s">
        <v>1051</v>
      </c>
      <c r="BS239" s="175">
        <v>0.3</v>
      </c>
    </row>
    <row r="240" spans="63:71" ht="15.75" customHeight="1" x14ac:dyDescent="0.3">
      <c r="BK240" s="171"/>
      <c r="BL240" s="173"/>
      <c r="BM240" s="173"/>
      <c r="BN240" s="174"/>
      <c r="BO240" s="174"/>
      <c r="BP240" s="172"/>
      <c r="BQ240" s="172"/>
      <c r="BR240" s="175" t="s">
        <v>1056</v>
      </c>
      <c r="BS240" s="175">
        <v>0.5</v>
      </c>
    </row>
    <row r="257" spans="63:71" ht="15.75" customHeight="1" x14ac:dyDescent="0.3">
      <c r="BK257" s="171">
        <v>6</v>
      </c>
      <c r="BL257" s="173"/>
      <c r="BM257" s="173"/>
      <c r="BN257" s="174" t="s">
        <v>1348</v>
      </c>
      <c r="BO257" s="174">
        <v>0.3</v>
      </c>
      <c r="BP257" s="172" t="s">
        <v>1349</v>
      </c>
      <c r="BQ257" s="172">
        <v>0.2</v>
      </c>
      <c r="BR257" s="175" t="s">
        <v>1350</v>
      </c>
      <c r="BS257" s="175">
        <v>0.2</v>
      </c>
    </row>
    <row r="258" spans="63:71" ht="15.75" customHeight="1" x14ac:dyDescent="0.3">
      <c r="BK258" s="171"/>
      <c r="BL258" s="173"/>
      <c r="BM258" s="173"/>
      <c r="BN258" s="174" t="s">
        <v>1349</v>
      </c>
      <c r="BO258" s="174">
        <v>0.2</v>
      </c>
      <c r="BP258" s="172" t="s">
        <v>1351</v>
      </c>
      <c r="BQ258" s="172">
        <v>0.3</v>
      </c>
      <c r="BR258" s="175" t="s">
        <v>1352</v>
      </c>
      <c r="BS258" s="175">
        <v>0.05</v>
      </c>
    </row>
    <row r="259" spans="63:71" ht="15.75" customHeight="1" x14ac:dyDescent="0.3">
      <c r="BK259" s="171"/>
      <c r="BL259" s="173"/>
      <c r="BM259" s="173"/>
      <c r="BN259" s="174" t="s">
        <v>1353</v>
      </c>
      <c r="BO259" s="174">
        <v>0.25</v>
      </c>
      <c r="BP259" s="172" t="s">
        <v>138</v>
      </c>
      <c r="BQ259" s="172">
        <v>0.3</v>
      </c>
      <c r="BR259" s="175" t="s">
        <v>1354</v>
      </c>
      <c r="BS259" s="175">
        <v>0.3</v>
      </c>
    </row>
    <row r="260" spans="63:71" ht="15.75" customHeight="1" x14ac:dyDescent="0.3">
      <c r="BK260" s="171"/>
      <c r="BL260" s="173"/>
      <c r="BM260" s="173"/>
      <c r="BN260" s="174" t="s">
        <v>1355</v>
      </c>
      <c r="BO260" s="174">
        <v>0.05</v>
      </c>
      <c r="BP260" s="172" t="s">
        <v>1356</v>
      </c>
      <c r="BQ260" s="172">
        <v>0.5</v>
      </c>
      <c r="BR260" s="175" t="s">
        <v>1353</v>
      </c>
      <c r="BS260" s="175">
        <v>0.3</v>
      </c>
    </row>
    <row r="261" spans="63:71" ht="15.75" customHeight="1" x14ac:dyDescent="0.3">
      <c r="BK261" s="171"/>
      <c r="BL261" s="173"/>
      <c r="BM261" s="173"/>
      <c r="BN261" s="174" t="s">
        <v>1351</v>
      </c>
      <c r="BO261" s="174">
        <v>0.3</v>
      </c>
      <c r="BP261" s="172" t="s">
        <v>1357</v>
      </c>
      <c r="BQ261" s="172">
        <v>0.4</v>
      </c>
      <c r="BR261" s="175" t="s">
        <v>1358</v>
      </c>
      <c r="BS261" s="175">
        <v>0.1</v>
      </c>
    </row>
    <row r="262" spans="63:71" ht="15.75" customHeight="1" x14ac:dyDescent="0.3">
      <c r="BK262" s="171"/>
      <c r="BL262" s="173"/>
      <c r="BM262" s="173"/>
      <c r="BN262" s="174" t="s">
        <v>1359</v>
      </c>
      <c r="BO262" s="174">
        <v>0.4</v>
      </c>
      <c r="BP262" s="172" t="s">
        <v>1360</v>
      </c>
      <c r="BQ262" s="172">
        <v>0.7</v>
      </c>
      <c r="BR262" s="175" t="s">
        <v>1361</v>
      </c>
      <c r="BS262" s="175">
        <v>0.15</v>
      </c>
    </row>
    <row r="263" spans="63:71" ht="15.75" customHeight="1" x14ac:dyDescent="0.3">
      <c r="BK263" s="171"/>
      <c r="BL263" s="173"/>
      <c r="BM263" s="173"/>
      <c r="BN263" s="174" t="s">
        <v>138</v>
      </c>
      <c r="BO263" s="174">
        <v>0.3</v>
      </c>
      <c r="BP263" s="172" t="s">
        <v>1348</v>
      </c>
      <c r="BQ263" s="172">
        <v>0.3</v>
      </c>
      <c r="BR263" s="175" t="s">
        <v>1362</v>
      </c>
      <c r="BS263" s="175">
        <v>0.4</v>
      </c>
    </row>
    <row r="264" spans="63:71" ht="15.75" customHeight="1" x14ac:dyDescent="0.3">
      <c r="BK264" s="171"/>
      <c r="BL264" s="173"/>
      <c r="BM264" s="173"/>
      <c r="BN264" s="174" t="s">
        <v>1363</v>
      </c>
      <c r="BO264" s="174">
        <v>0.35</v>
      </c>
      <c r="BP264" s="172"/>
      <c r="BQ264" s="172"/>
      <c r="BR264" s="175" t="s">
        <v>1363</v>
      </c>
      <c r="BS264" s="175">
        <v>0.4</v>
      </c>
    </row>
    <row r="265" spans="63:71" ht="15.75" customHeight="1" x14ac:dyDescent="0.3">
      <c r="BK265" s="171"/>
      <c r="BL265" s="173"/>
      <c r="BM265" s="173"/>
      <c r="BN265" s="174" t="s">
        <v>1364</v>
      </c>
      <c r="BO265" s="174">
        <v>0.1</v>
      </c>
      <c r="BP265" s="172"/>
      <c r="BQ265" s="172"/>
      <c r="BR265" s="175" t="s">
        <v>1365</v>
      </c>
      <c r="BS265" s="175">
        <v>0.2</v>
      </c>
    </row>
    <row r="266" spans="63:71" ht="15.75" customHeight="1" x14ac:dyDescent="0.3">
      <c r="BK266" s="171"/>
      <c r="BL266" s="173"/>
      <c r="BM266" s="173"/>
      <c r="BN266" s="174" t="s">
        <v>1356</v>
      </c>
      <c r="BO266" s="174">
        <v>0.5</v>
      </c>
      <c r="BP266" s="172"/>
      <c r="BQ266" s="172"/>
      <c r="BR266" s="175" t="s">
        <v>1366</v>
      </c>
      <c r="BS266" s="175">
        <v>0.25</v>
      </c>
    </row>
    <row r="267" spans="63:71" ht="15.75" customHeight="1" x14ac:dyDescent="0.3">
      <c r="BK267" s="171"/>
      <c r="BL267" s="173"/>
      <c r="BM267" s="173"/>
      <c r="BN267" s="174" t="s">
        <v>1367</v>
      </c>
      <c r="BO267" s="174">
        <v>0.5</v>
      </c>
      <c r="BP267" s="172"/>
      <c r="BQ267" s="172"/>
      <c r="BR267" s="175"/>
      <c r="BS267" s="175"/>
    </row>
    <row r="268" spans="63:71" ht="15.75" customHeight="1" x14ac:dyDescent="0.3">
      <c r="BK268" s="171"/>
      <c r="BL268" s="173"/>
      <c r="BM268" s="173"/>
      <c r="BN268" s="174" t="s">
        <v>1357</v>
      </c>
      <c r="BO268" s="174">
        <v>0.4</v>
      </c>
      <c r="BP268" s="172"/>
      <c r="BQ268" s="172"/>
      <c r="BR268" s="175"/>
      <c r="BS268" s="175"/>
    </row>
    <row r="269" spans="63:71" ht="15.75" customHeight="1" x14ac:dyDescent="0.3">
      <c r="BK269" s="171"/>
      <c r="BL269" s="173"/>
      <c r="BM269" s="173"/>
      <c r="BN269" s="174" t="s">
        <v>1368</v>
      </c>
      <c r="BO269" s="174">
        <v>0.45</v>
      </c>
      <c r="BP269" s="172"/>
      <c r="BQ269" s="172"/>
      <c r="BR269" s="175"/>
      <c r="BS269" s="175"/>
    </row>
    <row r="270" spans="63:71" ht="15.75" customHeight="1" x14ac:dyDescent="0.3">
      <c r="BK270" s="171"/>
      <c r="BL270" s="173"/>
      <c r="BM270" s="173"/>
      <c r="BN270" s="174" t="s">
        <v>1369</v>
      </c>
      <c r="BO270" s="174">
        <v>0.15</v>
      </c>
      <c r="BP270" s="172"/>
      <c r="BQ270" s="172"/>
      <c r="BR270" s="175"/>
      <c r="BS270" s="175"/>
    </row>
    <row r="271" spans="63:71" ht="15.75" customHeight="1" x14ac:dyDescent="0.3">
      <c r="BK271" s="171"/>
      <c r="BL271" s="173"/>
      <c r="BM271" s="173"/>
      <c r="BN271" s="174" t="s">
        <v>1360</v>
      </c>
      <c r="BO271" s="174">
        <v>0.7</v>
      </c>
      <c r="BP271" s="172"/>
      <c r="BQ271" s="172"/>
      <c r="BR271" s="175"/>
      <c r="BS271" s="175"/>
    </row>
    <row r="272" spans="63:71" ht="15.75" customHeight="1" x14ac:dyDescent="0.3">
      <c r="BK272" s="171"/>
      <c r="BL272" s="173"/>
      <c r="BM272" s="173"/>
      <c r="BN272" s="174" t="s">
        <v>139</v>
      </c>
      <c r="BO272" s="174">
        <v>0.5</v>
      </c>
      <c r="BP272" s="172"/>
      <c r="BQ272" s="172"/>
      <c r="BR272" s="175"/>
      <c r="BS272" s="175"/>
    </row>
    <row r="273" spans="63:71" ht="15.75" customHeight="1" x14ac:dyDescent="0.3">
      <c r="BK273" s="171"/>
      <c r="BL273" s="173"/>
      <c r="BM273" s="173"/>
      <c r="BN273" s="174" t="s">
        <v>1370</v>
      </c>
      <c r="BO273" s="174">
        <v>0.2</v>
      </c>
      <c r="BP273" s="172"/>
      <c r="BQ273" s="172"/>
      <c r="BR273" s="175"/>
      <c r="BS273" s="175"/>
    </row>
    <row r="274" spans="63:71" ht="15.75" customHeight="1" x14ac:dyDescent="0.3">
      <c r="BK274" s="171"/>
      <c r="BL274" s="173"/>
      <c r="BM274" s="173"/>
      <c r="BN274" s="174" t="s">
        <v>1371</v>
      </c>
      <c r="BO274" s="174">
        <v>0.9</v>
      </c>
      <c r="BP274" s="172"/>
      <c r="BQ274" s="172"/>
      <c r="BR274" s="175"/>
      <c r="BS274" s="175"/>
    </row>
    <row r="275" spans="63:71" ht="15.75" customHeight="1" x14ac:dyDescent="0.3">
      <c r="BK275" s="171"/>
      <c r="BL275" s="173"/>
      <c r="BM275" s="173"/>
      <c r="BN275" s="174" t="s">
        <v>1372</v>
      </c>
      <c r="BO275" s="174">
        <v>0.5</v>
      </c>
      <c r="BP275" s="172"/>
      <c r="BQ275" s="172"/>
      <c r="BR275" s="175"/>
      <c r="BS275" s="175"/>
    </row>
    <row r="276" spans="63:71" ht="15.75" customHeight="1" x14ac:dyDescent="0.3">
      <c r="BK276" s="171"/>
      <c r="BL276" s="173"/>
      <c r="BM276" s="173"/>
      <c r="BN276" s="174"/>
      <c r="BO276" s="174"/>
      <c r="BP276" s="172"/>
      <c r="BQ276" s="172"/>
      <c r="BR276" s="175"/>
      <c r="BS276" s="175"/>
    </row>
    <row r="277" spans="63:71" ht="15.75" customHeight="1" x14ac:dyDescent="0.3">
      <c r="BK277" s="171">
        <v>7</v>
      </c>
      <c r="BL277" s="173" t="s">
        <v>1373</v>
      </c>
      <c r="BM277" s="173">
        <v>0.1</v>
      </c>
      <c r="BN277" s="174"/>
      <c r="BO277" s="174"/>
      <c r="BP277" s="172" t="s">
        <v>1373</v>
      </c>
      <c r="BQ277" s="172">
        <v>0.1</v>
      </c>
      <c r="BR277" s="175"/>
      <c r="BS277" s="175"/>
    </row>
    <row r="278" spans="63:71" ht="15.75" customHeight="1" x14ac:dyDescent="0.3">
      <c r="BK278" s="171"/>
      <c r="BL278" s="173" t="s">
        <v>1374</v>
      </c>
      <c r="BM278" s="173">
        <v>0.15</v>
      </c>
      <c r="BN278" s="174"/>
      <c r="BO278" s="174"/>
      <c r="BP278" s="172" t="s">
        <v>1374</v>
      </c>
      <c r="BQ278" s="172">
        <v>0.15</v>
      </c>
      <c r="BR278" s="175"/>
      <c r="BS278" s="175"/>
    </row>
    <row r="279" spans="63:71" ht="15.75" customHeight="1" x14ac:dyDescent="0.3">
      <c r="BK279" s="171"/>
      <c r="BL279" s="173" t="s">
        <v>1375</v>
      </c>
      <c r="BM279" s="173">
        <v>0.2</v>
      </c>
      <c r="BN279" s="174"/>
      <c r="BO279" s="174"/>
      <c r="BP279" s="172" t="s">
        <v>1375</v>
      </c>
      <c r="BQ279" s="172">
        <v>0.2</v>
      </c>
      <c r="BR279" s="175"/>
      <c r="BS279" s="175"/>
    </row>
    <row r="280" spans="63:71" ht="15.75" customHeight="1" x14ac:dyDescent="0.3">
      <c r="BK280" s="171"/>
      <c r="BL280" s="173" t="s">
        <v>1376</v>
      </c>
      <c r="BM280" s="173">
        <v>0.25</v>
      </c>
      <c r="BN280" s="174"/>
      <c r="BO280" s="174"/>
      <c r="BP280" s="172" t="s">
        <v>1376</v>
      </c>
      <c r="BQ280" s="172">
        <v>0.25</v>
      </c>
      <c r="BR280" s="175"/>
      <c r="BS280" s="175"/>
    </row>
    <row r="281" spans="63:71" ht="15.75" customHeight="1" x14ac:dyDescent="0.3">
      <c r="BK281" s="171"/>
      <c r="BL281" s="173" t="s">
        <v>1377</v>
      </c>
      <c r="BM281" s="173">
        <v>0.1</v>
      </c>
      <c r="BN281" s="174"/>
      <c r="BO281" s="174"/>
      <c r="BP281" s="172" t="s">
        <v>1377</v>
      </c>
      <c r="BQ281" s="172">
        <v>0.1</v>
      </c>
      <c r="BR281" s="175"/>
      <c r="BS281" s="175"/>
    </row>
    <row r="282" spans="63:71" ht="15.75" customHeight="1" x14ac:dyDescent="0.3">
      <c r="BK282" s="171"/>
      <c r="BL282" s="173" t="s">
        <v>143</v>
      </c>
      <c r="BM282" s="173">
        <v>0.2</v>
      </c>
      <c r="BN282" s="174"/>
      <c r="BO282" s="174"/>
      <c r="BP282" s="172" t="s">
        <v>143</v>
      </c>
      <c r="BQ282" s="172">
        <v>0.2</v>
      </c>
      <c r="BR282" s="175"/>
      <c r="BS282" s="175"/>
    </row>
    <row r="283" spans="63:71" ht="15.75" customHeight="1" x14ac:dyDescent="0.3">
      <c r="BK283" s="171"/>
      <c r="BL283" s="173" t="s">
        <v>1378</v>
      </c>
      <c r="BM283" s="173">
        <v>0.3</v>
      </c>
      <c r="BN283" s="174"/>
      <c r="BO283" s="174"/>
      <c r="BP283" s="172" t="s">
        <v>1378</v>
      </c>
      <c r="BQ283" s="172">
        <v>0.3</v>
      </c>
      <c r="BR283" s="175"/>
      <c r="BS283" s="175"/>
    </row>
    <row r="284" spans="63:71" ht="15.75" customHeight="1" x14ac:dyDescent="0.3">
      <c r="BK284" s="171"/>
      <c r="BL284" s="173" t="s">
        <v>144</v>
      </c>
      <c r="BM284" s="173">
        <v>0.4</v>
      </c>
      <c r="BN284" s="174"/>
      <c r="BO284" s="174"/>
      <c r="BP284" s="172" t="s">
        <v>144</v>
      </c>
      <c r="BQ284" s="172">
        <v>0.4</v>
      </c>
      <c r="BR284" s="175"/>
      <c r="BS284" s="175"/>
    </row>
    <row r="285" spans="63:71" ht="15.75" customHeight="1" x14ac:dyDescent="0.3">
      <c r="BK285" s="171"/>
      <c r="BL285" s="173" t="s">
        <v>1379</v>
      </c>
      <c r="BM285" s="173">
        <v>0.05</v>
      </c>
      <c r="BN285" s="174"/>
      <c r="BO285" s="174"/>
      <c r="BP285" s="172" t="s">
        <v>1379</v>
      </c>
      <c r="BQ285" s="172">
        <v>0.05</v>
      </c>
      <c r="BR285" s="175"/>
      <c r="BS285" s="175"/>
    </row>
    <row r="286" spans="63:71" ht="15.75" customHeight="1" x14ac:dyDescent="0.3">
      <c r="BK286" s="171"/>
      <c r="BL286" s="173" t="s">
        <v>1380</v>
      </c>
      <c r="BM286" s="173">
        <v>0.2</v>
      </c>
      <c r="BN286" s="174"/>
      <c r="BO286" s="174"/>
      <c r="BP286" s="172" t="s">
        <v>1381</v>
      </c>
      <c r="BQ286" s="172">
        <v>0.3</v>
      </c>
      <c r="BR286" s="175"/>
      <c r="BS286" s="175"/>
    </row>
    <row r="287" spans="63:71" ht="15.75" customHeight="1" x14ac:dyDescent="0.3">
      <c r="BK287" s="171"/>
      <c r="BL287" s="173" t="s">
        <v>1381</v>
      </c>
      <c r="BM287" s="173">
        <v>0.3</v>
      </c>
      <c r="BN287" s="174"/>
      <c r="BO287" s="174"/>
      <c r="BP287" s="172" t="s">
        <v>1382</v>
      </c>
      <c r="BQ287" s="172">
        <v>0.5</v>
      </c>
      <c r="BR287" s="175"/>
      <c r="BS287" s="175"/>
    </row>
    <row r="288" spans="63:71" ht="15.75" customHeight="1" x14ac:dyDescent="0.3">
      <c r="BK288" s="171"/>
      <c r="BL288" s="173" t="s">
        <v>1382</v>
      </c>
      <c r="BM288" s="173">
        <v>0.5</v>
      </c>
      <c r="BN288" s="174"/>
      <c r="BO288" s="174"/>
      <c r="BP288" s="172" t="s">
        <v>1383</v>
      </c>
      <c r="BQ288" s="172">
        <v>0.6</v>
      </c>
      <c r="BR288" s="175"/>
      <c r="BS288" s="175"/>
    </row>
    <row r="289" spans="63:69" ht="15.75" customHeight="1" x14ac:dyDescent="0.3">
      <c r="BK289" s="171"/>
      <c r="BL289" s="173" t="s">
        <v>1383</v>
      </c>
      <c r="BM289" s="173">
        <v>0.6</v>
      </c>
      <c r="BN289" s="174"/>
      <c r="BO289" s="174"/>
      <c r="BP289" s="172" t="s">
        <v>150</v>
      </c>
      <c r="BQ289" s="172">
        <v>0.4</v>
      </c>
    </row>
    <row r="290" spans="63:69" ht="15.75" customHeight="1" x14ac:dyDescent="0.3">
      <c r="BK290" s="171"/>
      <c r="BL290" s="173" t="s">
        <v>1384</v>
      </c>
      <c r="BM290" s="173">
        <v>0.8</v>
      </c>
      <c r="BN290" s="174"/>
      <c r="BO290" s="174"/>
      <c r="BP290" s="172" t="s">
        <v>1385</v>
      </c>
      <c r="BQ290" s="172">
        <v>0.6</v>
      </c>
    </row>
    <row r="291" spans="63:69" ht="15.75" customHeight="1" x14ac:dyDescent="0.3">
      <c r="BK291" s="171"/>
      <c r="BL291" s="173" t="s">
        <v>1386</v>
      </c>
      <c r="BM291" s="173">
        <v>1.4</v>
      </c>
      <c r="BN291" s="174"/>
      <c r="BO291" s="174"/>
      <c r="BP291" s="172" t="s">
        <v>151</v>
      </c>
      <c r="BQ291" s="172">
        <v>0.7</v>
      </c>
    </row>
    <row r="292" spans="63:69" ht="15.75" customHeight="1" x14ac:dyDescent="0.3">
      <c r="BK292" s="171"/>
      <c r="BL292" s="173" t="s">
        <v>1387</v>
      </c>
      <c r="BM292" s="173">
        <v>0.1</v>
      </c>
      <c r="BN292" s="174"/>
      <c r="BO292" s="174"/>
      <c r="BP292" s="172" t="s">
        <v>1388</v>
      </c>
      <c r="BQ292" s="172">
        <v>2.5000000000000001E-2</v>
      </c>
    </row>
    <row r="293" spans="63:69" ht="15.75" customHeight="1" x14ac:dyDescent="0.3">
      <c r="BK293" s="171"/>
      <c r="BL293" s="173" t="s">
        <v>150</v>
      </c>
      <c r="BM293" s="173">
        <v>0.4</v>
      </c>
      <c r="BN293" s="174"/>
      <c r="BO293" s="174"/>
      <c r="BP293" s="172" t="s">
        <v>1389</v>
      </c>
      <c r="BQ293" s="172">
        <v>0.125</v>
      </c>
    </row>
    <row r="294" spans="63:69" ht="15.75" customHeight="1" x14ac:dyDescent="0.3">
      <c r="BK294" s="171"/>
      <c r="BL294" s="173" t="s">
        <v>1385</v>
      </c>
      <c r="BM294" s="173">
        <v>0.6</v>
      </c>
      <c r="BN294" s="174"/>
      <c r="BO294" s="174"/>
      <c r="BP294" s="172" t="s">
        <v>1390</v>
      </c>
      <c r="BQ294" s="172">
        <v>0.17499999999999999</v>
      </c>
    </row>
    <row r="295" spans="63:69" ht="15.75" customHeight="1" x14ac:dyDescent="0.3">
      <c r="BK295" s="171"/>
      <c r="BL295" s="173" t="s">
        <v>151</v>
      </c>
      <c r="BM295" s="173">
        <v>0.7</v>
      </c>
      <c r="BN295" s="174"/>
      <c r="BO295" s="174"/>
      <c r="BP295" s="172" t="s">
        <v>1391</v>
      </c>
      <c r="BQ295" s="172">
        <v>0.22500000000000001</v>
      </c>
    </row>
    <row r="296" spans="63:69" ht="15.75" customHeight="1" x14ac:dyDescent="0.3">
      <c r="BK296" s="171"/>
      <c r="BL296" s="173" t="s">
        <v>1392</v>
      </c>
      <c r="BM296" s="173">
        <v>0.1</v>
      </c>
      <c r="BN296" s="174"/>
      <c r="BO296" s="174"/>
      <c r="BP296" s="172" t="s">
        <v>1393</v>
      </c>
      <c r="BQ296" s="172">
        <v>0.4</v>
      </c>
    </row>
    <row r="297" spans="63:69" ht="15.75" customHeight="1" x14ac:dyDescent="0.3">
      <c r="BK297" s="171"/>
      <c r="BL297" s="173" t="s">
        <v>1388</v>
      </c>
      <c r="BM297" s="173">
        <v>2.5000000000000001E-2</v>
      </c>
      <c r="BN297" s="174"/>
      <c r="BO297" s="174"/>
      <c r="BP297" s="172" t="s">
        <v>1394</v>
      </c>
      <c r="BQ297" s="172">
        <v>0.5</v>
      </c>
    </row>
    <row r="298" spans="63:69" ht="15.75" customHeight="1" x14ac:dyDescent="0.3">
      <c r="BK298" s="171"/>
      <c r="BL298" s="173" t="s">
        <v>1389</v>
      </c>
      <c r="BM298" s="173">
        <v>0.125</v>
      </c>
      <c r="BN298" s="174"/>
      <c r="BO298" s="174"/>
      <c r="BP298" s="172" t="s">
        <v>1395</v>
      </c>
      <c r="BQ298" s="172">
        <v>0.6</v>
      </c>
    </row>
    <row r="299" spans="63:69" ht="15.75" customHeight="1" x14ac:dyDescent="0.3">
      <c r="BK299" s="171"/>
      <c r="BL299" s="173" t="s">
        <v>1390</v>
      </c>
      <c r="BM299" s="173">
        <v>0.17499999999999999</v>
      </c>
      <c r="BN299" s="174"/>
      <c r="BO299" s="174"/>
      <c r="BP299" s="172" t="s">
        <v>1396</v>
      </c>
      <c r="BQ299" s="172">
        <v>0.7</v>
      </c>
    </row>
    <row r="300" spans="63:69" ht="15.75" customHeight="1" x14ac:dyDescent="0.3">
      <c r="BK300" s="171"/>
      <c r="BL300" s="173" t="s">
        <v>1391</v>
      </c>
      <c r="BM300" s="173">
        <v>0.22500000000000001</v>
      </c>
      <c r="BN300" s="174"/>
      <c r="BO300" s="174"/>
      <c r="BP300" s="172" t="s">
        <v>1397</v>
      </c>
      <c r="BQ300" s="172">
        <v>0.6</v>
      </c>
    </row>
    <row r="301" spans="63:69" ht="15.75" customHeight="1" x14ac:dyDescent="0.3">
      <c r="BK301" s="171"/>
      <c r="BL301" s="173" t="s">
        <v>1398</v>
      </c>
      <c r="BM301" s="173">
        <v>0.3</v>
      </c>
      <c r="BN301" s="174"/>
      <c r="BO301" s="174"/>
      <c r="BP301" s="172" t="s">
        <v>1399</v>
      </c>
      <c r="BQ301" s="172">
        <v>0.7</v>
      </c>
    </row>
    <row r="302" spans="63:69" ht="15.75" customHeight="1" x14ac:dyDescent="0.3">
      <c r="BK302" s="171"/>
      <c r="BL302" s="173" t="s">
        <v>1393</v>
      </c>
      <c r="BM302" s="173">
        <v>0.4</v>
      </c>
      <c r="BN302" s="174"/>
      <c r="BO302" s="174"/>
      <c r="BP302" s="172" t="s">
        <v>1400</v>
      </c>
      <c r="BQ302" s="172">
        <v>0.9</v>
      </c>
    </row>
    <row r="303" spans="63:69" ht="15.75" customHeight="1" x14ac:dyDescent="0.3">
      <c r="BK303" s="171"/>
      <c r="BL303" s="173" t="s">
        <v>1394</v>
      </c>
      <c r="BM303" s="173">
        <v>0.5</v>
      </c>
      <c r="BN303" s="174"/>
      <c r="BO303" s="174"/>
      <c r="BP303" s="172" t="s">
        <v>1401</v>
      </c>
      <c r="BQ303" s="172">
        <v>1</v>
      </c>
    </row>
    <row r="304" spans="63:69" ht="15.75" customHeight="1" x14ac:dyDescent="0.3">
      <c r="BK304" s="171"/>
      <c r="BL304" s="173" t="s">
        <v>1395</v>
      </c>
      <c r="BM304" s="173">
        <v>0.6</v>
      </c>
      <c r="BN304" s="174"/>
      <c r="BO304" s="174"/>
      <c r="BP304" s="172" t="s">
        <v>1387</v>
      </c>
      <c r="BQ304" s="172">
        <v>0.1</v>
      </c>
    </row>
    <row r="305" spans="63:71" ht="15.75" customHeight="1" x14ac:dyDescent="0.3">
      <c r="BK305" s="171"/>
      <c r="BL305" s="173" t="s">
        <v>1396</v>
      </c>
      <c r="BM305" s="173">
        <v>0.7</v>
      </c>
      <c r="BN305" s="174"/>
      <c r="BO305" s="174"/>
      <c r="BP305" s="172" t="s">
        <v>1392</v>
      </c>
      <c r="BQ305" s="172">
        <v>0.1</v>
      </c>
      <c r="BR305" s="175"/>
      <c r="BS305" s="175"/>
    </row>
    <row r="306" spans="63:71" ht="15.75" customHeight="1" x14ac:dyDescent="0.3">
      <c r="BK306" s="171"/>
      <c r="BL306" s="173" t="s">
        <v>1402</v>
      </c>
      <c r="BM306" s="173">
        <v>0.8</v>
      </c>
      <c r="BN306" s="174"/>
      <c r="BO306" s="174"/>
      <c r="BP306" s="172"/>
      <c r="BQ306" s="172"/>
      <c r="BR306" s="175"/>
      <c r="BS306" s="175"/>
    </row>
    <row r="307" spans="63:71" ht="15.75" customHeight="1" x14ac:dyDescent="0.3">
      <c r="BK307" s="171"/>
      <c r="BL307" s="173" t="s">
        <v>1397</v>
      </c>
      <c r="BM307" s="173">
        <v>0.6</v>
      </c>
      <c r="BN307" s="174"/>
      <c r="BO307" s="174"/>
      <c r="BP307" s="172"/>
      <c r="BQ307" s="172"/>
      <c r="BR307" s="175"/>
      <c r="BS307" s="175"/>
    </row>
    <row r="308" spans="63:71" ht="15.75" customHeight="1" x14ac:dyDescent="0.3">
      <c r="BK308" s="171"/>
      <c r="BL308" s="173" t="s">
        <v>1399</v>
      </c>
      <c r="BM308" s="173">
        <v>0.7</v>
      </c>
      <c r="BN308" s="174"/>
      <c r="BO308" s="174"/>
      <c r="BP308" s="172"/>
      <c r="BQ308" s="172"/>
      <c r="BR308" s="175"/>
      <c r="BS308" s="175"/>
    </row>
    <row r="309" spans="63:71" ht="15.75" customHeight="1" x14ac:dyDescent="0.3">
      <c r="BK309" s="171"/>
      <c r="BL309" s="173" t="s">
        <v>1400</v>
      </c>
      <c r="BM309" s="173">
        <v>0.9</v>
      </c>
      <c r="BN309" s="174"/>
      <c r="BO309" s="174"/>
      <c r="BP309" s="172"/>
      <c r="BQ309" s="172"/>
      <c r="BR309" s="175"/>
      <c r="BS309" s="175"/>
    </row>
    <row r="310" spans="63:71" ht="15.75" customHeight="1" x14ac:dyDescent="0.3">
      <c r="BK310" s="171"/>
      <c r="BL310" s="173" t="s">
        <v>1401</v>
      </c>
      <c r="BM310" s="173">
        <v>1</v>
      </c>
      <c r="BN310" s="174"/>
      <c r="BO310" s="174"/>
      <c r="BP310" s="172"/>
      <c r="BQ310" s="172"/>
      <c r="BR310" s="175"/>
      <c r="BS310" s="175"/>
    </row>
    <row r="311" spans="63:71" ht="15.75" customHeight="1" x14ac:dyDescent="0.3">
      <c r="BK311" s="171"/>
      <c r="BL311" s="173" t="s">
        <v>1403</v>
      </c>
      <c r="BM311" s="173">
        <v>0.35</v>
      </c>
      <c r="BN311" s="174"/>
      <c r="BO311" s="174"/>
      <c r="BP311" s="172"/>
      <c r="BQ311" s="172"/>
      <c r="BR311" s="175"/>
      <c r="BS311" s="175"/>
    </row>
    <row r="312" spans="63:71" ht="15.75" customHeight="1" x14ac:dyDescent="0.3">
      <c r="BK312" s="171"/>
      <c r="BL312" s="173" t="s">
        <v>1404</v>
      </c>
      <c r="BM312" s="173">
        <v>0.8</v>
      </c>
      <c r="BN312" s="174"/>
      <c r="BO312" s="174"/>
      <c r="BP312" s="172"/>
      <c r="BQ312" s="172"/>
      <c r="BR312" s="175"/>
      <c r="BS312" s="175"/>
    </row>
    <row r="313" spans="63:71" ht="15.75" customHeight="1" x14ac:dyDescent="0.3">
      <c r="BK313" s="171"/>
      <c r="BL313" s="173" t="s">
        <v>1405</v>
      </c>
      <c r="BM313" s="173">
        <v>0.9</v>
      </c>
      <c r="BN313" s="174"/>
      <c r="BO313" s="174"/>
      <c r="BP313" s="172"/>
      <c r="BQ313" s="172"/>
      <c r="BR313" s="175"/>
      <c r="BS313" s="175"/>
    </row>
    <row r="314" spans="63:71" ht="15.75" customHeight="1" x14ac:dyDescent="0.3">
      <c r="BK314" s="171"/>
      <c r="BL314" s="173"/>
      <c r="BM314" s="173"/>
      <c r="BN314" s="174"/>
      <c r="BO314" s="174"/>
      <c r="BP314" s="172"/>
      <c r="BQ314" s="172"/>
      <c r="BR314" s="175"/>
      <c r="BS314" s="175"/>
    </row>
    <row r="315" spans="63:71" ht="15.75" customHeight="1" x14ac:dyDescent="0.3">
      <c r="BK315" s="171"/>
      <c r="BL315" s="173"/>
      <c r="BM315" s="173"/>
      <c r="BN315" s="174"/>
      <c r="BO315" s="174"/>
      <c r="BP315" s="172"/>
      <c r="BQ315" s="172"/>
      <c r="BR315" s="175"/>
      <c r="BS315" s="175"/>
    </row>
    <row r="316" spans="63:71" ht="15.75" customHeight="1" x14ac:dyDescent="0.3">
      <c r="BK316" s="171"/>
      <c r="BL316" s="173"/>
      <c r="BM316" s="173"/>
      <c r="BN316" s="174"/>
      <c r="BO316" s="174"/>
      <c r="BP316" s="172"/>
      <c r="BQ316" s="172"/>
      <c r="BR316" s="175"/>
      <c r="BS316" s="175"/>
    </row>
    <row r="317" spans="63:71" ht="15.75" customHeight="1" x14ac:dyDescent="0.3">
      <c r="BK317" s="171">
        <v>8</v>
      </c>
      <c r="BL317" s="173" t="s">
        <v>1406</v>
      </c>
      <c r="BM317" s="173">
        <v>0.2</v>
      </c>
      <c r="BN317" s="174" t="s">
        <v>1407</v>
      </c>
      <c r="BO317" s="174">
        <v>0.2</v>
      </c>
      <c r="BP317" s="172" t="s">
        <v>1408</v>
      </c>
      <c r="BQ317" s="172">
        <v>0.3</v>
      </c>
      <c r="BR317" s="175" t="s">
        <v>1409</v>
      </c>
      <c r="BS317" s="175">
        <v>0.2</v>
      </c>
    </row>
    <row r="318" spans="63:71" ht="15.75" customHeight="1" x14ac:dyDescent="0.3">
      <c r="BK318" s="171"/>
      <c r="BL318" s="173" t="s">
        <v>1410</v>
      </c>
      <c r="BM318" s="173">
        <v>0.5</v>
      </c>
      <c r="BN318" s="174" t="s">
        <v>1411</v>
      </c>
      <c r="BO318" s="174">
        <v>0.3</v>
      </c>
      <c r="BP318" s="172" t="s">
        <v>1412</v>
      </c>
      <c r="BQ318" s="172">
        <v>0.3</v>
      </c>
      <c r="BR318" s="175" t="s">
        <v>1413</v>
      </c>
      <c r="BS318" s="175">
        <v>0.1</v>
      </c>
    </row>
    <row r="319" spans="63:71" ht="15.75" customHeight="1" x14ac:dyDescent="0.3">
      <c r="BK319" s="171"/>
      <c r="BL319" s="173" t="s">
        <v>1414</v>
      </c>
      <c r="BM319" s="173">
        <v>0.4</v>
      </c>
      <c r="BN319" s="174" t="s">
        <v>1415</v>
      </c>
      <c r="BO319" s="174">
        <v>0.1</v>
      </c>
      <c r="BP319" s="172" t="s">
        <v>1416</v>
      </c>
      <c r="BQ319" s="172">
        <v>0.2</v>
      </c>
      <c r="BR319" s="175" t="s">
        <v>1417</v>
      </c>
      <c r="BS319" s="175">
        <v>0.05</v>
      </c>
    </row>
    <row r="320" spans="63:71" ht="15.75" customHeight="1" x14ac:dyDescent="0.3">
      <c r="BK320" s="171"/>
      <c r="BL320" s="173" t="s">
        <v>1418</v>
      </c>
      <c r="BM320" s="173">
        <v>0.2</v>
      </c>
      <c r="BN320" s="174" t="s">
        <v>1419</v>
      </c>
      <c r="BO320" s="174">
        <v>0.2</v>
      </c>
      <c r="BP320" s="172" t="s">
        <v>1420</v>
      </c>
      <c r="BQ320" s="172">
        <v>0.1</v>
      </c>
      <c r="BR320" s="175" t="s">
        <v>1421</v>
      </c>
      <c r="BS320" s="175">
        <v>0.1</v>
      </c>
    </row>
    <row r="321" spans="63:71" ht="15.75" customHeight="1" x14ac:dyDescent="0.3">
      <c r="BK321" s="171"/>
      <c r="BL321" s="173" t="s">
        <v>1422</v>
      </c>
      <c r="BM321" s="173">
        <v>0.4</v>
      </c>
      <c r="BN321" s="174" t="s">
        <v>1423</v>
      </c>
      <c r="BO321" s="174">
        <v>0.1</v>
      </c>
      <c r="BP321" s="172" t="s">
        <v>1424</v>
      </c>
      <c r="BQ321" s="172">
        <v>0.3</v>
      </c>
      <c r="BR321" s="175" t="s">
        <v>1425</v>
      </c>
      <c r="BS321" s="175">
        <v>0.2</v>
      </c>
    </row>
    <row r="322" spans="63:71" ht="15.75" customHeight="1" x14ac:dyDescent="0.3">
      <c r="BK322" s="171"/>
      <c r="BL322" s="173" t="s">
        <v>1426</v>
      </c>
      <c r="BM322" s="173">
        <v>2.5000000000000001E-2</v>
      </c>
      <c r="BN322" s="174" t="s">
        <v>1427</v>
      </c>
      <c r="BO322" s="174">
        <v>0.2</v>
      </c>
      <c r="BP322" s="172" t="s">
        <v>1428</v>
      </c>
      <c r="BQ322" s="172">
        <v>0.2</v>
      </c>
      <c r="BR322" s="175" t="s">
        <v>1429</v>
      </c>
      <c r="BS322" s="175">
        <v>0.2</v>
      </c>
    </row>
    <row r="323" spans="63:71" ht="15.75" customHeight="1" x14ac:dyDescent="0.3">
      <c r="BK323" s="171"/>
      <c r="BL323" s="173" t="s">
        <v>1430</v>
      </c>
      <c r="BM323" s="173">
        <v>0.3</v>
      </c>
      <c r="BN323" s="174" t="s">
        <v>1431</v>
      </c>
      <c r="BO323" s="174">
        <v>0.05</v>
      </c>
      <c r="BP323" s="172" t="s">
        <v>1432</v>
      </c>
      <c r="BQ323" s="172">
        <v>0.2</v>
      </c>
      <c r="BR323" s="175" t="s">
        <v>1433</v>
      </c>
      <c r="BS323" s="175">
        <v>0.2</v>
      </c>
    </row>
    <row r="324" spans="63:71" ht="15.75" customHeight="1" x14ac:dyDescent="0.3">
      <c r="BK324" s="171"/>
      <c r="BL324" s="173" t="s">
        <v>1434</v>
      </c>
      <c r="BM324" s="173">
        <v>0.1</v>
      </c>
      <c r="BN324" s="174" t="s">
        <v>1435</v>
      </c>
      <c r="BO324" s="174">
        <v>0.2</v>
      </c>
      <c r="BP324" s="172" t="s">
        <v>1436</v>
      </c>
      <c r="BQ324" s="172">
        <v>0.1</v>
      </c>
      <c r="BR324" s="175" t="s">
        <v>1437</v>
      </c>
      <c r="BS324" s="175">
        <v>0.2</v>
      </c>
    </row>
    <row r="325" spans="63:71" ht="15.75" customHeight="1" x14ac:dyDescent="0.3">
      <c r="BK325" s="171"/>
      <c r="BL325" s="173" t="s">
        <v>1438</v>
      </c>
      <c r="BM325" s="173">
        <v>2.5000000000000001E-2</v>
      </c>
      <c r="BN325" s="174" t="s">
        <v>1439</v>
      </c>
      <c r="BO325" s="174">
        <v>0.05</v>
      </c>
      <c r="BP325" s="172" t="s">
        <v>1440</v>
      </c>
      <c r="BQ325" s="172">
        <v>0.1</v>
      </c>
      <c r="BR325" s="175" t="s">
        <v>1441</v>
      </c>
      <c r="BS325" s="175">
        <v>0.05</v>
      </c>
    </row>
    <row r="326" spans="63:71" ht="15.75" customHeight="1" x14ac:dyDescent="0.3">
      <c r="BK326" s="171"/>
      <c r="BL326" s="173" t="s">
        <v>1442</v>
      </c>
      <c r="BM326" s="173">
        <v>0.15</v>
      </c>
      <c r="BN326" s="174" t="s">
        <v>1443</v>
      </c>
      <c r="BO326" s="174">
        <v>0.1</v>
      </c>
      <c r="BP326" s="172" t="s">
        <v>1444</v>
      </c>
      <c r="BQ326" s="172">
        <v>0.05</v>
      </c>
      <c r="BR326" s="175" t="s">
        <v>1445</v>
      </c>
      <c r="BS326" s="175">
        <v>0.2</v>
      </c>
    </row>
    <row r="327" spans="63:71" ht="15.75" customHeight="1" x14ac:dyDescent="0.3">
      <c r="BK327" s="171"/>
      <c r="BL327" s="173" t="s">
        <v>1446</v>
      </c>
      <c r="BM327" s="173">
        <v>0.05</v>
      </c>
      <c r="BN327" s="174" t="s">
        <v>1447</v>
      </c>
      <c r="BO327" s="174">
        <v>0.1</v>
      </c>
      <c r="BP327" s="172" t="s">
        <v>1448</v>
      </c>
      <c r="BQ327" s="172">
        <v>0.1</v>
      </c>
      <c r="BR327" s="175" t="s">
        <v>1449</v>
      </c>
      <c r="BS327" s="175">
        <v>0.3</v>
      </c>
    </row>
    <row r="328" spans="63:71" ht="15.75" customHeight="1" x14ac:dyDescent="0.3">
      <c r="BK328" s="171"/>
      <c r="BL328" s="173" t="s">
        <v>1450</v>
      </c>
      <c r="BM328" s="173">
        <v>0.1</v>
      </c>
      <c r="BN328" s="174" t="s">
        <v>1451</v>
      </c>
      <c r="BO328" s="174">
        <v>0.2</v>
      </c>
      <c r="BP328" s="172" t="s">
        <v>1452</v>
      </c>
      <c r="BQ328" s="172">
        <v>0.05</v>
      </c>
      <c r="BR328" s="175" t="s">
        <v>1453</v>
      </c>
      <c r="BS328" s="175">
        <v>0.3</v>
      </c>
    </row>
    <row r="329" spans="63:71" ht="15.75" customHeight="1" x14ac:dyDescent="0.3">
      <c r="BK329" s="171"/>
      <c r="BL329" s="173" t="s">
        <v>1454</v>
      </c>
      <c r="BM329" s="173">
        <v>0.2</v>
      </c>
      <c r="BN329" s="174" t="s">
        <v>1455</v>
      </c>
      <c r="BO329" s="174">
        <v>0.1</v>
      </c>
      <c r="BP329" s="172" t="s">
        <v>1456</v>
      </c>
      <c r="BQ329" s="172">
        <v>0.3</v>
      </c>
      <c r="BR329" s="175" t="s">
        <v>1457</v>
      </c>
      <c r="BS329" s="175">
        <v>0.3</v>
      </c>
    </row>
    <row r="330" spans="63:71" ht="15.75" customHeight="1" x14ac:dyDescent="0.3">
      <c r="BK330" s="171"/>
      <c r="BL330" s="173" t="s">
        <v>1458</v>
      </c>
      <c r="BM330" s="173">
        <v>0.2</v>
      </c>
      <c r="BN330" s="174" t="s">
        <v>1459</v>
      </c>
      <c r="BO330" s="174">
        <v>0.2</v>
      </c>
      <c r="BP330" s="172" t="s">
        <v>1460</v>
      </c>
      <c r="BQ330" s="172">
        <v>0.05</v>
      </c>
      <c r="BR330" s="175" t="s">
        <v>1461</v>
      </c>
      <c r="BS330" s="175">
        <v>0.2</v>
      </c>
    </row>
    <row r="331" spans="63:71" ht="15.75" customHeight="1" x14ac:dyDescent="0.3">
      <c r="BK331" s="171"/>
      <c r="BL331" s="173" t="s">
        <v>1462</v>
      </c>
      <c r="BM331" s="173">
        <v>0.1</v>
      </c>
      <c r="BN331" s="174" t="s">
        <v>1463</v>
      </c>
      <c r="BO331" s="174">
        <v>0.05</v>
      </c>
      <c r="BP331" s="172" t="s">
        <v>1464</v>
      </c>
      <c r="BQ331" s="172">
        <v>0.1</v>
      </c>
      <c r="BR331" s="175" t="s">
        <v>1465</v>
      </c>
      <c r="BS331" s="175">
        <v>0.2</v>
      </c>
    </row>
    <row r="332" spans="63:71" ht="15.75" customHeight="1" x14ac:dyDescent="0.3">
      <c r="BK332" s="171"/>
      <c r="BL332" s="173" t="s">
        <v>1466</v>
      </c>
      <c r="BM332" s="173">
        <v>0.05</v>
      </c>
      <c r="BN332" s="174"/>
      <c r="BO332" s="174"/>
      <c r="BP332" s="172" t="s">
        <v>1467</v>
      </c>
      <c r="BQ332" s="172">
        <v>0.4</v>
      </c>
      <c r="BR332" s="175" t="s">
        <v>1468</v>
      </c>
      <c r="BS332" s="175">
        <v>0.1</v>
      </c>
    </row>
    <row r="333" spans="63:71" ht="15.75" customHeight="1" x14ac:dyDescent="0.3">
      <c r="BK333" s="171"/>
      <c r="BL333" s="173"/>
      <c r="BM333" s="173"/>
      <c r="BN333" s="174"/>
      <c r="BO333" s="174"/>
      <c r="BP333" s="172" t="s">
        <v>1469</v>
      </c>
      <c r="BQ333" s="172">
        <v>0.05</v>
      </c>
      <c r="BR333" s="175" t="s">
        <v>1470</v>
      </c>
      <c r="BS333" s="175">
        <v>0.1</v>
      </c>
    </row>
    <row r="334" spans="63:71" ht="15.75" customHeight="1" x14ac:dyDescent="0.3">
      <c r="BK334" s="171"/>
      <c r="BL334" s="173"/>
      <c r="BM334" s="173"/>
      <c r="BN334" s="174"/>
      <c r="BO334" s="174"/>
      <c r="BP334" s="172" t="s">
        <v>1471</v>
      </c>
      <c r="BQ334" s="172">
        <v>0.25</v>
      </c>
      <c r="BR334" s="175" t="s">
        <v>1472</v>
      </c>
      <c r="BS334" s="175">
        <v>0.1</v>
      </c>
    </row>
    <row r="335" spans="63:71" ht="15.75" customHeight="1" x14ac:dyDescent="0.3">
      <c r="BK335" s="171"/>
      <c r="BL335" s="173"/>
      <c r="BM335" s="173"/>
      <c r="BN335" s="174"/>
      <c r="BO335" s="174"/>
      <c r="BP335" s="172" t="s">
        <v>1473</v>
      </c>
      <c r="BQ335" s="172">
        <v>0.6</v>
      </c>
      <c r="BR335" s="175" t="s">
        <v>1474</v>
      </c>
      <c r="BS335" s="175">
        <v>0.1</v>
      </c>
    </row>
    <row r="336" spans="63:71" ht="15.75" customHeight="1" x14ac:dyDescent="0.3">
      <c r="BK336" s="171"/>
      <c r="BL336" s="173"/>
      <c r="BM336" s="173"/>
      <c r="BN336" s="174"/>
      <c r="BO336" s="174"/>
      <c r="BP336" s="172" t="s">
        <v>1475</v>
      </c>
      <c r="BQ336" s="172">
        <v>0.5</v>
      </c>
      <c r="BR336" s="175" t="s">
        <v>1476</v>
      </c>
      <c r="BS336" s="175">
        <v>0.05</v>
      </c>
    </row>
    <row r="337" spans="63:71" ht="15.75" customHeight="1" x14ac:dyDescent="0.3">
      <c r="BK337" s="171"/>
      <c r="BL337" s="173"/>
      <c r="BM337" s="173"/>
      <c r="BN337" s="174"/>
      <c r="BO337" s="174"/>
      <c r="BP337" s="172" t="s">
        <v>1477</v>
      </c>
      <c r="BQ337" s="172">
        <v>0.7</v>
      </c>
      <c r="BR337" s="175" t="s">
        <v>1478</v>
      </c>
      <c r="BS337" s="175">
        <v>0.05</v>
      </c>
    </row>
    <row r="338" spans="63:71" ht="15.75" customHeight="1" x14ac:dyDescent="0.3">
      <c r="BK338" s="171"/>
      <c r="BL338" s="173"/>
      <c r="BM338" s="173"/>
      <c r="BN338" s="174"/>
      <c r="BO338" s="174"/>
      <c r="BP338" s="172"/>
      <c r="BQ338" s="172"/>
      <c r="BR338" s="175" t="s">
        <v>1479</v>
      </c>
      <c r="BS338" s="175">
        <v>0.1</v>
      </c>
    </row>
    <row r="339" spans="63:71" ht="15.75" customHeight="1" x14ac:dyDescent="0.3">
      <c r="BK339" s="171"/>
      <c r="BL339" s="173"/>
      <c r="BM339" s="173"/>
      <c r="BN339" s="174"/>
      <c r="BO339" s="174"/>
      <c r="BP339" s="172"/>
      <c r="BQ339" s="172"/>
      <c r="BR339" s="175" t="s">
        <v>1480</v>
      </c>
      <c r="BS339" s="175">
        <v>0.05</v>
      </c>
    </row>
    <row r="340" spans="63:71" ht="15.75" customHeight="1" x14ac:dyDescent="0.3">
      <c r="BK340" s="171"/>
      <c r="BL340" s="173"/>
      <c r="BM340" s="173"/>
      <c r="BN340" s="174"/>
      <c r="BO340" s="174"/>
      <c r="BP340" s="172"/>
      <c r="BQ340" s="172"/>
      <c r="BR340" s="175" t="s">
        <v>1481</v>
      </c>
      <c r="BS340" s="175">
        <v>0.1</v>
      </c>
    </row>
    <row r="341" spans="63:71" ht="15.75" customHeight="1" x14ac:dyDescent="0.3">
      <c r="BK341" s="171"/>
      <c r="BL341" s="173"/>
      <c r="BM341" s="173"/>
      <c r="BN341" s="174"/>
      <c r="BO341" s="174"/>
      <c r="BP341" s="172"/>
      <c r="BQ341" s="172"/>
      <c r="BR341" s="175" t="s">
        <v>1482</v>
      </c>
      <c r="BS341" s="175">
        <v>0.1</v>
      </c>
    </row>
    <row r="342" spans="63:71" ht="15.75" customHeight="1" x14ac:dyDescent="0.3">
      <c r="BK342" s="171"/>
      <c r="BL342" s="173"/>
      <c r="BM342" s="173"/>
      <c r="BN342" s="174"/>
      <c r="BO342" s="174"/>
      <c r="BP342" s="172"/>
      <c r="BQ342" s="172"/>
      <c r="BR342" s="175" t="s">
        <v>1483</v>
      </c>
      <c r="BS342" s="175">
        <v>0.1</v>
      </c>
    </row>
    <row r="343" spans="63:71" ht="15.75" customHeight="1" x14ac:dyDescent="0.3">
      <c r="BK343" s="171"/>
      <c r="BL343" s="173"/>
      <c r="BM343" s="173"/>
      <c r="BN343" s="174"/>
      <c r="BO343" s="174"/>
      <c r="BP343" s="172"/>
      <c r="BQ343" s="172"/>
      <c r="BR343" s="175" t="s">
        <v>1484</v>
      </c>
      <c r="BS343" s="175">
        <v>0.35</v>
      </c>
    </row>
    <row r="344" spans="63:71" ht="15.75" customHeight="1" x14ac:dyDescent="0.3">
      <c r="BK344" s="171"/>
      <c r="BL344" s="173"/>
      <c r="BM344" s="173"/>
      <c r="BN344" s="174"/>
      <c r="BO344" s="174"/>
      <c r="BP344" s="172"/>
      <c r="BQ344" s="172"/>
      <c r="BR344" s="175" t="s">
        <v>1485</v>
      </c>
      <c r="BS344" s="175">
        <v>0.15</v>
      </c>
    </row>
    <row r="345" spans="63:71" ht="15.75" customHeight="1" x14ac:dyDescent="0.3">
      <c r="BK345" s="171"/>
      <c r="BL345" s="173"/>
      <c r="BM345" s="173"/>
      <c r="BN345" s="174"/>
      <c r="BO345" s="174"/>
      <c r="BP345" s="172"/>
      <c r="BQ345" s="172"/>
      <c r="BR345" s="175" t="s">
        <v>1486</v>
      </c>
      <c r="BS345" s="175">
        <v>0.4</v>
      </c>
    </row>
  </sheetData>
  <mergeCells count="4">
    <mergeCell ref="BE1:BF1"/>
    <mergeCell ref="BL1:BM1"/>
    <mergeCell ref="BN1:BO1"/>
    <mergeCell ref="BR1:BS1"/>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373"/>
  <sheetViews>
    <sheetView workbookViewId="0"/>
  </sheetViews>
  <sheetFormatPr defaultColWidth="14.44140625" defaultRowHeight="15" customHeight="1" x14ac:dyDescent="0.3"/>
  <cols>
    <col min="1" max="1" width="8.77734375" customWidth="1"/>
    <col min="2" max="2" width="15.44140625" customWidth="1"/>
    <col min="3" max="3" width="10.88671875" customWidth="1"/>
    <col min="4" max="4" width="8.77734375" customWidth="1"/>
    <col min="5" max="5" width="9.109375" customWidth="1"/>
    <col min="6" max="7" width="8.77734375" customWidth="1"/>
    <col min="8" max="8" width="9.109375" customWidth="1"/>
    <col min="9" max="10" width="8.77734375" customWidth="1"/>
    <col min="11" max="11" width="9.109375" customWidth="1"/>
    <col min="12" max="16" width="8.77734375" customWidth="1"/>
    <col min="17" max="17" width="10.21875" customWidth="1"/>
    <col min="18" max="18" width="9.109375" customWidth="1"/>
    <col min="19" max="26" width="8.77734375" customWidth="1"/>
  </cols>
  <sheetData>
    <row r="1" spans="2:18" ht="15.6" x14ac:dyDescent="0.3">
      <c r="B1" s="318" t="s">
        <v>1487</v>
      </c>
      <c r="C1" s="232"/>
      <c r="D1" s="232"/>
      <c r="E1" s="232"/>
      <c r="F1" s="232"/>
      <c r="G1" s="232"/>
      <c r="H1" s="232"/>
      <c r="I1" s="232"/>
      <c r="J1" s="232"/>
      <c r="K1" s="232"/>
      <c r="L1" s="233"/>
      <c r="R1" s="185"/>
    </row>
    <row r="2" spans="2:18" ht="15.6" x14ac:dyDescent="0.3">
      <c r="B2" s="319" t="s">
        <v>1488</v>
      </c>
      <c r="C2" s="273"/>
      <c r="D2" s="186"/>
      <c r="E2" s="319" t="s">
        <v>1489</v>
      </c>
      <c r="F2" s="273"/>
      <c r="G2" s="186"/>
      <c r="H2" s="319" t="s">
        <v>1490</v>
      </c>
      <c r="I2" s="273"/>
      <c r="J2" s="186"/>
      <c r="K2" s="319" t="s">
        <v>1491</v>
      </c>
      <c r="L2" s="273"/>
      <c r="Q2" s="318" t="s">
        <v>1492</v>
      </c>
      <c r="R2" s="233"/>
    </row>
    <row r="3" spans="2:18" ht="14.4" x14ac:dyDescent="0.3">
      <c r="B3" s="187" t="s">
        <v>1493</v>
      </c>
      <c r="C3" s="187" t="s">
        <v>1494</v>
      </c>
      <c r="D3" s="188"/>
      <c r="E3" s="187" t="s">
        <v>1493</v>
      </c>
      <c r="F3" s="187" t="s">
        <v>1494</v>
      </c>
      <c r="G3" s="188"/>
      <c r="H3" s="187" t="s">
        <v>1493</v>
      </c>
      <c r="I3" s="187" t="s">
        <v>1494</v>
      </c>
      <c r="J3" s="188"/>
      <c r="K3" s="187" t="s">
        <v>1493</v>
      </c>
      <c r="L3" s="187" t="s">
        <v>1494</v>
      </c>
      <c r="M3" s="169"/>
      <c r="N3" s="169"/>
      <c r="O3" s="169"/>
      <c r="P3" s="169"/>
      <c r="Q3" s="187" t="s">
        <v>1495</v>
      </c>
      <c r="R3" s="187" t="s">
        <v>1496</v>
      </c>
    </row>
    <row r="4" spans="2:18" ht="14.4" x14ac:dyDescent="0.3">
      <c r="B4" s="189"/>
      <c r="C4" s="190"/>
      <c r="D4" s="186"/>
      <c r="E4" s="189"/>
      <c r="F4" s="190"/>
      <c r="G4" s="186"/>
      <c r="H4" s="189"/>
      <c r="I4" s="190"/>
      <c r="J4" s="186"/>
      <c r="K4" s="189"/>
      <c r="L4" s="190"/>
      <c r="Q4" s="191"/>
      <c r="R4" s="192"/>
    </row>
    <row r="5" spans="2:18" ht="14.4" x14ac:dyDescent="0.3">
      <c r="B5" s="189" t="s">
        <v>313</v>
      </c>
      <c r="C5" s="190">
        <v>0.6</v>
      </c>
      <c r="D5" s="186"/>
      <c r="E5" s="189" t="s">
        <v>307</v>
      </c>
      <c r="F5" s="190">
        <v>1</v>
      </c>
      <c r="G5" s="186"/>
      <c r="H5" s="189" t="s">
        <v>1497</v>
      </c>
      <c r="I5" s="190">
        <v>1.125</v>
      </c>
      <c r="J5" s="186"/>
      <c r="K5" s="189" t="s">
        <v>25</v>
      </c>
      <c r="L5" s="190">
        <v>1</v>
      </c>
      <c r="P5" s="1">
        <v>1</v>
      </c>
      <c r="Q5" s="191" t="s">
        <v>503</v>
      </c>
      <c r="R5" s="192">
        <v>0.1</v>
      </c>
    </row>
    <row r="6" spans="2:18" ht="14.4" x14ac:dyDescent="0.3">
      <c r="B6" s="189" t="s">
        <v>321</v>
      </c>
      <c r="C6" s="190">
        <v>0.9</v>
      </c>
      <c r="D6" s="186"/>
      <c r="E6" s="189" t="s">
        <v>322</v>
      </c>
      <c r="F6" s="190">
        <v>1.1000000000000001</v>
      </c>
      <c r="G6" s="186"/>
      <c r="H6" s="189" t="s">
        <v>423</v>
      </c>
      <c r="I6" s="190">
        <v>1.2</v>
      </c>
      <c r="J6" s="186"/>
      <c r="K6" s="189" t="s">
        <v>324</v>
      </c>
      <c r="L6" s="190">
        <v>1.05</v>
      </c>
      <c r="P6" s="1">
        <v>2</v>
      </c>
      <c r="Q6" s="191" t="s">
        <v>1498</v>
      </c>
      <c r="R6" s="192">
        <v>0.2</v>
      </c>
    </row>
    <row r="7" spans="2:18" ht="14.4" x14ac:dyDescent="0.3">
      <c r="B7" s="189" t="s">
        <v>336</v>
      </c>
      <c r="C7" s="190">
        <v>0.95</v>
      </c>
      <c r="D7" s="186"/>
      <c r="E7" s="189" t="s">
        <v>1499</v>
      </c>
      <c r="F7" s="190">
        <v>1.05</v>
      </c>
      <c r="G7" s="186"/>
      <c r="H7" s="189" t="s">
        <v>1500</v>
      </c>
      <c r="I7" s="190">
        <v>0.67500000000000004</v>
      </c>
      <c r="J7" s="186"/>
      <c r="K7" s="189" t="s">
        <v>14</v>
      </c>
      <c r="L7" s="190">
        <v>1.2</v>
      </c>
      <c r="P7" s="1">
        <v>3</v>
      </c>
      <c r="Q7" s="191" t="s">
        <v>422</v>
      </c>
      <c r="R7" s="192">
        <v>0.4</v>
      </c>
    </row>
    <row r="8" spans="2:18" ht="14.4" x14ac:dyDescent="0.3">
      <c r="B8" s="189" t="s">
        <v>344</v>
      </c>
      <c r="C8" s="190">
        <v>1</v>
      </c>
      <c r="D8" s="186"/>
      <c r="E8" s="189" t="s">
        <v>1501</v>
      </c>
      <c r="F8" s="190">
        <v>1.3</v>
      </c>
      <c r="G8" s="186"/>
      <c r="H8" s="189" t="s">
        <v>1502</v>
      </c>
      <c r="I8" s="190">
        <v>1.2250000000000001</v>
      </c>
      <c r="J8" s="186"/>
      <c r="K8" s="189" t="s">
        <v>339</v>
      </c>
      <c r="L8" s="190">
        <v>1.3</v>
      </c>
      <c r="P8" s="1">
        <v>4</v>
      </c>
      <c r="Q8" s="191" t="s">
        <v>1503</v>
      </c>
      <c r="R8" s="192">
        <v>0.4</v>
      </c>
    </row>
    <row r="9" spans="2:18" ht="14.4" x14ac:dyDescent="0.3">
      <c r="B9" s="189" t="s">
        <v>352</v>
      </c>
      <c r="C9" s="190">
        <v>1.1499999999999999</v>
      </c>
      <c r="D9" s="186"/>
      <c r="E9" s="189" t="s">
        <v>1504</v>
      </c>
      <c r="F9" s="190">
        <v>1.1499999999999999</v>
      </c>
      <c r="G9" s="186"/>
      <c r="H9" s="189" t="s">
        <v>1505</v>
      </c>
      <c r="I9" s="190">
        <v>0.875</v>
      </c>
      <c r="J9" s="186"/>
      <c r="K9" s="189" t="s">
        <v>355</v>
      </c>
      <c r="L9" s="190">
        <v>1.1499999999999999</v>
      </c>
      <c r="P9" s="1">
        <v>5</v>
      </c>
      <c r="Q9" s="191" t="s">
        <v>1506</v>
      </c>
      <c r="R9" s="192">
        <v>0.4</v>
      </c>
    </row>
    <row r="10" spans="2:18" ht="14.4" x14ac:dyDescent="0.3">
      <c r="B10" s="189" t="s">
        <v>387</v>
      </c>
      <c r="C10" s="190">
        <v>1</v>
      </c>
      <c r="D10" s="186"/>
      <c r="E10" s="189" t="s">
        <v>1507</v>
      </c>
      <c r="F10" s="190">
        <v>1.6</v>
      </c>
      <c r="G10" s="186"/>
      <c r="H10" s="189" t="s">
        <v>1508</v>
      </c>
      <c r="I10" s="190">
        <v>1.575</v>
      </c>
      <c r="J10" s="186"/>
      <c r="K10" s="189" t="s">
        <v>1509</v>
      </c>
      <c r="L10" s="190">
        <v>1.1000000000000001</v>
      </c>
      <c r="P10" s="1">
        <v>6</v>
      </c>
      <c r="Q10" s="191" t="s">
        <v>1510</v>
      </c>
      <c r="R10" s="192">
        <v>0.4</v>
      </c>
    </row>
    <row r="11" spans="2:18" ht="14.4" x14ac:dyDescent="0.3">
      <c r="B11" s="189" t="s">
        <v>399</v>
      </c>
      <c r="C11" s="190">
        <v>1.1000000000000001</v>
      </c>
      <c r="D11" s="186"/>
      <c r="E11" s="189" t="s">
        <v>422</v>
      </c>
      <c r="F11" s="190">
        <v>0.7</v>
      </c>
      <c r="G11" s="186"/>
      <c r="H11" s="189" t="s">
        <v>1511</v>
      </c>
      <c r="I11" s="190">
        <v>1.175</v>
      </c>
      <c r="J11" s="186"/>
      <c r="K11" s="189" t="s">
        <v>1512</v>
      </c>
      <c r="L11" s="190">
        <v>1</v>
      </c>
      <c r="P11" s="1">
        <v>7</v>
      </c>
      <c r="Q11" s="191" t="s">
        <v>1513</v>
      </c>
      <c r="R11" s="192">
        <v>0.6</v>
      </c>
    </row>
    <row r="12" spans="2:18" ht="14.4" x14ac:dyDescent="0.3">
      <c r="B12" s="189"/>
      <c r="C12" s="190"/>
      <c r="D12" s="186"/>
      <c r="E12" s="189" t="s">
        <v>1514</v>
      </c>
      <c r="F12" s="190">
        <v>0.8</v>
      </c>
      <c r="G12" s="186"/>
      <c r="H12" s="189" t="s">
        <v>1515</v>
      </c>
      <c r="I12" s="190">
        <v>0.77500000000000002</v>
      </c>
      <c r="J12" s="186"/>
      <c r="K12" s="189" t="s">
        <v>336</v>
      </c>
      <c r="L12" s="190">
        <v>0.8</v>
      </c>
      <c r="P12" s="1">
        <v>8</v>
      </c>
      <c r="Q12" s="191" t="s">
        <v>1516</v>
      </c>
      <c r="R12" s="192">
        <v>0.6</v>
      </c>
    </row>
    <row r="13" spans="2:18" ht="14.4" x14ac:dyDescent="0.3">
      <c r="B13" s="189"/>
      <c r="C13" s="190"/>
      <c r="D13" s="186"/>
      <c r="E13" s="189" t="s">
        <v>1517</v>
      </c>
      <c r="F13" s="190">
        <v>1.0249999999999999</v>
      </c>
      <c r="G13" s="186"/>
      <c r="H13" s="189" t="s">
        <v>471</v>
      </c>
      <c r="I13" s="190">
        <v>0.875</v>
      </c>
      <c r="J13" s="186"/>
      <c r="K13" s="189" t="s">
        <v>1518</v>
      </c>
      <c r="L13" s="190">
        <v>1.2</v>
      </c>
      <c r="P13" s="1">
        <v>9</v>
      </c>
      <c r="Q13" s="191" t="s">
        <v>1519</v>
      </c>
      <c r="R13" s="192">
        <v>0.6</v>
      </c>
    </row>
    <row r="14" spans="2:18" ht="14.4" x14ac:dyDescent="0.3">
      <c r="B14" s="189"/>
      <c r="C14" s="190"/>
      <c r="D14" s="186"/>
      <c r="E14" s="189" t="s">
        <v>1520</v>
      </c>
      <c r="F14" s="190">
        <v>1</v>
      </c>
      <c r="G14" s="186"/>
      <c r="H14" s="189" t="s">
        <v>1521</v>
      </c>
      <c r="I14" s="190">
        <v>1.2749999999999999</v>
      </c>
      <c r="J14" s="186"/>
      <c r="K14" s="189"/>
      <c r="L14" s="190"/>
      <c r="P14" s="1">
        <v>10</v>
      </c>
      <c r="Q14" s="191" t="s">
        <v>1522</v>
      </c>
      <c r="R14" s="192">
        <v>0.6</v>
      </c>
    </row>
    <row r="15" spans="2:18" ht="14.4" x14ac:dyDescent="0.3">
      <c r="B15" s="189"/>
      <c r="C15" s="190"/>
      <c r="D15" s="186"/>
      <c r="E15" s="189" t="s">
        <v>1523</v>
      </c>
      <c r="F15" s="190">
        <v>1.1000000000000001</v>
      </c>
      <c r="G15" s="186"/>
      <c r="H15" s="189" t="s">
        <v>492</v>
      </c>
      <c r="I15" s="190">
        <v>1.175</v>
      </c>
      <c r="J15" s="186"/>
      <c r="K15" s="189"/>
      <c r="L15" s="190"/>
      <c r="P15" s="1">
        <v>11</v>
      </c>
      <c r="Q15" s="191" t="s">
        <v>1524</v>
      </c>
      <c r="R15" s="192">
        <v>0.8</v>
      </c>
    </row>
    <row r="16" spans="2:18" ht="14.4" x14ac:dyDescent="0.3">
      <c r="B16" s="189"/>
      <c r="C16" s="190"/>
      <c r="D16" s="186"/>
      <c r="E16" s="189"/>
      <c r="F16" s="190"/>
      <c r="G16" s="186"/>
      <c r="H16" s="189" t="s">
        <v>1525</v>
      </c>
      <c r="I16" s="190">
        <v>1.075</v>
      </c>
      <c r="J16" s="186"/>
      <c r="K16" s="189"/>
      <c r="L16" s="190"/>
      <c r="P16" s="1">
        <v>12</v>
      </c>
      <c r="Q16" s="191" t="s">
        <v>1526</v>
      </c>
      <c r="R16" s="192">
        <v>0.8</v>
      </c>
    </row>
    <row r="17" spans="2:18" ht="14.4" x14ac:dyDescent="0.3">
      <c r="B17" s="189"/>
      <c r="C17" s="190"/>
      <c r="D17" s="186"/>
      <c r="E17" s="189"/>
      <c r="F17" s="190"/>
      <c r="G17" s="186"/>
      <c r="H17" s="189" t="s">
        <v>1527</v>
      </c>
      <c r="I17" s="190">
        <v>1.075</v>
      </c>
      <c r="J17" s="186"/>
      <c r="K17" s="189"/>
      <c r="L17" s="190"/>
      <c r="P17" s="1">
        <v>13</v>
      </c>
      <c r="Q17" s="191" t="s">
        <v>1528</v>
      </c>
      <c r="R17" s="192">
        <v>0.8</v>
      </c>
    </row>
    <row r="18" spans="2:18" ht="14.4" x14ac:dyDescent="0.3">
      <c r="B18" s="189"/>
      <c r="C18" s="190"/>
      <c r="D18" s="186"/>
      <c r="E18" s="189"/>
      <c r="F18" s="190"/>
      <c r="G18" s="186"/>
      <c r="H18" s="189" t="s">
        <v>1529</v>
      </c>
      <c r="I18" s="190">
        <v>1.075</v>
      </c>
      <c r="J18" s="186"/>
      <c r="K18" s="189"/>
      <c r="L18" s="190"/>
      <c r="P18" s="1">
        <v>14</v>
      </c>
      <c r="Q18" s="191" t="s">
        <v>1530</v>
      </c>
      <c r="R18" s="192">
        <v>0.8</v>
      </c>
    </row>
    <row r="19" spans="2:18" ht="14.4" x14ac:dyDescent="0.3">
      <c r="B19" s="189"/>
      <c r="C19" s="190"/>
      <c r="D19" s="186"/>
      <c r="E19" s="189"/>
      <c r="F19" s="190"/>
      <c r="G19" s="186"/>
      <c r="H19" s="189" t="s">
        <v>1531</v>
      </c>
      <c r="I19" s="190">
        <v>1.375</v>
      </c>
      <c r="J19" s="186"/>
      <c r="K19" s="189"/>
      <c r="L19" s="190"/>
      <c r="P19" s="1">
        <v>15</v>
      </c>
      <c r="Q19" s="191" t="s">
        <v>1532</v>
      </c>
      <c r="R19" s="192">
        <v>0.8</v>
      </c>
    </row>
    <row r="20" spans="2:18" ht="14.4" x14ac:dyDescent="0.3">
      <c r="B20" s="189"/>
      <c r="C20" s="190"/>
      <c r="D20" s="186"/>
      <c r="E20" s="189"/>
      <c r="F20" s="190"/>
      <c r="G20" s="186"/>
      <c r="H20" s="189" t="s">
        <v>1533</v>
      </c>
      <c r="I20" s="190">
        <v>1.2250000000000001</v>
      </c>
      <c r="J20" s="186"/>
      <c r="K20" s="189"/>
      <c r="L20" s="190"/>
      <c r="P20" s="1">
        <v>16</v>
      </c>
      <c r="Q20" s="191" t="s">
        <v>1534</v>
      </c>
      <c r="R20" s="192">
        <v>0.8</v>
      </c>
    </row>
    <row r="21" spans="2:18" ht="15.75" customHeight="1" x14ac:dyDescent="0.3">
      <c r="B21" s="189"/>
      <c r="C21" s="190"/>
      <c r="D21" s="186"/>
      <c r="E21" s="189"/>
      <c r="F21" s="190"/>
      <c r="G21" s="186"/>
      <c r="H21" s="189"/>
      <c r="I21" s="190"/>
      <c r="J21" s="186"/>
      <c r="K21" s="189"/>
      <c r="L21" s="190"/>
      <c r="P21" s="1">
        <v>17</v>
      </c>
      <c r="Q21" s="191" t="s">
        <v>1535</v>
      </c>
      <c r="R21" s="192">
        <v>0.8</v>
      </c>
    </row>
    <row r="22" spans="2:18" ht="15.75" customHeight="1" x14ac:dyDescent="0.3">
      <c r="B22" s="189"/>
      <c r="C22" s="190"/>
      <c r="D22" s="186"/>
      <c r="E22" s="189"/>
      <c r="F22" s="190"/>
      <c r="G22" s="186"/>
      <c r="H22" s="189"/>
      <c r="I22" s="190"/>
      <c r="J22" s="186"/>
      <c r="K22" s="189"/>
      <c r="L22" s="190"/>
      <c r="P22" s="1">
        <v>18</v>
      </c>
      <c r="Q22" s="191" t="s">
        <v>1536</v>
      </c>
      <c r="R22" s="192">
        <v>0.8</v>
      </c>
    </row>
    <row r="23" spans="2:18" ht="15.75" customHeight="1" x14ac:dyDescent="0.3">
      <c r="B23" s="189"/>
      <c r="C23" s="190"/>
      <c r="D23" s="186"/>
      <c r="E23" s="189"/>
      <c r="F23" s="190"/>
      <c r="G23" s="186"/>
      <c r="H23" s="189"/>
      <c r="I23" s="190"/>
      <c r="J23" s="186"/>
      <c r="K23" s="189"/>
      <c r="L23" s="190"/>
      <c r="P23" s="1">
        <v>19</v>
      </c>
      <c r="Q23" s="191" t="s">
        <v>1537</v>
      </c>
      <c r="R23" s="192">
        <v>1</v>
      </c>
    </row>
    <row r="24" spans="2:18" ht="15.75" customHeight="1" x14ac:dyDescent="0.3">
      <c r="B24" s="189"/>
      <c r="C24" s="190"/>
      <c r="D24" s="186"/>
      <c r="E24" s="189"/>
      <c r="F24" s="190"/>
      <c r="G24" s="186"/>
      <c r="H24" s="189"/>
      <c r="I24" s="190"/>
      <c r="J24" s="186"/>
      <c r="K24" s="189"/>
      <c r="L24" s="190"/>
      <c r="P24" s="1">
        <v>20</v>
      </c>
      <c r="Q24" s="191" t="s">
        <v>1538</v>
      </c>
      <c r="R24" s="192">
        <v>1</v>
      </c>
    </row>
    <row r="25" spans="2:18" ht="15.75" customHeight="1" x14ac:dyDescent="0.3">
      <c r="B25" s="189"/>
      <c r="C25" s="190"/>
      <c r="D25" s="186"/>
      <c r="E25" s="189"/>
      <c r="F25" s="190"/>
      <c r="G25" s="186"/>
      <c r="H25" s="189"/>
      <c r="I25" s="190"/>
      <c r="J25" s="186"/>
      <c r="K25" s="189"/>
      <c r="L25" s="190"/>
      <c r="P25" s="1">
        <v>21</v>
      </c>
      <c r="Q25" s="191" t="s">
        <v>1539</v>
      </c>
      <c r="R25" s="192">
        <v>1</v>
      </c>
    </row>
    <row r="26" spans="2:18" ht="15.75" customHeight="1" x14ac:dyDescent="0.3">
      <c r="B26" s="189"/>
      <c r="C26" s="190"/>
      <c r="D26" s="186"/>
      <c r="E26" s="189"/>
      <c r="F26" s="190"/>
      <c r="G26" s="186"/>
      <c r="H26" s="189"/>
      <c r="I26" s="190"/>
      <c r="J26" s="186"/>
      <c r="K26" s="189"/>
      <c r="L26" s="190"/>
      <c r="P26" s="1">
        <v>22</v>
      </c>
      <c r="Q26" s="191" t="s">
        <v>1540</v>
      </c>
      <c r="R26" s="192">
        <v>1</v>
      </c>
    </row>
    <row r="27" spans="2:18" ht="15.75" customHeight="1" x14ac:dyDescent="0.3">
      <c r="B27" s="189"/>
      <c r="C27" s="190"/>
      <c r="D27" s="186"/>
      <c r="E27" s="189"/>
      <c r="F27" s="190"/>
      <c r="G27" s="186"/>
      <c r="H27" s="189"/>
      <c r="I27" s="190"/>
      <c r="J27" s="186"/>
      <c r="K27" s="189"/>
      <c r="L27" s="190"/>
      <c r="P27" s="1">
        <v>22</v>
      </c>
      <c r="Q27" s="191" t="s">
        <v>1541</v>
      </c>
      <c r="R27" s="192">
        <v>1</v>
      </c>
    </row>
    <row r="28" spans="2:18" ht="15.75" customHeight="1" x14ac:dyDescent="0.3">
      <c r="B28" s="193"/>
      <c r="C28" s="194"/>
      <c r="D28" s="186"/>
      <c r="E28" s="193"/>
      <c r="F28" s="194"/>
      <c r="G28" s="186"/>
      <c r="H28" s="193"/>
      <c r="I28" s="194"/>
      <c r="J28" s="186"/>
      <c r="K28" s="193"/>
      <c r="L28" s="194"/>
      <c r="P28" s="1">
        <v>23</v>
      </c>
      <c r="Q28" s="191" t="s">
        <v>1542</v>
      </c>
      <c r="R28" s="192">
        <v>1</v>
      </c>
    </row>
    <row r="29" spans="2:18" ht="15.75" customHeight="1" x14ac:dyDescent="0.3">
      <c r="B29" s="193"/>
      <c r="C29" s="194"/>
      <c r="D29" s="186"/>
      <c r="E29" s="193"/>
      <c r="F29" s="194"/>
      <c r="G29" s="186"/>
      <c r="H29" s="193"/>
      <c r="I29" s="194"/>
      <c r="J29" s="186"/>
      <c r="K29" s="193"/>
      <c r="L29" s="194"/>
      <c r="P29" s="1">
        <v>24</v>
      </c>
      <c r="Q29" s="191" t="s">
        <v>1543</v>
      </c>
      <c r="R29" s="192">
        <v>1</v>
      </c>
    </row>
    <row r="30" spans="2:18" ht="15.75" customHeight="1" x14ac:dyDescent="0.3">
      <c r="B30" s="193"/>
      <c r="C30" s="194"/>
      <c r="D30" s="186"/>
      <c r="E30" s="193"/>
      <c r="F30" s="194"/>
      <c r="G30" s="186"/>
      <c r="H30" s="193"/>
      <c r="I30" s="194"/>
      <c r="J30" s="186"/>
      <c r="K30" s="193"/>
      <c r="L30" s="194"/>
      <c r="P30" s="1">
        <v>25</v>
      </c>
      <c r="Q30" s="191" t="s">
        <v>1544</v>
      </c>
      <c r="R30" s="192">
        <v>1</v>
      </c>
    </row>
    <row r="31" spans="2:18" ht="15.75" customHeight="1" x14ac:dyDescent="0.3">
      <c r="B31" s="193"/>
      <c r="C31" s="195"/>
      <c r="D31" s="186"/>
      <c r="E31" s="193"/>
      <c r="F31" s="195"/>
      <c r="G31" s="186"/>
      <c r="H31" s="193"/>
      <c r="I31" s="195"/>
      <c r="J31" s="186"/>
      <c r="K31" s="193"/>
      <c r="L31" s="195"/>
      <c r="P31" s="1">
        <v>26</v>
      </c>
      <c r="Q31" s="191" t="s">
        <v>1545</v>
      </c>
      <c r="R31" s="192">
        <v>1.2</v>
      </c>
    </row>
    <row r="32" spans="2:18" ht="15.75" customHeight="1" x14ac:dyDescent="0.3">
      <c r="B32" s="182"/>
      <c r="E32" s="182"/>
      <c r="H32" s="182"/>
      <c r="K32" s="182"/>
      <c r="P32" s="1">
        <v>27</v>
      </c>
      <c r="Q32" s="191" t="s">
        <v>1546</v>
      </c>
      <c r="R32" s="192">
        <v>1.2</v>
      </c>
    </row>
    <row r="33" spans="2:18" ht="15.75" customHeight="1" x14ac:dyDescent="0.3">
      <c r="B33" s="182"/>
      <c r="E33" s="182"/>
      <c r="H33" s="182"/>
      <c r="K33" s="182"/>
      <c r="P33" s="1">
        <v>27</v>
      </c>
      <c r="Q33" s="191" t="s">
        <v>1547</v>
      </c>
      <c r="R33" s="192">
        <v>1.2</v>
      </c>
    </row>
    <row r="34" spans="2:18" ht="15.75" customHeight="1" x14ac:dyDescent="0.3">
      <c r="B34" s="182"/>
      <c r="E34" s="182"/>
      <c r="H34" s="182"/>
      <c r="K34" s="182"/>
      <c r="P34" s="1">
        <v>28</v>
      </c>
      <c r="Q34" s="191" t="s">
        <v>1548</v>
      </c>
      <c r="R34" s="192">
        <v>1.2</v>
      </c>
    </row>
    <row r="35" spans="2:18" ht="15.75" customHeight="1" x14ac:dyDescent="0.3">
      <c r="B35" s="318" t="s">
        <v>1549</v>
      </c>
      <c r="C35" s="232"/>
      <c r="D35" s="232"/>
      <c r="E35" s="232"/>
      <c r="F35" s="232"/>
      <c r="G35" s="232"/>
      <c r="H35" s="232"/>
      <c r="I35" s="232"/>
      <c r="J35" s="232"/>
      <c r="K35" s="232"/>
      <c r="L35" s="233"/>
      <c r="P35" s="1">
        <v>29</v>
      </c>
      <c r="Q35" s="191" t="s">
        <v>1550</v>
      </c>
      <c r="R35" s="192">
        <v>1.2</v>
      </c>
    </row>
    <row r="36" spans="2:18" ht="15.75" customHeight="1" x14ac:dyDescent="0.3">
      <c r="B36" s="319" t="s">
        <v>1488</v>
      </c>
      <c r="C36" s="273"/>
      <c r="D36" s="186"/>
      <c r="E36" s="319" t="s">
        <v>1489</v>
      </c>
      <c r="F36" s="273"/>
      <c r="G36" s="186"/>
      <c r="H36" s="319" t="s">
        <v>1490</v>
      </c>
      <c r="I36" s="273"/>
      <c r="J36" s="186"/>
      <c r="K36" s="319" t="s">
        <v>1491</v>
      </c>
      <c r="L36" s="273"/>
      <c r="P36" s="1">
        <v>30</v>
      </c>
      <c r="Q36" s="191" t="s">
        <v>1551</v>
      </c>
      <c r="R36" s="192">
        <v>1.2</v>
      </c>
    </row>
    <row r="37" spans="2:18" ht="15.75" customHeight="1" x14ac:dyDescent="0.3">
      <c r="B37" s="187" t="s">
        <v>1493</v>
      </c>
      <c r="C37" s="187" t="s">
        <v>1494</v>
      </c>
      <c r="D37" s="188"/>
      <c r="E37" s="187" t="s">
        <v>1493</v>
      </c>
      <c r="F37" s="187" t="s">
        <v>1494</v>
      </c>
      <c r="G37" s="188"/>
      <c r="H37" s="187" t="s">
        <v>1493</v>
      </c>
      <c r="I37" s="187" t="s">
        <v>1494</v>
      </c>
      <c r="J37" s="188"/>
      <c r="K37" s="187" t="s">
        <v>1493</v>
      </c>
      <c r="L37" s="187" t="s">
        <v>1494</v>
      </c>
      <c r="P37" s="1">
        <v>31</v>
      </c>
      <c r="Q37" s="191" t="s">
        <v>1552</v>
      </c>
      <c r="R37" s="192">
        <v>1.4</v>
      </c>
    </row>
    <row r="38" spans="2:18" ht="15.75" customHeight="1" x14ac:dyDescent="0.3">
      <c r="B38" s="189"/>
      <c r="C38" s="190"/>
      <c r="D38" s="186"/>
      <c r="E38" s="189"/>
      <c r="F38" s="190"/>
      <c r="G38" s="186"/>
      <c r="H38" s="189"/>
      <c r="I38" s="190"/>
      <c r="J38" s="186"/>
      <c r="K38" s="189"/>
      <c r="L38" s="190"/>
      <c r="P38" s="1">
        <v>32</v>
      </c>
      <c r="Q38" s="191" t="s">
        <v>1553</v>
      </c>
      <c r="R38" s="192">
        <v>1.4</v>
      </c>
    </row>
    <row r="39" spans="2:18" ht="15.75" customHeight="1" x14ac:dyDescent="0.3">
      <c r="B39" s="189" t="s">
        <v>1554</v>
      </c>
      <c r="C39" s="190"/>
      <c r="D39" s="186"/>
      <c r="E39" s="189" t="s">
        <v>991</v>
      </c>
      <c r="F39" s="190">
        <v>1.3</v>
      </c>
      <c r="G39" s="186"/>
      <c r="H39" s="189" t="s">
        <v>1554</v>
      </c>
      <c r="I39" s="190"/>
      <c r="J39" s="186"/>
      <c r="K39" s="189" t="s">
        <v>674</v>
      </c>
      <c r="L39" s="190">
        <v>0.05</v>
      </c>
      <c r="P39" s="1">
        <v>33</v>
      </c>
      <c r="Q39" s="191" t="s">
        <v>1555</v>
      </c>
      <c r="R39" s="192">
        <v>1.4</v>
      </c>
    </row>
    <row r="40" spans="2:18" ht="15.75" customHeight="1" x14ac:dyDescent="0.3">
      <c r="B40" s="189"/>
      <c r="C40" s="190"/>
      <c r="D40" s="186"/>
      <c r="E40" s="189" t="s">
        <v>1556</v>
      </c>
      <c r="F40" s="190">
        <v>1.05</v>
      </c>
      <c r="G40" s="186"/>
      <c r="H40" s="189"/>
      <c r="I40" s="190"/>
      <c r="J40" s="186"/>
      <c r="K40" s="189" t="s">
        <v>681</v>
      </c>
      <c r="L40" s="190">
        <v>0.2</v>
      </c>
      <c r="P40" s="1">
        <v>34</v>
      </c>
      <c r="Q40" s="191" t="s">
        <v>1557</v>
      </c>
      <c r="R40" s="192">
        <v>1.4</v>
      </c>
    </row>
    <row r="41" spans="2:18" ht="15.75" customHeight="1" x14ac:dyDescent="0.3">
      <c r="B41" s="189"/>
      <c r="C41" s="190"/>
      <c r="D41" s="186"/>
      <c r="E41" s="189" t="s">
        <v>977</v>
      </c>
      <c r="F41" s="190">
        <v>1.1000000000000001</v>
      </c>
      <c r="G41" s="186"/>
      <c r="H41" s="189"/>
      <c r="I41" s="190"/>
      <c r="J41" s="186"/>
      <c r="K41" s="189" t="s">
        <v>1558</v>
      </c>
      <c r="L41" s="190">
        <v>0.3</v>
      </c>
      <c r="P41" s="1">
        <v>35</v>
      </c>
      <c r="Q41" s="191" t="s">
        <v>1559</v>
      </c>
      <c r="R41" s="192">
        <v>1.6</v>
      </c>
    </row>
    <row r="42" spans="2:18" ht="15.75" customHeight="1" x14ac:dyDescent="0.3">
      <c r="B42" s="189"/>
      <c r="C42" s="190"/>
      <c r="D42" s="186"/>
      <c r="E42" s="189" t="s">
        <v>267</v>
      </c>
      <c r="F42" s="190">
        <v>0.8</v>
      </c>
      <c r="G42" s="186"/>
      <c r="H42" s="189"/>
      <c r="I42" s="190"/>
      <c r="J42" s="186"/>
      <c r="K42" s="189" t="s">
        <v>688</v>
      </c>
      <c r="L42" s="190">
        <v>0.15</v>
      </c>
      <c r="P42" s="1">
        <v>36</v>
      </c>
      <c r="Q42" s="191" t="s">
        <v>1560</v>
      </c>
      <c r="R42" s="192">
        <v>1.6</v>
      </c>
    </row>
    <row r="43" spans="2:18" ht="15.75" customHeight="1" x14ac:dyDescent="0.3">
      <c r="B43" s="189"/>
      <c r="C43" s="190"/>
      <c r="D43" s="186"/>
      <c r="E43" s="189" t="s">
        <v>687</v>
      </c>
      <c r="F43" s="190">
        <v>0.7</v>
      </c>
      <c r="G43" s="186"/>
      <c r="H43" s="189"/>
      <c r="I43" s="190"/>
      <c r="J43" s="186"/>
      <c r="K43" s="189" t="s">
        <v>1561</v>
      </c>
      <c r="L43" s="190">
        <v>0.4</v>
      </c>
      <c r="P43" s="1">
        <v>37</v>
      </c>
      <c r="Q43" s="191" t="s">
        <v>1562</v>
      </c>
      <c r="R43" s="192">
        <v>1.6</v>
      </c>
    </row>
    <row r="44" spans="2:18" ht="15.75" customHeight="1" x14ac:dyDescent="0.3">
      <c r="B44" s="189"/>
      <c r="C44" s="190"/>
      <c r="D44" s="186"/>
      <c r="E44" s="189" t="s">
        <v>694</v>
      </c>
      <c r="F44" s="190">
        <v>0.7</v>
      </c>
      <c r="G44" s="186"/>
      <c r="H44" s="189"/>
      <c r="I44" s="190"/>
      <c r="J44" s="186"/>
      <c r="K44" s="189" t="s">
        <v>708</v>
      </c>
      <c r="L44" s="190">
        <v>0.1</v>
      </c>
      <c r="P44" s="1">
        <v>38</v>
      </c>
      <c r="Q44" s="191" t="s">
        <v>1563</v>
      </c>
      <c r="R44" s="192">
        <v>1.8</v>
      </c>
    </row>
    <row r="45" spans="2:18" ht="15.75" customHeight="1" x14ac:dyDescent="0.3">
      <c r="B45" s="189"/>
      <c r="C45" s="190"/>
      <c r="D45" s="186"/>
      <c r="E45" s="189" t="s">
        <v>701</v>
      </c>
      <c r="F45" s="190">
        <v>0.6</v>
      </c>
      <c r="G45" s="186"/>
      <c r="H45" s="189"/>
      <c r="I45" s="190"/>
      <c r="J45" s="186"/>
      <c r="K45" s="189" t="s">
        <v>743</v>
      </c>
      <c r="L45" s="190">
        <v>0.25</v>
      </c>
      <c r="P45" s="1">
        <v>39</v>
      </c>
      <c r="Q45" s="191" t="s">
        <v>1564</v>
      </c>
      <c r="R45" s="192">
        <v>1.8</v>
      </c>
    </row>
    <row r="46" spans="2:18" ht="15.75" customHeight="1" x14ac:dyDescent="0.3">
      <c r="B46" s="189"/>
      <c r="C46" s="190"/>
      <c r="D46" s="186"/>
      <c r="E46" s="189" t="s">
        <v>1565</v>
      </c>
      <c r="F46" s="190">
        <v>0.35</v>
      </c>
      <c r="G46" s="186"/>
      <c r="H46" s="189"/>
      <c r="I46" s="190"/>
      <c r="J46" s="186"/>
      <c r="K46" s="189" t="s">
        <v>1566</v>
      </c>
      <c r="L46" s="190">
        <v>0.35</v>
      </c>
      <c r="P46" s="1">
        <v>40</v>
      </c>
      <c r="Q46" s="191" t="s">
        <v>1567</v>
      </c>
      <c r="R46" s="192">
        <v>2</v>
      </c>
    </row>
    <row r="47" spans="2:18" ht="15.75" customHeight="1" x14ac:dyDescent="0.3">
      <c r="B47" s="189"/>
      <c r="C47" s="190"/>
      <c r="D47" s="186"/>
      <c r="E47" s="189" t="s">
        <v>276</v>
      </c>
      <c r="F47" s="190">
        <v>0.45</v>
      </c>
      <c r="G47" s="186"/>
      <c r="H47" s="189"/>
      <c r="I47" s="190"/>
      <c r="J47" s="186"/>
      <c r="K47" s="189" t="s">
        <v>1568</v>
      </c>
      <c r="L47" s="190">
        <v>0.4</v>
      </c>
      <c r="P47" s="1">
        <v>41</v>
      </c>
      <c r="Q47" s="191" t="s">
        <v>1569</v>
      </c>
      <c r="R47" s="192">
        <v>2</v>
      </c>
    </row>
    <row r="48" spans="2:18" ht="15.75" customHeight="1" x14ac:dyDescent="0.3">
      <c r="B48" s="189"/>
      <c r="C48" s="190"/>
      <c r="D48" s="186"/>
      <c r="E48" s="189" t="s">
        <v>714</v>
      </c>
      <c r="F48" s="190">
        <v>0.5</v>
      </c>
      <c r="G48" s="186"/>
      <c r="H48" s="189"/>
      <c r="I48" s="190"/>
      <c r="J48" s="186"/>
      <c r="K48" s="189" t="s">
        <v>797</v>
      </c>
      <c r="L48" s="190">
        <v>0.25</v>
      </c>
      <c r="P48" s="1">
        <v>42</v>
      </c>
      <c r="Q48" s="191" t="s">
        <v>1570</v>
      </c>
      <c r="R48" s="192">
        <v>2</v>
      </c>
    </row>
    <row r="49" spans="2:18" ht="15.75" customHeight="1" x14ac:dyDescent="0.3">
      <c r="B49" s="189"/>
      <c r="C49" s="190"/>
      <c r="D49" s="186"/>
      <c r="E49" s="189" t="s">
        <v>721</v>
      </c>
      <c r="F49" s="190">
        <v>0.15</v>
      </c>
      <c r="G49" s="186"/>
      <c r="H49" s="189"/>
      <c r="I49" s="190"/>
      <c r="J49" s="186"/>
      <c r="K49" s="189" t="s">
        <v>825</v>
      </c>
      <c r="L49" s="190">
        <v>0.35</v>
      </c>
      <c r="P49" s="1">
        <v>43</v>
      </c>
      <c r="Q49" s="191" t="s">
        <v>1571</v>
      </c>
      <c r="R49" s="192">
        <v>2.1</v>
      </c>
    </row>
    <row r="50" spans="2:18" ht="15.75" customHeight="1" x14ac:dyDescent="0.3">
      <c r="B50" s="189"/>
      <c r="C50" s="190"/>
      <c r="D50" s="186"/>
      <c r="E50" s="189" t="s">
        <v>728</v>
      </c>
      <c r="F50" s="190">
        <v>0.4</v>
      </c>
      <c r="G50" s="186"/>
      <c r="H50" s="189"/>
      <c r="I50" s="190"/>
      <c r="J50" s="186"/>
      <c r="K50" s="189" t="s">
        <v>1572</v>
      </c>
      <c r="L50" s="190">
        <v>0.35</v>
      </c>
      <c r="P50" s="1">
        <v>44</v>
      </c>
      <c r="Q50" s="191" t="s">
        <v>1573</v>
      </c>
      <c r="R50" s="192">
        <v>2.15</v>
      </c>
    </row>
    <row r="51" spans="2:18" ht="15.75" customHeight="1" x14ac:dyDescent="0.3">
      <c r="B51" s="189"/>
      <c r="C51" s="190"/>
      <c r="D51" s="186"/>
      <c r="E51" s="189" t="s">
        <v>735</v>
      </c>
      <c r="F51" s="190">
        <v>0.35</v>
      </c>
      <c r="G51" s="186"/>
      <c r="H51" s="189"/>
      <c r="I51" s="190"/>
      <c r="J51" s="186"/>
      <c r="K51" s="189" t="s">
        <v>1574</v>
      </c>
      <c r="L51" s="190">
        <v>0.3</v>
      </c>
      <c r="P51" s="1">
        <v>45</v>
      </c>
      <c r="Q51" s="191" t="s">
        <v>1575</v>
      </c>
      <c r="R51" s="192">
        <v>2.2000000000000002</v>
      </c>
    </row>
    <row r="52" spans="2:18" ht="15.75" customHeight="1" x14ac:dyDescent="0.3">
      <c r="B52" s="189"/>
      <c r="C52" s="190"/>
      <c r="D52" s="186"/>
      <c r="E52" s="189" t="s">
        <v>749</v>
      </c>
      <c r="F52" s="190">
        <v>1.05</v>
      </c>
      <c r="G52" s="186"/>
      <c r="H52" s="189"/>
      <c r="I52" s="190"/>
      <c r="J52" s="186"/>
      <c r="K52" s="189" t="s">
        <v>1576</v>
      </c>
      <c r="L52" s="190">
        <v>0.3</v>
      </c>
      <c r="P52" s="1">
        <v>46</v>
      </c>
      <c r="Q52" s="191" t="s">
        <v>1577</v>
      </c>
      <c r="R52" s="192">
        <v>2.2000000000000002</v>
      </c>
    </row>
    <row r="53" spans="2:18" ht="15.75" customHeight="1" x14ac:dyDescent="0.3">
      <c r="B53" s="189"/>
      <c r="C53" s="190"/>
      <c r="D53" s="186"/>
      <c r="E53" s="189" t="s">
        <v>1578</v>
      </c>
      <c r="F53" s="190">
        <v>0.3</v>
      </c>
      <c r="G53" s="186"/>
      <c r="H53" s="189"/>
      <c r="I53" s="190"/>
      <c r="J53" s="186"/>
      <c r="K53" s="189" t="s">
        <v>1579</v>
      </c>
      <c r="L53" s="190">
        <v>0.1</v>
      </c>
      <c r="Q53" s="191"/>
      <c r="R53" s="192"/>
    </row>
    <row r="54" spans="2:18" ht="15.75" customHeight="1" x14ac:dyDescent="0.3">
      <c r="B54" s="189"/>
      <c r="C54" s="190"/>
      <c r="D54" s="186"/>
      <c r="E54" s="189" t="s">
        <v>775</v>
      </c>
      <c r="F54" s="190">
        <v>0.35</v>
      </c>
      <c r="G54" s="186"/>
      <c r="H54" s="189"/>
      <c r="I54" s="190"/>
      <c r="J54" s="186"/>
      <c r="K54" s="189" t="s">
        <v>1580</v>
      </c>
      <c r="L54" s="190">
        <v>0.27500000000000002</v>
      </c>
      <c r="Q54" s="191"/>
      <c r="R54" s="192"/>
    </row>
    <row r="55" spans="2:18" ht="15.75" customHeight="1" x14ac:dyDescent="0.3">
      <c r="B55" s="189"/>
      <c r="C55" s="190"/>
      <c r="D55" s="186"/>
      <c r="E55" s="189" t="s">
        <v>802</v>
      </c>
      <c r="F55" s="190">
        <v>0.1</v>
      </c>
      <c r="G55" s="186"/>
      <c r="H55" s="189"/>
      <c r="I55" s="190"/>
      <c r="J55" s="186"/>
      <c r="K55" s="189" t="s">
        <v>1581</v>
      </c>
      <c r="L55" s="190">
        <v>0.3</v>
      </c>
      <c r="Q55" s="191"/>
      <c r="R55" s="192"/>
    </row>
    <row r="56" spans="2:18" ht="15.75" customHeight="1" x14ac:dyDescent="0.3">
      <c r="B56" s="189"/>
      <c r="C56" s="190"/>
      <c r="D56" s="186"/>
      <c r="E56" s="189" t="s">
        <v>816</v>
      </c>
      <c r="F56" s="190">
        <v>2.5000000000000001E-2</v>
      </c>
      <c r="G56" s="186"/>
      <c r="H56" s="189"/>
      <c r="I56" s="190"/>
      <c r="J56" s="186"/>
      <c r="K56" s="189" t="s">
        <v>1582</v>
      </c>
      <c r="L56" s="190">
        <v>0.4</v>
      </c>
      <c r="Q56" s="191"/>
      <c r="R56" s="192"/>
    </row>
    <row r="57" spans="2:18" ht="15.75" customHeight="1" x14ac:dyDescent="0.3">
      <c r="B57" s="189"/>
      <c r="C57" s="190"/>
      <c r="D57" s="186"/>
      <c r="E57" s="189" t="s">
        <v>809</v>
      </c>
      <c r="F57" s="190">
        <v>0.1</v>
      </c>
      <c r="G57" s="186"/>
      <c r="H57" s="189"/>
      <c r="I57" s="190"/>
      <c r="J57" s="186"/>
      <c r="K57" s="189" t="s">
        <v>703</v>
      </c>
      <c r="L57" s="190">
        <v>0.2</v>
      </c>
      <c r="Q57" s="191"/>
      <c r="R57" s="192"/>
    </row>
    <row r="58" spans="2:18" ht="15.75" customHeight="1" x14ac:dyDescent="0.3">
      <c r="B58" s="189"/>
      <c r="C58" s="190"/>
      <c r="D58" s="186"/>
      <c r="E58" s="189" t="s">
        <v>830</v>
      </c>
      <c r="F58" s="190">
        <v>0.15</v>
      </c>
      <c r="G58" s="186"/>
      <c r="H58" s="189"/>
      <c r="I58" s="190"/>
      <c r="J58" s="186"/>
      <c r="K58" s="189" t="s">
        <v>1583</v>
      </c>
      <c r="L58" s="190">
        <v>0.6</v>
      </c>
      <c r="Q58" s="191"/>
      <c r="R58" s="192"/>
    </row>
    <row r="59" spans="2:18" ht="15.75" customHeight="1" x14ac:dyDescent="0.3">
      <c r="B59" s="189"/>
      <c r="C59" s="190"/>
      <c r="D59" s="186"/>
      <c r="E59" s="189" t="s">
        <v>1584</v>
      </c>
      <c r="F59" s="190">
        <v>0.125</v>
      </c>
      <c r="G59" s="186"/>
      <c r="H59" s="189"/>
      <c r="I59" s="190"/>
      <c r="J59" s="186"/>
      <c r="K59" s="189" t="s">
        <v>1585</v>
      </c>
      <c r="L59" s="190">
        <v>0.65</v>
      </c>
      <c r="Q59" s="191"/>
      <c r="R59" s="192"/>
    </row>
    <row r="60" spans="2:18" ht="15.75" customHeight="1" x14ac:dyDescent="0.3">
      <c r="B60" s="189"/>
      <c r="C60" s="190"/>
      <c r="D60" s="186"/>
      <c r="E60" s="189" t="s">
        <v>837</v>
      </c>
      <c r="F60" s="190">
        <v>0.1</v>
      </c>
      <c r="G60" s="186"/>
      <c r="H60" s="189"/>
      <c r="I60" s="190"/>
      <c r="J60" s="186"/>
      <c r="K60" s="189" t="s">
        <v>1586</v>
      </c>
      <c r="L60" s="190">
        <v>0.45</v>
      </c>
      <c r="Q60" s="191"/>
      <c r="R60" s="192"/>
    </row>
    <row r="61" spans="2:18" ht="15.75" customHeight="1" x14ac:dyDescent="0.3">
      <c r="B61" s="189"/>
      <c r="C61" s="190"/>
      <c r="D61" s="186"/>
      <c r="E61" s="189" t="s">
        <v>844</v>
      </c>
      <c r="F61" s="190">
        <v>0.3</v>
      </c>
      <c r="G61" s="186"/>
      <c r="H61" s="189"/>
      <c r="I61" s="190"/>
      <c r="J61" s="186"/>
      <c r="K61" s="189" t="s">
        <v>1587</v>
      </c>
      <c r="L61" s="190">
        <v>0.65</v>
      </c>
      <c r="Q61" s="191"/>
      <c r="R61" s="192"/>
    </row>
    <row r="62" spans="2:18" ht="15.75" customHeight="1" x14ac:dyDescent="0.3">
      <c r="B62" s="189"/>
      <c r="C62" s="190"/>
      <c r="D62" s="186"/>
      <c r="E62" s="189" t="s">
        <v>851</v>
      </c>
      <c r="F62" s="190">
        <v>0.1</v>
      </c>
      <c r="G62" s="186"/>
      <c r="H62" s="189"/>
      <c r="I62" s="190"/>
      <c r="J62" s="186"/>
      <c r="K62" s="189" t="s">
        <v>1588</v>
      </c>
      <c r="L62" s="190">
        <v>0.55000000000000004</v>
      </c>
      <c r="Q62" s="191"/>
      <c r="R62" s="192"/>
    </row>
    <row r="63" spans="2:18" ht="15.75" customHeight="1" x14ac:dyDescent="0.3">
      <c r="B63" s="189"/>
      <c r="C63" s="190"/>
      <c r="D63" s="186"/>
      <c r="E63" s="189" t="s">
        <v>1589</v>
      </c>
      <c r="F63" s="190">
        <v>0.15</v>
      </c>
      <c r="G63" s="186"/>
      <c r="H63" s="189"/>
      <c r="I63" s="190"/>
      <c r="J63" s="186"/>
      <c r="K63" s="189" t="s">
        <v>1590</v>
      </c>
      <c r="L63" s="190">
        <v>0.4</v>
      </c>
      <c r="Q63" s="191"/>
      <c r="R63" s="192"/>
    </row>
    <row r="64" spans="2:18" ht="15.75" customHeight="1" x14ac:dyDescent="0.3">
      <c r="B64" s="189"/>
      <c r="C64" s="190"/>
      <c r="D64" s="186"/>
      <c r="E64" s="189" t="s">
        <v>886</v>
      </c>
      <c r="F64" s="190">
        <v>0.2</v>
      </c>
      <c r="G64" s="186"/>
      <c r="H64" s="189"/>
      <c r="I64" s="190"/>
      <c r="J64" s="186"/>
      <c r="K64" s="189" t="s">
        <v>1591</v>
      </c>
      <c r="L64" s="190">
        <v>0.55000000000000004</v>
      </c>
      <c r="Q64" s="191"/>
      <c r="R64" s="192"/>
    </row>
    <row r="65" spans="2:18" ht="15.75" customHeight="1" x14ac:dyDescent="0.3">
      <c r="B65" s="189"/>
      <c r="C65" s="190"/>
      <c r="D65" s="186"/>
      <c r="E65" s="189" t="s">
        <v>1592</v>
      </c>
      <c r="F65" s="190">
        <v>0.55000000000000004</v>
      </c>
      <c r="G65" s="186"/>
      <c r="H65" s="189"/>
      <c r="I65" s="190"/>
      <c r="J65" s="186"/>
      <c r="K65" s="189"/>
      <c r="L65" s="190"/>
      <c r="Q65" s="191"/>
      <c r="R65" s="192"/>
    </row>
    <row r="66" spans="2:18" ht="15.75" customHeight="1" x14ac:dyDescent="0.3">
      <c r="B66" s="189"/>
      <c r="C66" s="190"/>
      <c r="D66" s="186"/>
      <c r="E66" s="189" t="s">
        <v>1593</v>
      </c>
      <c r="F66" s="190">
        <v>0.05</v>
      </c>
      <c r="G66" s="186"/>
      <c r="H66" s="189"/>
      <c r="I66" s="190"/>
      <c r="J66" s="186"/>
      <c r="K66" s="189"/>
      <c r="L66" s="190"/>
      <c r="Q66" s="191"/>
      <c r="R66" s="192"/>
    </row>
    <row r="67" spans="2:18" ht="15.75" customHeight="1" x14ac:dyDescent="0.3">
      <c r="B67" s="189"/>
      <c r="C67" s="190"/>
      <c r="D67" s="186"/>
      <c r="E67" s="189" t="s">
        <v>1594</v>
      </c>
      <c r="F67" s="190">
        <v>1.25</v>
      </c>
      <c r="G67" s="186"/>
      <c r="H67" s="189"/>
      <c r="I67" s="190"/>
      <c r="J67" s="186"/>
      <c r="K67" s="189"/>
      <c r="L67" s="190"/>
      <c r="Q67" s="191"/>
      <c r="R67" s="192"/>
    </row>
    <row r="68" spans="2:18" ht="15.75" customHeight="1" x14ac:dyDescent="0.3">
      <c r="B68" s="189"/>
      <c r="C68" s="190"/>
      <c r="D68" s="186"/>
      <c r="E68" s="189" t="s">
        <v>1595</v>
      </c>
      <c r="F68" s="190">
        <v>1.1000000000000001</v>
      </c>
      <c r="G68" s="186"/>
      <c r="H68" s="189"/>
      <c r="I68" s="190"/>
      <c r="J68" s="186"/>
      <c r="K68" s="189"/>
      <c r="L68" s="190"/>
      <c r="Q68" s="191"/>
      <c r="R68" s="192"/>
    </row>
    <row r="69" spans="2:18" ht="15.75" customHeight="1" x14ac:dyDescent="0.3">
      <c r="B69" s="189"/>
      <c r="C69" s="190"/>
      <c r="D69" s="186"/>
      <c r="E69" s="189"/>
      <c r="F69" s="190"/>
      <c r="G69" s="186"/>
      <c r="H69" s="189"/>
      <c r="I69" s="190"/>
      <c r="J69" s="186"/>
      <c r="K69" s="189"/>
      <c r="L69" s="190"/>
      <c r="Q69" s="191"/>
      <c r="R69" s="192"/>
    </row>
    <row r="70" spans="2:18" ht="15.75" customHeight="1" x14ac:dyDescent="0.3">
      <c r="B70" s="189"/>
      <c r="C70" s="190"/>
      <c r="D70" s="186"/>
      <c r="E70" s="189"/>
      <c r="F70" s="190"/>
      <c r="G70" s="186"/>
      <c r="H70" s="189"/>
      <c r="I70" s="190"/>
      <c r="J70" s="186"/>
      <c r="K70" s="189"/>
      <c r="L70" s="190"/>
      <c r="Q70" s="191"/>
      <c r="R70" s="192"/>
    </row>
    <row r="71" spans="2:18" ht="15.75" customHeight="1" x14ac:dyDescent="0.3">
      <c r="B71" s="182"/>
      <c r="E71" s="182"/>
      <c r="H71" s="182"/>
      <c r="K71" s="182"/>
      <c r="Q71" s="191"/>
      <c r="R71" s="192"/>
    </row>
    <row r="72" spans="2:18" ht="15.75" customHeight="1" x14ac:dyDescent="0.3">
      <c r="B72" s="182"/>
      <c r="E72" s="182"/>
      <c r="H72" s="182"/>
      <c r="K72" s="182"/>
      <c r="Q72" s="191"/>
      <c r="R72" s="192"/>
    </row>
    <row r="73" spans="2:18" ht="15.75" customHeight="1" x14ac:dyDescent="0.3">
      <c r="B73" s="182"/>
      <c r="E73" s="182"/>
      <c r="H73" s="182"/>
      <c r="K73" s="182"/>
      <c r="Q73" s="191"/>
      <c r="R73" s="192"/>
    </row>
    <row r="74" spans="2:18" ht="15.75" customHeight="1" x14ac:dyDescent="0.3">
      <c r="B74" s="318" t="s">
        <v>1596</v>
      </c>
      <c r="C74" s="232"/>
      <c r="D74" s="232"/>
      <c r="E74" s="232"/>
      <c r="F74" s="232"/>
      <c r="G74" s="232"/>
      <c r="H74" s="232"/>
      <c r="I74" s="232"/>
      <c r="J74" s="232"/>
      <c r="K74" s="232"/>
      <c r="L74" s="233"/>
      <c r="Q74" s="191"/>
      <c r="R74" s="192"/>
    </row>
    <row r="75" spans="2:18" ht="15.75" customHeight="1" x14ac:dyDescent="0.3">
      <c r="B75" s="319" t="s">
        <v>1488</v>
      </c>
      <c r="C75" s="273"/>
      <c r="D75" s="186"/>
      <c r="E75" s="319" t="s">
        <v>1489</v>
      </c>
      <c r="F75" s="273"/>
      <c r="G75" s="186"/>
      <c r="H75" s="319" t="s">
        <v>1490</v>
      </c>
      <c r="I75" s="273"/>
      <c r="J75" s="186"/>
      <c r="K75" s="319" t="s">
        <v>1491</v>
      </c>
      <c r="L75" s="273"/>
      <c r="Q75" s="191"/>
      <c r="R75" s="192"/>
    </row>
    <row r="76" spans="2:18" ht="15.75" customHeight="1" x14ac:dyDescent="0.3">
      <c r="B76" s="187" t="s">
        <v>1493</v>
      </c>
      <c r="C76" s="187" t="s">
        <v>1494</v>
      </c>
      <c r="D76" s="188"/>
      <c r="E76" s="187" t="s">
        <v>1493</v>
      </c>
      <c r="F76" s="187" t="s">
        <v>1494</v>
      </c>
      <c r="G76" s="188"/>
      <c r="H76" s="187" t="s">
        <v>1493</v>
      </c>
      <c r="I76" s="187" t="s">
        <v>1494</v>
      </c>
      <c r="J76" s="188"/>
      <c r="K76" s="187" t="s">
        <v>1493</v>
      </c>
      <c r="L76" s="187" t="s">
        <v>1494</v>
      </c>
      <c r="Q76" s="191"/>
      <c r="R76" s="192"/>
    </row>
    <row r="77" spans="2:18" ht="15.75" customHeight="1" x14ac:dyDescent="0.3">
      <c r="B77" s="189"/>
      <c r="C77" s="190"/>
      <c r="D77" s="186"/>
      <c r="E77" s="189"/>
      <c r="F77" s="190"/>
      <c r="G77" s="186"/>
      <c r="H77" s="189"/>
      <c r="I77" s="190"/>
      <c r="J77" s="186"/>
      <c r="K77" s="189"/>
      <c r="L77" s="190"/>
      <c r="Q77" s="191"/>
      <c r="R77" s="192"/>
    </row>
    <row r="78" spans="2:18" ht="15.75" customHeight="1" x14ac:dyDescent="0.3">
      <c r="B78" s="189" t="s">
        <v>635</v>
      </c>
      <c r="C78" s="190">
        <v>0.05</v>
      </c>
      <c r="D78" s="186"/>
      <c r="E78" s="189" t="s">
        <v>1554</v>
      </c>
      <c r="F78" s="190"/>
      <c r="G78" s="186"/>
      <c r="H78" s="189" t="s">
        <v>635</v>
      </c>
      <c r="I78" s="190">
        <v>0.05</v>
      </c>
      <c r="J78" s="186"/>
      <c r="K78" s="189" t="s">
        <v>1554</v>
      </c>
      <c r="L78" s="190"/>
      <c r="Q78" s="191"/>
      <c r="R78" s="192"/>
    </row>
    <row r="79" spans="2:18" ht="15.75" customHeight="1" x14ac:dyDescent="0.3">
      <c r="B79" s="189" t="s">
        <v>636</v>
      </c>
      <c r="C79" s="190">
        <v>0.05</v>
      </c>
      <c r="D79" s="186"/>
      <c r="E79" s="189"/>
      <c r="F79" s="190"/>
      <c r="G79" s="186"/>
      <c r="H79" s="189" t="s">
        <v>636</v>
      </c>
      <c r="I79" s="190">
        <v>0.05</v>
      </c>
      <c r="J79" s="186"/>
      <c r="K79" s="189"/>
      <c r="L79" s="190"/>
      <c r="R79" s="185"/>
    </row>
    <row r="80" spans="2:18" ht="15.75" customHeight="1" x14ac:dyDescent="0.3">
      <c r="B80" s="189" t="s">
        <v>640</v>
      </c>
      <c r="C80" s="190">
        <v>0.1</v>
      </c>
      <c r="D80" s="186"/>
      <c r="E80" s="189"/>
      <c r="F80" s="190"/>
      <c r="G80" s="186"/>
      <c r="H80" s="189" t="s">
        <v>640</v>
      </c>
      <c r="I80" s="190">
        <v>0.1</v>
      </c>
      <c r="J80" s="186"/>
      <c r="K80" s="189"/>
      <c r="L80" s="190"/>
      <c r="R80" s="185"/>
    </row>
    <row r="81" spans="2:12" ht="15.75" customHeight="1" x14ac:dyDescent="0.3">
      <c r="B81" s="189" t="s">
        <v>648</v>
      </c>
      <c r="C81" s="190">
        <v>0.2</v>
      </c>
      <c r="D81" s="186"/>
      <c r="E81" s="189"/>
      <c r="F81" s="190"/>
      <c r="G81" s="186"/>
      <c r="H81" s="189" t="s">
        <v>648</v>
      </c>
      <c r="I81" s="190">
        <v>0.2</v>
      </c>
      <c r="J81" s="186"/>
      <c r="K81" s="189"/>
      <c r="L81" s="190"/>
    </row>
    <row r="82" spans="2:12" ht="15.75" customHeight="1" x14ac:dyDescent="0.3">
      <c r="B82" s="189" t="s">
        <v>655</v>
      </c>
      <c r="C82" s="190">
        <v>0.4</v>
      </c>
      <c r="D82" s="186"/>
      <c r="E82" s="189"/>
      <c r="F82" s="190"/>
      <c r="G82" s="186"/>
      <c r="H82" s="189" t="s">
        <v>655</v>
      </c>
      <c r="I82" s="190">
        <v>0.4</v>
      </c>
      <c r="J82" s="186"/>
      <c r="K82" s="189"/>
      <c r="L82" s="190"/>
    </row>
    <row r="83" spans="2:12" ht="15.75" customHeight="1" x14ac:dyDescent="0.3">
      <c r="B83" s="189"/>
      <c r="C83" s="190"/>
      <c r="D83" s="186"/>
      <c r="E83" s="189"/>
      <c r="F83" s="190"/>
      <c r="G83" s="186"/>
      <c r="H83" s="189" t="s">
        <v>1597</v>
      </c>
      <c r="I83" s="190">
        <v>0.2</v>
      </c>
      <c r="J83" s="186"/>
      <c r="K83" s="189"/>
      <c r="L83" s="190"/>
    </row>
    <row r="84" spans="2:12" ht="15.75" customHeight="1" x14ac:dyDescent="0.3">
      <c r="B84" s="189"/>
      <c r="C84" s="190"/>
      <c r="D84" s="186"/>
      <c r="E84" s="189"/>
      <c r="F84" s="190"/>
      <c r="G84" s="186"/>
      <c r="H84" s="189"/>
      <c r="I84" s="190"/>
      <c r="J84" s="186"/>
      <c r="K84" s="189"/>
      <c r="L84" s="190"/>
    </row>
    <row r="85" spans="2:12" ht="15.75" customHeight="1" x14ac:dyDescent="0.3">
      <c r="B85" s="189"/>
      <c r="C85" s="190"/>
      <c r="D85" s="186"/>
      <c r="E85" s="189"/>
      <c r="F85" s="190"/>
      <c r="G85" s="186"/>
      <c r="H85" s="189"/>
      <c r="I85" s="190"/>
      <c r="J85" s="186"/>
      <c r="K85" s="189"/>
      <c r="L85" s="190"/>
    </row>
    <row r="86" spans="2:12" ht="15.75" customHeight="1" x14ac:dyDescent="0.3">
      <c r="B86" s="189"/>
      <c r="C86" s="190"/>
      <c r="D86" s="186"/>
      <c r="E86" s="189"/>
      <c r="F86" s="190"/>
      <c r="G86" s="186"/>
      <c r="H86" s="189"/>
      <c r="I86" s="190"/>
      <c r="J86" s="186"/>
      <c r="K86" s="189"/>
      <c r="L86" s="190"/>
    </row>
    <row r="87" spans="2:12" ht="15.75" customHeight="1" x14ac:dyDescent="0.3">
      <c r="B87" s="189"/>
      <c r="C87" s="190"/>
      <c r="D87" s="186"/>
      <c r="E87" s="189"/>
      <c r="F87" s="190"/>
      <c r="G87" s="186"/>
      <c r="H87" s="189"/>
      <c r="I87" s="190"/>
      <c r="J87" s="186"/>
      <c r="K87" s="189"/>
      <c r="L87" s="190"/>
    </row>
    <row r="88" spans="2:12" ht="15.75" customHeight="1" x14ac:dyDescent="0.3">
      <c r="B88" s="189"/>
      <c r="C88" s="190"/>
      <c r="D88" s="186"/>
      <c r="E88" s="189"/>
      <c r="F88" s="190"/>
      <c r="G88" s="186"/>
      <c r="H88" s="189"/>
      <c r="I88" s="190"/>
      <c r="J88" s="186"/>
      <c r="K88" s="189"/>
      <c r="L88" s="190"/>
    </row>
    <row r="89" spans="2:12" ht="15.75" customHeight="1" x14ac:dyDescent="0.3">
      <c r="B89" s="189"/>
      <c r="C89" s="190"/>
      <c r="D89" s="186"/>
      <c r="E89" s="189"/>
      <c r="F89" s="190"/>
      <c r="G89" s="186"/>
      <c r="H89" s="189"/>
      <c r="I89" s="190"/>
      <c r="J89" s="186"/>
      <c r="K89" s="189"/>
      <c r="L89" s="190"/>
    </row>
    <row r="90" spans="2:12" ht="15.75" customHeight="1" x14ac:dyDescent="0.3">
      <c r="B90" s="189"/>
      <c r="C90" s="190"/>
      <c r="D90" s="186"/>
      <c r="E90" s="189"/>
      <c r="F90" s="190"/>
      <c r="G90" s="186"/>
      <c r="H90" s="189"/>
      <c r="I90" s="190"/>
      <c r="J90" s="186"/>
      <c r="K90" s="189"/>
      <c r="L90" s="190"/>
    </row>
    <row r="91" spans="2:12" ht="15.75" customHeight="1" x14ac:dyDescent="0.3">
      <c r="B91" s="189"/>
      <c r="C91" s="190"/>
      <c r="D91" s="186"/>
      <c r="E91" s="189"/>
      <c r="F91" s="190"/>
      <c r="G91" s="186"/>
      <c r="H91" s="189"/>
      <c r="I91" s="190"/>
      <c r="J91" s="186"/>
      <c r="K91" s="189"/>
      <c r="L91" s="190"/>
    </row>
    <row r="92" spans="2:12" ht="15.75" customHeight="1" x14ac:dyDescent="0.3">
      <c r="B92" s="189"/>
      <c r="C92" s="190"/>
      <c r="D92" s="186"/>
      <c r="E92" s="189"/>
      <c r="F92" s="190"/>
      <c r="G92" s="186"/>
      <c r="H92" s="189"/>
      <c r="I92" s="190"/>
      <c r="J92" s="186"/>
      <c r="K92" s="189"/>
      <c r="L92" s="190"/>
    </row>
    <row r="93" spans="2:12" ht="15.75" customHeight="1" x14ac:dyDescent="0.3">
      <c r="B93" s="189"/>
      <c r="C93" s="190"/>
      <c r="D93" s="186"/>
      <c r="E93" s="189"/>
      <c r="F93" s="190"/>
      <c r="G93" s="186"/>
      <c r="H93" s="189"/>
      <c r="I93" s="190"/>
      <c r="J93" s="186"/>
      <c r="K93" s="189"/>
      <c r="L93" s="190"/>
    </row>
    <row r="94" spans="2:12" ht="15.75" customHeight="1" x14ac:dyDescent="0.3">
      <c r="B94" s="189"/>
      <c r="C94" s="190"/>
      <c r="D94" s="186"/>
      <c r="E94" s="189"/>
      <c r="F94" s="190"/>
      <c r="G94" s="186"/>
      <c r="H94" s="189"/>
      <c r="I94" s="190"/>
      <c r="J94" s="186"/>
      <c r="K94" s="189"/>
      <c r="L94" s="190"/>
    </row>
    <row r="98" spans="2:16" ht="15.75" customHeight="1" x14ac:dyDescent="0.3">
      <c r="B98" s="318" t="s">
        <v>1598</v>
      </c>
      <c r="C98" s="232"/>
      <c r="D98" s="232"/>
      <c r="E98" s="232"/>
      <c r="F98" s="232"/>
      <c r="G98" s="232"/>
      <c r="H98" s="232"/>
      <c r="I98" s="232"/>
      <c r="J98" s="232"/>
      <c r="K98" s="232"/>
      <c r="L98" s="232"/>
      <c r="M98" s="232"/>
      <c r="N98" s="232"/>
      <c r="O98" s="232"/>
      <c r="P98" s="233"/>
    </row>
    <row r="99" spans="2:16" ht="15.75" customHeight="1" x14ac:dyDescent="0.3">
      <c r="B99" s="319" t="s">
        <v>1488</v>
      </c>
      <c r="C99" s="232"/>
      <c r="D99" s="273"/>
      <c r="E99" s="182"/>
      <c r="F99" s="319" t="s">
        <v>1489</v>
      </c>
      <c r="G99" s="232"/>
      <c r="H99" s="273"/>
      <c r="J99" s="319" t="s">
        <v>1490</v>
      </c>
      <c r="K99" s="232"/>
      <c r="L99" s="273"/>
      <c r="N99" s="319" t="s">
        <v>1491</v>
      </c>
      <c r="O99" s="232"/>
      <c r="P99" s="273"/>
    </row>
    <row r="100" spans="2:16" ht="15.75" customHeight="1" x14ac:dyDescent="0.3">
      <c r="B100" s="187" t="s">
        <v>1599</v>
      </c>
      <c r="C100" s="187" t="s">
        <v>1493</v>
      </c>
      <c r="D100" s="187" t="s">
        <v>1494</v>
      </c>
      <c r="E100" s="169"/>
      <c r="F100" s="187" t="s">
        <v>1599</v>
      </c>
      <c r="G100" s="187" t="s">
        <v>1493</v>
      </c>
      <c r="H100" s="187" t="s">
        <v>1494</v>
      </c>
      <c r="I100" s="169"/>
      <c r="J100" s="187" t="s">
        <v>1599</v>
      </c>
      <c r="K100" s="187" t="s">
        <v>1493</v>
      </c>
      <c r="L100" s="187" t="s">
        <v>1494</v>
      </c>
      <c r="M100" s="169"/>
      <c r="N100" s="187" t="s">
        <v>1599</v>
      </c>
      <c r="O100" s="187" t="s">
        <v>1493</v>
      </c>
      <c r="P100" s="187" t="s">
        <v>1494</v>
      </c>
    </row>
    <row r="101" spans="2:16" ht="15.75" customHeight="1" x14ac:dyDescent="0.3">
      <c r="B101" s="196"/>
      <c r="C101" s="197"/>
      <c r="D101" s="190"/>
      <c r="E101" s="182"/>
      <c r="F101" s="198"/>
      <c r="G101" s="197"/>
      <c r="H101" s="199"/>
      <c r="J101" s="198"/>
      <c r="K101" s="200"/>
      <c r="L101" s="190"/>
      <c r="N101" s="198"/>
      <c r="O101" s="197"/>
      <c r="P101" s="190"/>
    </row>
    <row r="102" spans="2:16" ht="15.75" customHeight="1" x14ac:dyDescent="0.3">
      <c r="B102" s="196">
        <v>1</v>
      </c>
      <c r="C102" s="197" t="s">
        <v>679</v>
      </c>
      <c r="D102" s="190">
        <v>0.1</v>
      </c>
      <c r="E102" s="182"/>
      <c r="F102" s="198">
        <v>1</v>
      </c>
      <c r="G102" s="197" t="s">
        <v>789</v>
      </c>
      <c r="H102" s="199">
        <v>0.1</v>
      </c>
      <c r="J102" s="198">
        <v>1</v>
      </c>
      <c r="K102" s="200" t="s">
        <v>679</v>
      </c>
      <c r="L102" s="190">
        <v>0.1</v>
      </c>
      <c r="N102" s="198">
        <v>1</v>
      </c>
      <c r="O102" s="197" t="s">
        <v>789</v>
      </c>
      <c r="P102" s="190">
        <v>0.1</v>
      </c>
    </row>
    <row r="103" spans="2:16" ht="15.75" customHeight="1" x14ac:dyDescent="0.3">
      <c r="B103" s="196">
        <v>2</v>
      </c>
      <c r="C103" s="197" t="s">
        <v>700</v>
      </c>
      <c r="D103" s="190">
        <v>0.2</v>
      </c>
      <c r="E103" s="182"/>
      <c r="F103" s="198">
        <v>2</v>
      </c>
      <c r="G103" s="197" t="s">
        <v>810</v>
      </c>
      <c r="H103" s="199">
        <v>0.3</v>
      </c>
      <c r="J103" s="198">
        <v>2</v>
      </c>
      <c r="K103" s="200" t="s">
        <v>700</v>
      </c>
      <c r="L103" s="190">
        <v>0.2</v>
      </c>
      <c r="N103" s="198">
        <v>2</v>
      </c>
      <c r="O103" s="197" t="s">
        <v>810</v>
      </c>
      <c r="P103" s="190">
        <v>0.3</v>
      </c>
    </row>
    <row r="104" spans="2:16" ht="15.75" customHeight="1" x14ac:dyDescent="0.3">
      <c r="B104" s="196">
        <v>3</v>
      </c>
      <c r="C104" s="197" t="s">
        <v>741</v>
      </c>
      <c r="D104" s="190">
        <v>0.05</v>
      </c>
      <c r="E104" s="182"/>
      <c r="F104" s="198">
        <v>3</v>
      </c>
      <c r="G104" s="197" t="s">
        <v>824</v>
      </c>
      <c r="H104" s="199">
        <v>0.4</v>
      </c>
      <c r="J104" s="198">
        <v>3</v>
      </c>
      <c r="K104" s="200" t="s">
        <v>741</v>
      </c>
      <c r="L104" s="190">
        <v>0.05</v>
      </c>
      <c r="N104" s="198">
        <v>3</v>
      </c>
      <c r="O104" s="197" t="s">
        <v>824</v>
      </c>
      <c r="P104" s="190">
        <v>0.4</v>
      </c>
    </row>
    <row r="105" spans="2:16" ht="15.75" customHeight="1" x14ac:dyDescent="0.3">
      <c r="B105" s="196">
        <v>4</v>
      </c>
      <c r="C105" s="197" t="s">
        <v>866</v>
      </c>
      <c r="D105" s="190">
        <v>0.1</v>
      </c>
      <c r="E105" s="182"/>
      <c r="F105" s="198">
        <v>4</v>
      </c>
      <c r="G105" s="197" t="s">
        <v>831</v>
      </c>
      <c r="H105" s="199">
        <v>0.1</v>
      </c>
      <c r="J105" s="198">
        <v>4</v>
      </c>
      <c r="K105" s="200" t="s">
        <v>866</v>
      </c>
      <c r="L105" s="190">
        <v>0.1</v>
      </c>
      <c r="N105" s="198">
        <v>4</v>
      </c>
      <c r="O105" s="197" t="s">
        <v>831</v>
      </c>
      <c r="P105" s="190">
        <v>0.1</v>
      </c>
    </row>
    <row r="106" spans="2:16" ht="15.75" customHeight="1" x14ac:dyDescent="0.3">
      <c r="B106" s="196">
        <v>5</v>
      </c>
      <c r="C106" s="197" t="s">
        <v>727</v>
      </c>
      <c r="D106" s="190">
        <v>0.3</v>
      </c>
      <c r="E106" s="182"/>
      <c r="F106" s="198">
        <v>5</v>
      </c>
      <c r="G106" s="197" t="s">
        <v>845</v>
      </c>
      <c r="H106" s="199">
        <v>0.25</v>
      </c>
      <c r="J106" s="198">
        <v>5</v>
      </c>
      <c r="K106" s="200" t="s">
        <v>727</v>
      </c>
      <c r="L106" s="190">
        <v>0.3</v>
      </c>
      <c r="N106" s="198">
        <v>5</v>
      </c>
      <c r="O106" s="197" t="s">
        <v>845</v>
      </c>
      <c r="P106" s="190">
        <v>0.25</v>
      </c>
    </row>
    <row r="107" spans="2:16" ht="15.75" customHeight="1" x14ac:dyDescent="0.3">
      <c r="B107" s="196">
        <v>6</v>
      </c>
      <c r="C107" s="197" t="s">
        <v>755</v>
      </c>
      <c r="D107" s="190">
        <v>0.2</v>
      </c>
      <c r="E107" s="182"/>
      <c r="F107" s="198">
        <v>6</v>
      </c>
      <c r="G107" s="197" t="s">
        <v>852</v>
      </c>
      <c r="H107" s="199">
        <v>0.4</v>
      </c>
      <c r="J107" s="198">
        <v>6</v>
      </c>
      <c r="K107" s="200" t="s">
        <v>755</v>
      </c>
      <c r="L107" s="190">
        <v>0.2</v>
      </c>
      <c r="N107" s="198">
        <v>6</v>
      </c>
      <c r="O107" s="197" t="s">
        <v>852</v>
      </c>
      <c r="P107" s="190">
        <v>0.4</v>
      </c>
    </row>
    <row r="108" spans="2:16" ht="15.75" customHeight="1" x14ac:dyDescent="0.3">
      <c r="B108" s="196">
        <v>7</v>
      </c>
      <c r="C108" s="197" t="s">
        <v>762</v>
      </c>
      <c r="D108" s="190">
        <v>0.3</v>
      </c>
      <c r="E108" s="182"/>
      <c r="F108" s="198">
        <v>7</v>
      </c>
      <c r="G108" s="197" t="s">
        <v>859</v>
      </c>
      <c r="H108" s="199">
        <v>0.5</v>
      </c>
      <c r="J108" s="198">
        <v>7</v>
      </c>
      <c r="K108" s="200" t="s">
        <v>762</v>
      </c>
      <c r="L108" s="190">
        <v>0.3</v>
      </c>
      <c r="N108" s="198">
        <v>7</v>
      </c>
      <c r="O108" s="197" t="s">
        <v>859</v>
      </c>
      <c r="P108" s="190">
        <v>0.5</v>
      </c>
    </row>
    <row r="109" spans="2:16" ht="15.75" customHeight="1" x14ac:dyDescent="0.3">
      <c r="B109" s="196"/>
      <c r="C109" s="197"/>
      <c r="D109" s="190"/>
      <c r="E109" s="182"/>
      <c r="F109" s="198">
        <v>8</v>
      </c>
      <c r="G109" s="197" t="s">
        <v>1600</v>
      </c>
      <c r="H109" s="199">
        <v>0.05</v>
      </c>
      <c r="J109" s="198">
        <v>8</v>
      </c>
      <c r="K109" s="200" t="s">
        <v>789</v>
      </c>
      <c r="L109" s="190">
        <v>0.1</v>
      </c>
      <c r="N109" s="198">
        <v>8</v>
      </c>
      <c r="O109" s="197" t="s">
        <v>1600</v>
      </c>
      <c r="P109" s="190">
        <v>0.05</v>
      </c>
    </row>
    <row r="110" spans="2:16" ht="15.75" customHeight="1" x14ac:dyDescent="0.3">
      <c r="B110" s="196"/>
      <c r="C110" s="197"/>
      <c r="D110" s="190"/>
      <c r="E110" s="182"/>
      <c r="F110" s="198">
        <v>9</v>
      </c>
      <c r="G110" s="197" t="s">
        <v>887</v>
      </c>
      <c r="H110" s="199">
        <v>0.1</v>
      </c>
      <c r="J110" s="198">
        <v>9</v>
      </c>
      <c r="K110" s="200" t="s">
        <v>810</v>
      </c>
      <c r="L110" s="190">
        <v>0.3</v>
      </c>
      <c r="N110" s="198">
        <v>9</v>
      </c>
      <c r="O110" s="197" t="s">
        <v>887</v>
      </c>
      <c r="P110" s="190">
        <v>0.1</v>
      </c>
    </row>
    <row r="111" spans="2:16" ht="15.75" customHeight="1" x14ac:dyDescent="0.3">
      <c r="B111" s="196"/>
      <c r="C111" s="197"/>
      <c r="D111" s="190"/>
      <c r="E111" s="182"/>
      <c r="F111" s="198">
        <v>10</v>
      </c>
      <c r="G111" s="197" t="s">
        <v>894</v>
      </c>
      <c r="H111" s="199">
        <v>0.125</v>
      </c>
      <c r="J111" s="198">
        <v>10</v>
      </c>
      <c r="K111" s="200" t="s">
        <v>824</v>
      </c>
      <c r="L111" s="190">
        <v>0.4</v>
      </c>
      <c r="N111" s="198">
        <v>10</v>
      </c>
      <c r="O111" s="197" t="s">
        <v>894</v>
      </c>
      <c r="P111" s="190">
        <v>0.125</v>
      </c>
    </row>
    <row r="112" spans="2:16" ht="15.75" customHeight="1" x14ac:dyDescent="0.3">
      <c r="B112" s="196"/>
      <c r="C112" s="197"/>
      <c r="D112" s="190"/>
      <c r="E112" s="182"/>
      <c r="F112" s="198">
        <v>11</v>
      </c>
      <c r="G112" s="197" t="s">
        <v>901</v>
      </c>
      <c r="H112" s="199">
        <v>0.3</v>
      </c>
      <c r="J112" s="198">
        <v>11</v>
      </c>
      <c r="K112" s="200" t="s">
        <v>831</v>
      </c>
      <c r="L112" s="190">
        <v>0.1</v>
      </c>
      <c r="N112" s="198">
        <v>11</v>
      </c>
      <c r="O112" s="197" t="s">
        <v>901</v>
      </c>
      <c r="P112" s="190">
        <v>0.3</v>
      </c>
    </row>
    <row r="113" spans="2:16" ht="15.75" customHeight="1" x14ac:dyDescent="0.3">
      <c r="B113" s="196"/>
      <c r="C113" s="197"/>
      <c r="D113" s="190"/>
      <c r="E113" s="182"/>
      <c r="F113" s="198">
        <v>12</v>
      </c>
      <c r="G113" s="197" t="s">
        <v>1601</v>
      </c>
      <c r="H113" s="199">
        <v>0.5</v>
      </c>
      <c r="J113" s="198">
        <v>12</v>
      </c>
      <c r="K113" s="200" t="s">
        <v>845</v>
      </c>
      <c r="L113" s="190">
        <v>0.25</v>
      </c>
      <c r="N113" s="198">
        <v>12</v>
      </c>
      <c r="O113" s="197" t="s">
        <v>1601</v>
      </c>
      <c r="P113" s="190">
        <v>0.5</v>
      </c>
    </row>
    <row r="114" spans="2:16" ht="15.75" customHeight="1" x14ac:dyDescent="0.3">
      <c r="B114" s="196"/>
      <c r="C114" s="197"/>
      <c r="D114" s="190"/>
      <c r="E114" s="182"/>
      <c r="F114" s="198">
        <v>13</v>
      </c>
      <c r="G114" s="197" t="s">
        <v>922</v>
      </c>
      <c r="H114" s="199">
        <v>0.1</v>
      </c>
      <c r="J114" s="198">
        <v>13</v>
      </c>
      <c r="K114" s="200" t="s">
        <v>852</v>
      </c>
      <c r="L114" s="190">
        <v>0.4</v>
      </c>
      <c r="N114" s="198">
        <v>13</v>
      </c>
      <c r="O114" s="197" t="s">
        <v>922</v>
      </c>
      <c r="P114" s="190">
        <v>0.1</v>
      </c>
    </row>
    <row r="115" spans="2:16" ht="15.75" customHeight="1" x14ac:dyDescent="0.3">
      <c r="B115" s="196"/>
      <c r="C115" s="197"/>
      <c r="D115" s="190"/>
      <c r="E115" s="182"/>
      <c r="F115" s="198">
        <v>14</v>
      </c>
      <c r="G115" s="197" t="s">
        <v>936</v>
      </c>
      <c r="H115" s="199">
        <v>0.15</v>
      </c>
      <c r="J115" s="198">
        <v>14</v>
      </c>
      <c r="K115" s="200" t="s">
        <v>859</v>
      </c>
      <c r="L115" s="190">
        <v>0.5</v>
      </c>
      <c r="N115" s="198">
        <v>14</v>
      </c>
      <c r="O115" s="197" t="s">
        <v>936</v>
      </c>
      <c r="P115" s="190">
        <v>0.15</v>
      </c>
    </row>
    <row r="116" spans="2:16" ht="15.75" customHeight="1" x14ac:dyDescent="0.3">
      <c r="B116" s="196"/>
      <c r="C116" s="197"/>
      <c r="D116" s="190"/>
      <c r="E116" s="182"/>
      <c r="F116" s="198">
        <v>15</v>
      </c>
      <c r="G116" s="197" t="s">
        <v>964</v>
      </c>
      <c r="H116" s="199">
        <v>0.25</v>
      </c>
      <c r="J116" s="198">
        <v>15</v>
      </c>
      <c r="K116" s="200" t="s">
        <v>1600</v>
      </c>
      <c r="L116" s="190">
        <v>0.05</v>
      </c>
      <c r="N116" s="198">
        <v>15</v>
      </c>
      <c r="O116" s="197" t="s">
        <v>964</v>
      </c>
      <c r="P116" s="190">
        <v>0.25</v>
      </c>
    </row>
    <row r="117" spans="2:16" ht="15.75" customHeight="1" x14ac:dyDescent="0.3">
      <c r="B117" s="196"/>
      <c r="C117" s="197"/>
      <c r="D117" s="190"/>
      <c r="E117" s="182"/>
      <c r="F117" s="198">
        <v>16</v>
      </c>
      <c r="G117" s="197" t="s">
        <v>971</v>
      </c>
      <c r="H117" s="199">
        <v>0.25</v>
      </c>
      <c r="J117" s="198">
        <v>16</v>
      </c>
      <c r="K117" s="200" t="s">
        <v>887</v>
      </c>
      <c r="L117" s="190">
        <v>0.1</v>
      </c>
      <c r="N117" s="198">
        <v>16</v>
      </c>
      <c r="O117" s="197" t="s">
        <v>971</v>
      </c>
      <c r="P117" s="190">
        <v>0.25</v>
      </c>
    </row>
    <row r="118" spans="2:16" ht="15.75" customHeight="1" x14ac:dyDescent="0.3">
      <c r="B118" s="196"/>
      <c r="C118" s="197"/>
      <c r="D118" s="190"/>
      <c r="E118" s="182"/>
      <c r="F118" s="198">
        <v>17</v>
      </c>
      <c r="G118" s="197" t="s">
        <v>978</v>
      </c>
      <c r="H118" s="199">
        <v>0.35</v>
      </c>
      <c r="J118" s="198">
        <v>17</v>
      </c>
      <c r="K118" s="200" t="s">
        <v>894</v>
      </c>
      <c r="L118" s="190">
        <v>0.125</v>
      </c>
      <c r="N118" s="198">
        <v>17</v>
      </c>
      <c r="O118" s="197" t="s">
        <v>978</v>
      </c>
      <c r="P118" s="190">
        <v>0.35</v>
      </c>
    </row>
    <row r="119" spans="2:16" ht="15.75" customHeight="1" x14ac:dyDescent="0.3">
      <c r="B119" s="196"/>
      <c r="C119" s="197"/>
      <c r="D119" s="190"/>
      <c r="E119" s="182"/>
      <c r="F119" s="198">
        <v>18</v>
      </c>
      <c r="G119" s="197" t="s">
        <v>992</v>
      </c>
      <c r="H119" s="199">
        <v>0.6</v>
      </c>
      <c r="J119" s="198">
        <v>18</v>
      </c>
      <c r="K119" s="200" t="s">
        <v>901</v>
      </c>
      <c r="L119" s="190">
        <v>0.3</v>
      </c>
      <c r="N119" s="198">
        <v>18</v>
      </c>
      <c r="O119" s="197" t="s">
        <v>992</v>
      </c>
      <c r="P119" s="190">
        <v>0.6</v>
      </c>
    </row>
    <row r="120" spans="2:16" ht="15.75" customHeight="1" x14ac:dyDescent="0.3">
      <c r="B120" s="196"/>
      <c r="C120" s="197"/>
      <c r="D120" s="190"/>
      <c r="E120" s="182"/>
      <c r="F120" s="198">
        <v>19</v>
      </c>
      <c r="G120" s="197" t="s">
        <v>1016</v>
      </c>
      <c r="H120" s="199">
        <v>0.15</v>
      </c>
      <c r="J120" s="198">
        <v>19</v>
      </c>
      <c r="K120" s="200" t="s">
        <v>1601</v>
      </c>
      <c r="L120" s="190">
        <v>0.5</v>
      </c>
      <c r="N120" s="198">
        <v>19</v>
      </c>
      <c r="O120" s="197" t="s">
        <v>1016</v>
      </c>
      <c r="P120" s="190">
        <v>0.15</v>
      </c>
    </row>
    <row r="121" spans="2:16" ht="15.75" customHeight="1" x14ac:dyDescent="0.3">
      <c r="B121" s="196"/>
      <c r="C121" s="197"/>
      <c r="D121" s="190"/>
      <c r="E121" s="182"/>
      <c r="F121" s="198">
        <v>20</v>
      </c>
      <c r="G121" s="197" t="s">
        <v>1010</v>
      </c>
      <c r="H121" s="199">
        <v>0.25</v>
      </c>
      <c r="J121" s="198">
        <v>20</v>
      </c>
      <c r="K121" s="200" t="s">
        <v>922</v>
      </c>
      <c r="L121" s="190">
        <v>0.1</v>
      </c>
      <c r="N121" s="198">
        <v>20</v>
      </c>
      <c r="O121" s="197" t="s">
        <v>1010</v>
      </c>
      <c r="P121" s="190">
        <v>0.25</v>
      </c>
    </row>
    <row r="122" spans="2:16" ht="15.75" customHeight="1" x14ac:dyDescent="0.3">
      <c r="B122" s="196"/>
      <c r="C122" s="197"/>
      <c r="D122" s="190"/>
      <c r="E122" s="182"/>
      <c r="F122" s="198">
        <v>21</v>
      </c>
      <c r="G122" s="197" t="s">
        <v>1034</v>
      </c>
      <c r="H122" s="199">
        <v>0.27500000000000002</v>
      </c>
      <c r="J122" s="198">
        <v>21</v>
      </c>
      <c r="K122" s="200" t="s">
        <v>936</v>
      </c>
      <c r="L122" s="190">
        <v>0.15</v>
      </c>
      <c r="N122" s="198">
        <v>21</v>
      </c>
      <c r="O122" s="197" t="s">
        <v>1034</v>
      </c>
      <c r="P122" s="190">
        <v>0.27500000000000002</v>
      </c>
    </row>
    <row r="123" spans="2:16" ht="15.75" customHeight="1" x14ac:dyDescent="0.3">
      <c r="B123" s="196"/>
      <c r="C123" s="197"/>
      <c r="D123" s="190"/>
      <c r="E123" s="182"/>
      <c r="F123" s="198">
        <v>22</v>
      </c>
      <c r="G123" s="197" t="s">
        <v>1050</v>
      </c>
      <c r="H123" s="199">
        <v>0.3</v>
      </c>
      <c r="J123" s="198">
        <v>22</v>
      </c>
      <c r="K123" s="200" t="s">
        <v>964</v>
      </c>
      <c r="L123" s="190">
        <v>0.25</v>
      </c>
      <c r="N123" s="198">
        <v>22</v>
      </c>
      <c r="O123" s="197" t="s">
        <v>1050</v>
      </c>
      <c r="P123" s="190">
        <v>0.3</v>
      </c>
    </row>
    <row r="124" spans="2:16" ht="15.75" customHeight="1" x14ac:dyDescent="0.3">
      <c r="B124" s="196"/>
      <c r="C124" s="197"/>
      <c r="D124" s="190"/>
      <c r="E124" s="182"/>
      <c r="F124" s="198">
        <v>23</v>
      </c>
      <c r="G124" s="197" t="s">
        <v>1060</v>
      </c>
      <c r="H124" s="199">
        <v>0.55000000000000004</v>
      </c>
      <c r="J124" s="198">
        <v>23</v>
      </c>
      <c r="K124" s="200" t="s">
        <v>971</v>
      </c>
      <c r="L124" s="190">
        <v>0.25</v>
      </c>
      <c r="N124" s="198">
        <v>23</v>
      </c>
      <c r="O124" s="197" t="s">
        <v>1060</v>
      </c>
      <c r="P124" s="190">
        <v>0.55000000000000004</v>
      </c>
    </row>
    <row r="125" spans="2:16" ht="15.75" customHeight="1" x14ac:dyDescent="0.3">
      <c r="B125" s="196"/>
      <c r="C125" s="197"/>
      <c r="D125" s="190"/>
      <c r="E125" s="182"/>
      <c r="F125" s="198">
        <v>24</v>
      </c>
      <c r="G125" s="197" t="s">
        <v>1064</v>
      </c>
      <c r="H125" s="199">
        <v>1</v>
      </c>
      <c r="J125" s="198">
        <v>24</v>
      </c>
      <c r="K125" s="200" t="s">
        <v>978</v>
      </c>
      <c r="L125" s="190">
        <v>0.35</v>
      </c>
      <c r="N125" s="198">
        <v>24</v>
      </c>
      <c r="O125" s="197" t="s">
        <v>1064</v>
      </c>
      <c r="P125" s="190">
        <v>1</v>
      </c>
    </row>
    <row r="126" spans="2:16" ht="15.75" customHeight="1" x14ac:dyDescent="0.3">
      <c r="B126" s="196"/>
      <c r="C126" s="197"/>
      <c r="D126" s="190"/>
      <c r="E126" s="182"/>
      <c r="F126" s="198"/>
      <c r="G126" s="197"/>
      <c r="H126" s="199"/>
      <c r="J126" s="198">
        <v>25</v>
      </c>
      <c r="K126" s="200" t="s">
        <v>992</v>
      </c>
      <c r="L126" s="190">
        <v>0.6</v>
      </c>
      <c r="N126" s="198"/>
      <c r="O126" s="197"/>
      <c r="P126" s="190"/>
    </row>
    <row r="127" spans="2:16" ht="15.75" customHeight="1" x14ac:dyDescent="0.3">
      <c r="B127" s="196"/>
      <c r="C127" s="197"/>
      <c r="D127" s="190"/>
      <c r="E127" s="182"/>
      <c r="F127" s="198"/>
      <c r="G127" s="197"/>
      <c r="H127" s="199"/>
      <c r="J127" s="198">
        <v>26</v>
      </c>
      <c r="K127" s="200" t="s">
        <v>1016</v>
      </c>
      <c r="L127" s="190">
        <v>0.15</v>
      </c>
      <c r="N127" s="198"/>
      <c r="O127" s="197"/>
      <c r="P127" s="190"/>
    </row>
    <row r="128" spans="2:16" ht="15.75" customHeight="1" x14ac:dyDescent="0.3">
      <c r="B128" s="196"/>
      <c r="C128" s="197"/>
      <c r="D128" s="190"/>
      <c r="E128" s="182"/>
      <c r="F128" s="198"/>
      <c r="G128" s="197"/>
      <c r="H128" s="199"/>
      <c r="J128" s="198">
        <v>27</v>
      </c>
      <c r="K128" s="200" t="s">
        <v>1010</v>
      </c>
      <c r="L128" s="190">
        <v>0.25</v>
      </c>
      <c r="N128" s="198" t="str">
        <f t="shared" ref="N128:P128" si="0">IF(F128="","",F128)</f>
        <v/>
      </c>
      <c r="O128" s="197" t="str">
        <f t="shared" si="0"/>
        <v/>
      </c>
      <c r="P128" s="190" t="str">
        <f t="shared" si="0"/>
        <v/>
      </c>
    </row>
    <row r="129" spans="2:16" ht="15.75" customHeight="1" x14ac:dyDescent="0.3">
      <c r="B129" s="196"/>
      <c r="C129" s="197"/>
      <c r="D129" s="190"/>
      <c r="E129" s="182"/>
      <c r="F129" s="198"/>
      <c r="G129" s="197"/>
      <c r="H129" s="199"/>
      <c r="J129" s="198">
        <v>28</v>
      </c>
      <c r="K129" s="200" t="s">
        <v>1034</v>
      </c>
      <c r="L129" s="190">
        <v>0.27500000000000002</v>
      </c>
      <c r="N129" s="198" t="str">
        <f t="shared" ref="N129:P129" si="1">IF(F129="","",F129)</f>
        <v/>
      </c>
      <c r="O129" s="197" t="str">
        <f t="shared" si="1"/>
        <v/>
      </c>
      <c r="P129" s="190" t="str">
        <f t="shared" si="1"/>
        <v/>
      </c>
    </row>
    <row r="130" spans="2:16" ht="15.75" customHeight="1" x14ac:dyDescent="0.3">
      <c r="B130" s="196"/>
      <c r="C130" s="197"/>
      <c r="D130" s="190"/>
      <c r="E130" s="182"/>
      <c r="F130" s="198"/>
      <c r="G130" s="197"/>
      <c r="H130" s="199"/>
      <c r="J130" s="198">
        <v>29</v>
      </c>
      <c r="K130" s="200" t="s">
        <v>1050</v>
      </c>
      <c r="L130" s="190">
        <v>0.3</v>
      </c>
      <c r="N130" s="198" t="str">
        <f t="shared" ref="N130:P130" si="2">IF(F130="","",F130)</f>
        <v/>
      </c>
      <c r="O130" s="197" t="str">
        <f t="shared" si="2"/>
        <v/>
      </c>
      <c r="P130" s="190" t="str">
        <f t="shared" si="2"/>
        <v/>
      </c>
    </row>
    <row r="131" spans="2:16" ht="15.75" customHeight="1" x14ac:dyDescent="0.3">
      <c r="B131" s="196"/>
      <c r="C131" s="197"/>
      <c r="D131" s="190"/>
      <c r="E131" s="182"/>
      <c r="F131" s="198"/>
      <c r="G131" s="197"/>
      <c r="H131" s="199"/>
      <c r="J131" s="198">
        <v>30</v>
      </c>
      <c r="K131" s="200" t="s">
        <v>1060</v>
      </c>
      <c r="L131" s="190">
        <v>0.55000000000000004</v>
      </c>
      <c r="N131" s="198" t="str">
        <f t="shared" ref="N131:P131" si="3">IF(F131="","",F131)</f>
        <v/>
      </c>
      <c r="O131" s="197" t="str">
        <f t="shared" si="3"/>
        <v/>
      </c>
      <c r="P131" s="190" t="str">
        <f t="shared" si="3"/>
        <v/>
      </c>
    </row>
    <row r="132" spans="2:16" ht="15.75" customHeight="1" x14ac:dyDescent="0.3">
      <c r="B132" s="196"/>
      <c r="C132" s="197"/>
      <c r="D132" s="190"/>
      <c r="E132" s="182"/>
      <c r="F132" s="198"/>
      <c r="G132" s="197"/>
      <c r="H132" s="199"/>
      <c r="J132" s="198">
        <v>31</v>
      </c>
      <c r="K132" s="200" t="s">
        <v>1064</v>
      </c>
      <c r="L132" s="190">
        <v>1</v>
      </c>
      <c r="N132" s="198" t="str">
        <f t="shared" ref="N132:P132" si="4">IF(F132="","",F132)</f>
        <v/>
      </c>
      <c r="O132" s="197" t="str">
        <f t="shared" si="4"/>
        <v/>
      </c>
      <c r="P132" s="190" t="str">
        <f t="shared" si="4"/>
        <v/>
      </c>
    </row>
    <row r="133" spans="2:16" ht="15.75" customHeight="1" x14ac:dyDescent="0.3">
      <c r="B133" s="196"/>
      <c r="C133" s="197"/>
      <c r="D133" s="190"/>
      <c r="E133" s="182"/>
      <c r="F133" s="198"/>
      <c r="G133" s="197"/>
      <c r="H133" s="199"/>
      <c r="J133" s="198"/>
      <c r="K133" s="200"/>
      <c r="L133" s="190"/>
      <c r="N133" s="198" t="str">
        <f t="shared" ref="N133:P133" si="5">IF(F133="","",F133)</f>
        <v/>
      </c>
      <c r="O133" s="197" t="str">
        <f t="shared" si="5"/>
        <v/>
      </c>
      <c r="P133" s="190" t="str">
        <f t="shared" si="5"/>
        <v/>
      </c>
    </row>
    <row r="134" spans="2:16" ht="15.75" customHeight="1" x14ac:dyDescent="0.3">
      <c r="B134" s="196"/>
      <c r="C134" s="197"/>
      <c r="D134" s="190"/>
      <c r="E134" s="182"/>
      <c r="F134" s="198"/>
      <c r="G134" s="197"/>
      <c r="H134" s="199"/>
      <c r="J134" s="198"/>
      <c r="K134" s="200"/>
      <c r="L134" s="190"/>
      <c r="N134" s="198" t="str">
        <f t="shared" ref="N134:P134" si="6">IF(F134="","",F134)</f>
        <v/>
      </c>
      <c r="O134" s="197" t="str">
        <f t="shared" si="6"/>
        <v/>
      </c>
      <c r="P134" s="190" t="str">
        <f t="shared" si="6"/>
        <v/>
      </c>
    </row>
    <row r="135" spans="2:16" ht="15.75" customHeight="1" x14ac:dyDescent="0.3">
      <c r="B135" s="196"/>
      <c r="C135" s="197"/>
      <c r="D135" s="190"/>
      <c r="E135" s="182"/>
      <c r="F135" s="198"/>
      <c r="G135" s="197"/>
      <c r="H135" s="199"/>
      <c r="J135" s="198"/>
      <c r="K135" s="200"/>
      <c r="L135" s="190"/>
      <c r="N135" s="198" t="str">
        <f t="shared" ref="N135:P135" si="7">IF(F135="","",F135)</f>
        <v/>
      </c>
      <c r="O135" s="197" t="str">
        <f t="shared" si="7"/>
        <v/>
      </c>
      <c r="P135" s="190" t="str">
        <f t="shared" si="7"/>
        <v/>
      </c>
    </row>
    <row r="136" spans="2:16" ht="15.75" customHeight="1" x14ac:dyDescent="0.3">
      <c r="B136" s="196"/>
      <c r="C136" s="197"/>
      <c r="D136" s="190"/>
      <c r="E136" s="182"/>
      <c r="F136" s="198"/>
      <c r="G136" s="197"/>
      <c r="H136" s="199"/>
      <c r="J136" s="198"/>
      <c r="K136" s="200"/>
      <c r="L136" s="190"/>
      <c r="N136" s="198" t="str">
        <f t="shared" ref="N136:P136" si="8">IF(F136="","",F136)</f>
        <v/>
      </c>
      <c r="O136" s="197" t="str">
        <f t="shared" si="8"/>
        <v/>
      </c>
      <c r="P136" s="190" t="str">
        <f t="shared" si="8"/>
        <v/>
      </c>
    </row>
    <row r="137" spans="2:16" ht="15.75" customHeight="1" x14ac:dyDescent="0.3">
      <c r="B137" s="196"/>
      <c r="C137" s="197"/>
      <c r="D137" s="190"/>
      <c r="E137" s="182"/>
      <c r="F137" s="198"/>
      <c r="G137" s="197"/>
      <c r="H137" s="199"/>
      <c r="J137" s="198"/>
      <c r="K137" s="200"/>
      <c r="L137" s="190"/>
      <c r="N137" s="198" t="str">
        <f t="shared" ref="N137:P137" si="9">IF(F137="","",F137)</f>
        <v/>
      </c>
      <c r="O137" s="197" t="str">
        <f t="shared" si="9"/>
        <v/>
      </c>
      <c r="P137" s="190" t="str">
        <f t="shared" si="9"/>
        <v/>
      </c>
    </row>
    <row r="138" spans="2:16" ht="15.75" customHeight="1" x14ac:dyDescent="0.3">
      <c r="B138" s="196"/>
      <c r="C138" s="197"/>
      <c r="D138" s="190"/>
      <c r="E138" s="182"/>
      <c r="F138" s="198"/>
      <c r="G138" s="197"/>
      <c r="H138" s="199"/>
      <c r="J138" s="198"/>
      <c r="K138" s="200"/>
      <c r="L138" s="190"/>
      <c r="N138" s="198" t="str">
        <f t="shared" ref="N138:P138" si="10">IF(F138="","",F138)</f>
        <v/>
      </c>
      <c r="O138" s="197" t="str">
        <f t="shared" si="10"/>
        <v/>
      </c>
      <c r="P138" s="190" t="str">
        <f t="shared" si="10"/>
        <v/>
      </c>
    </row>
    <row r="139" spans="2:16" ht="15.75" customHeight="1" x14ac:dyDescent="0.3">
      <c r="B139" s="196"/>
      <c r="C139" s="197"/>
      <c r="D139" s="190"/>
      <c r="E139" s="182"/>
      <c r="F139" s="198"/>
      <c r="G139" s="197"/>
      <c r="H139" s="199"/>
      <c r="J139" s="198"/>
      <c r="K139" s="200"/>
      <c r="L139" s="190"/>
      <c r="N139" s="198" t="str">
        <f t="shared" ref="N139:P139" si="11">IF(F139="","",F139)</f>
        <v/>
      </c>
      <c r="O139" s="197" t="str">
        <f t="shared" si="11"/>
        <v/>
      </c>
      <c r="P139" s="190" t="str">
        <f t="shared" si="11"/>
        <v/>
      </c>
    </row>
    <row r="140" spans="2:16" ht="15.75" customHeight="1" x14ac:dyDescent="0.3">
      <c r="B140" s="196"/>
      <c r="C140" s="197"/>
      <c r="D140" s="190"/>
      <c r="E140" s="182"/>
      <c r="F140" s="198"/>
      <c r="G140" s="197"/>
      <c r="H140" s="199"/>
      <c r="J140" s="198"/>
      <c r="K140" s="200"/>
      <c r="L140" s="190"/>
      <c r="N140" s="198" t="str">
        <f t="shared" ref="N140:P140" si="12">IF(F140="","",F140)</f>
        <v/>
      </c>
      <c r="O140" s="197" t="str">
        <f t="shared" si="12"/>
        <v/>
      </c>
      <c r="P140" s="190" t="str">
        <f t="shared" si="12"/>
        <v/>
      </c>
    </row>
    <row r="141" spans="2:16" ht="15.75" customHeight="1" x14ac:dyDescent="0.3">
      <c r="B141" s="182"/>
      <c r="E141" s="182"/>
      <c r="H141" s="182"/>
      <c r="K141" s="182"/>
    </row>
    <row r="142" spans="2:16" ht="15.75" customHeight="1" x14ac:dyDescent="0.3">
      <c r="B142" s="182"/>
      <c r="E142" s="182"/>
      <c r="H142" s="182"/>
      <c r="K142" s="182"/>
    </row>
    <row r="143" spans="2:16" ht="15.75" customHeight="1" x14ac:dyDescent="0.3">
      <c r="B143" s="182"/>
      <c r="E143" s="182"/>
      <c r="H143" s="182"/>
      <c r="K143" s="182"/>
    </row>
    <row r="144" spans="2:16" ht="15.75" customHeight="1" x14ac:dyDescent="0.3">
      <c r="B144" s="318" t="s">
        <v>1602</v>
      </c>
      <c r="C144" s="232"/>
      <c r="D144" s="232"/>
      <c r="E144" s="232"/>
      <c r="F144" s="232"/>
      <c r="G144" s="232"/>
      <c r="H144" s="232"/>
      <c r="I144" s="232"/>
      <c r="J144" s="232"/>
      <c r="K144" s="232"/>
      <c r="L144" s="232"/>
      <c r="M144" s="232"/>
      <c r="N144" s="232"/>
      <c r="O144" s="232"/>
      <c r="P144" s="233"/>
    </row>
    <row r="145" spans="2:16" ht="15.75" customHeight="1" x14ac:dyDescent="0.3">
      <c r="B145" s="319" t="s">
        <v>1488</v>
      </c>
      <c r="C145" s="232"/>
      <c r="D145" s="273"/>
      <c r="E145" s="182"/>
      <c r="F145" s="319" t="s">
        <v>1489</v>
      </c>
      <c r="G145" s="232"/>
      <c r="H145" s="273"/>
      <c r="J145" s="319" t="s">
        <v>1490</v>
      </c>
      <c r="K145" s="232"/>
      <c r="L145" s="273"/>
      <c r="N145" s="319" t="s">
        <v>1491</v>
      </c>
      <c r="O145" s="232"/>
      <c r="P145" s="273"/>
    </row>
    <row r="146" spans="2:16" ht="15.75" customHeight="1" x14ac:dyDescent="0.3">
      <c r="B146" s="187" t="s">
        <v>1599</v>
      </c>
      <c r="C146" s="187" t="s">
        <v>1493</v>
      </c>
      <c r="D146" s="187" t="s">
        <v>1494</v>
      </c>
      <c r="E146" s="169"/>
      <c r="F146" s="187" t="s">
        <v>1599</v>
      </c>
      <c r="G146" s="187" t="s">
        <v>1493</v>
      </c>
      <c r="H146" s="187" t="s">
        <v>1494</v>
      </c>
      <c r="I146" s="169"/>
      <c r="J146" s="187" t="s">
        <v>1599</v>
      </c>
      <c r="K146" s="187" t="s">
        <v>1493</v>
      </c>
      <c r="L146" s="187" t="s">
        <v>1494</v>
      </c>
      <c r="M146" s="169"/>
      <c r="N146" s="187" t="s">
        <v>1599</v>
      </c>
      <c r="O146" s="187" t="s">
        <v>1493</v>
      </c>
      <c r="P146" s="187" t="s">
        <v>1494</v>
      </c>
    </row>
    <row r="147" spans="2:16" ht="15.75" customHeight="1" x14ac:dyDescent="0.3">
      <c r="B147" s="196"/>
      <c r="C147" s="197"/>
      <c r="D147" s="190"/>
      <c r="E147" s="182"/>
      <c r="F147" s="198"/>
      <c r="G147" s="197"/>
      <c r="H147" s="199"/>
      <c r="J147" s="198"/>
      <c r="K147" s="200"/>
      <c r="L147" s="190"/>
      <c r="N147" s="198"/>
      <c r="O147" s="197"/>
      <c r="P147" s="190"/>
    </row>
    <row r="148" spans="2:16" ht="15.75" customHeight="1" x14ac:dyDescent="0.3">
      <c r="B148" s="196">
        <v>1</v>
      </c>
      <c r="C148" s="197" t="s">
        <v>682</v>
      </c>
      <c r="D148" s="190">
        <v>0.05</v>
      </c>
      <c r="E148" s="182"/>
      <c r="F148" s="198">
        <v>1</v>
      </c>
      <c r="G148" s="197" t="s">
        <v>777</v>
      </c>
      <c r="H148" s="201">
        <v>0.05</v>
      </c>
      <c r="J148" s="198">
        <v>1</v>
      </c>
      <c r="K148" s="200" t="s">
        <v>682</v>
      </c>
      <c r="L148" s="190">
        <v>0.05</v>
      </c>
      <c r="M148" s="202"/>
      <c r="N148" s="198">
        <v>1</v>
      </c>
      <c r="O148" s="197" t="s">
        <v>777</v>
      </c>
      <c r="P148" s="190">
        <v>0.05</v>
      </c>
    </row>
    <row r="149" spans="2:16" ht="15.75" customHeight="1" x14ac:dyDescent="0.3">
      <c r="B149" s="196">
        <v>2</v>
      </c>
      <c r="C149" s="197" t="s">
        <v>703</v>
      </c>
      <c r="D149" s="190">
        <v>0.1</v>
      </c>
      <c r="E149" s="182"/>
      <c r="F149" s="198">
        <v>2</v>
      </c>
      <c r="G149" s="197" t="s">
        <v>798</v>
      </c>
      <c r="H149" s="201">
        <v>0.1</v>
      </c>
      <c r="J149" s="198">
        <v>2</v>
      </c>
      <c r="K149" s="200" t="s">
        <v>703</v>
      </c>
      <c r="L149" s="190">
        <v>0.1</v>
      </c>
      <c r="M149" s="202"/>
      <c r="N149" s="198">
        <v>2</v>
      </c>
      <c r="O149" s="197" t="s">
        <v>798</v>
      </c>
      <c r="P149" s="190">
        <v>0.1</v>
      </c>
    </row>
    <row r="150" spans="2:16" ht="15.75" customHeight="1" x14ac:dyDescent="0.3">
      <c r="B150" s="196">
        <v>3</v>
      </c>
      <c r="C150" s="197" t="s">
        <v>744</v>
      </c>
      <c r="D150" s="190">
        <v>2.5000000000000001E-2</v>
      </c>
      <c r="E150" s="182"/>
      <c r="F150" s="198">
        <v>3</v>
      </c>
      <c r="G150" s="197" t="s">
        <v>812</v>
      </c>
      <c r="H150" s="201">
        <v>0.2</v>
      </c>
      <c r="J150" s="198">
        <v>3</v>
      </c>
      <c r="K150" s="200" t="s">
        <v>744</v>
      </c>
      <c r="L150" s="190">
        <v>2.5000000000000001E-2</v>
      </c>
      <c r="M150" s="202"/>
      <c r="N150" s="198">
        <v>3</v>
      </c>
      <c r="O150" s="197" t="s">
        <v>812</v>
      </c>
      <c r="P150" s="190">
        <v>0.2</v>
      </c>
    </row>
    <row r="151" spans="2:16" ht="15.75" customHeight="1" x14ac:dyDescent="0.3">
      <c r="B151" s="196">
        <v>4</v>
      </c>
      <c r="C151" s="197" t="s">
        <v>854</v>
      </c>
      <c r="D151" s="190">
        <v>0.05</v>
      </c>
      <c r="E151" s="182"/>
      <c r="F151" s="198">
        <v>4</v>
      </c>
      <c r="G151" s="197" t="s">
        <v>819</v>
      </c>
      <c r="H151" s="201">
        <v>0.05</v>
      </c>
      <c r="J151" s="198">
        <v>4</v>
      </c>
      <c r="K151" s="200" t="s">
        <v>854</v>
      </c>
      <c r="L151" s="190">
        <v>0.05</v>
      </c>
      <c r="M151" s="202"/>
      <c r="N151" s="198">
        <v>4</v>
      </c>
      <c r="O151" s="197" t="s">
        <v>819</v>
      </c>
      <c r="P151" s="190">
        <v>0.05</v>
      </c>
    </row>
    <row r="152" spans="2:16" ht="15.75" customHeight="1" x14ac:dyDescent="0.3">
      <c r="B152" s="196">
        <v>5</v>
      </c>
      <c r="C152" s="197" t="s">
        <v>730</v>
      </c>
      <c r="D152" s="190">
        <v>0.15</v>
      </c>
      <c r="E152" s="182"/>
      <c r="F152" s="198">
        <v>5</v>
      </c>
      <c r="G152" s="197" t="s">
        <v>833</v>
      </c>
      <c r="H152" s="201">
        <v>0.1</v>
      </c>
      <c r="J152" s="198">
        <v>5</v>
      </c>
      <c r="K152" s="200" t="s">
        <v>730</v>
      </c>
      <c r="L152" s="190">
        <v>0.15</v>
      </c>
      <c r="M152" s="202"/>
      <c r="N152" s="198">
        <v>5</v>
      </c>
      <c r="O152" s="197" t="s">
        <v>833</v>
      </c>
      <c r="P152" s="190">
        <v>0.1</v>
      </c>
    </row>
    <row r="153" spans="2:16" ht="15.75" customHeight="1" x14ac:dyDescent="0.3">
      <c r="B153" s="196">
        <v>6</v>
      </c>
      <c r="C153" s="197" t="s">
        <v>758</v>
      </c>
      <c r="D153" s="190">
        <v>0.1</v>
      </c>
      <c r="E153" s="182"/>
      <c r="F153" s="198">
        <v>6</v>
      </c>
      <c r="G153" s="197" t="s">
        <v>840</v>
      </c>
      <c r="H153" s="201">
        <v>0.2</v>
      </c>
      <c r="J153" s="198">
        <v>6</v>
      </c>
      <c r="K153" s="200" t="s">
        <v>758</v>
      </c>
      <c r="L153" s="190">
        <v>0.1</v>
      </c>
      <c r="M153" s="202"/>
      <c r="N153" s="198">
        <v>6</v>
      </c>
      <c r="O153" s="197" t="s">
        <v>840</v>
      </c>
      <c r="P153" s="190">
        <v>0.2</v>
      </c>
    </row>
    <row r="154" spans="2:16" ht="15.75" customHeight="1" x14ac:dyDescent="0.3">
      <c r="B154" s="196">
        <v>7</v>
      </c>
      <c r="C154" s="197" t="s">
        <v>765</v>
      </c>
      <c r="D154" s="190">
        <v>0.15</v>
      </c>
      <c r="E154" s="182"/>
      <c r="F154" s="198">
        <v>7</v>
      </c>
      <c r="G154" s="197" t="s">
        <v>847</v>
      </c>
      <c r="H154" s="201">
        <v>0.25</v>
      </c>
      <c r="J154" s="198">
        <v>7</v>
      </c>
      <c r="K154" s="200" t="s">
        <v>765</v>
      </c>
      <c r="L154" s="190">
        <v>0.15</v>
      </c>
      <c r="M154" s="202"/>
      <c r="N154" s="198">
        <v>7</v>
      </c>
      <c r="O154" s="197" t="s">
        <v>847</v>
      </c>
      <c r="P154" s="190">
        <v>0.25</v>
      </c>
    </row>
    <row r="155" spans="2:16" ht="15.75" customHeight="1" x14ac:dyDescent="0.3">
      <c r="B155" s="196"/>
      <c r="C155" s="197"/>
      <c r="D155" s="190"/>
      <c r="E155" s="182"/>
      <c r="F155" s="198">
        <v>8</v>
      </c>
      <c r="G155" s="197" t="s">
        <v>1603</v>
      </c>
      <c r="H155" s="201">
        <v>2.5000000000000001E-2</v>
      </c>
      <c r="J155" s="198">
        <v>8</v>
      </c>
      <c r="K155" s="200" t="s">
        <v>777</v>
      </c>
      <c r="L155" s="190">
        <v>0.05</v>
      </c>
      <c r="M155" s="202"/>
      <c r="N155" s="198">
        <v>8</v>
      </c>
      <c r="O155" s="197" t="s">
        <v>1603</v>
      </c>
      <c r="P155" s="190">
        <v>2.5000000000000001E-2</v>
      </c>
    </row>
    <row r="156" spans="2:16" ht="15.75" customHeight="1" x14ac:dyDescent="0.3">
      <c r="B156" s="196"/>
      <c r="C156" s="197"/>
      <c r="D156" s="190"/>
      <c r="E156" s="182"/>
      <c r="F156" s="198">
        <v>9</v>
      </c>
      <c r="G156" s="197" t="s">
        <v>875</v>
      </c>
      <c r="H156" s="201">
        <v>0.05</v>
      </c>
      <c r="J156" s="198">
        <v>9</v>
      </c>
      <c r="K156" s="200" t="s">
        <v>798</v>
      </c>
      <c r="L156" s="190">
        <v>0.1</v>
      </c>
      <c r="M156" s="202"/>
      <c r="N156" s="198">
        <v>9</v>
      </c>
      <c r="O156" s="197" t="s">
        <v>875</v>
      </c>
      <c r="P156" s="190">
        <v>0.05</v>
      </c>
    </row>
    <row r="157" spans="2:16" ht="15.75" customHeight="1" x14ac:dyDescent="0.3">
      <c r="B157" s="196"/>
      <c r="C157" s="197"/>
      <c r="D157" s="190"/>
      <c r="E157" s="182"/>
      <c r="F157" s="198">
        <v>10</v>
      </c>
      <c r="G157" s="197" t="s">
        <v>882</v>
      </c>
      <c r="H157" s="201">
        <v>6.25E-2</v>
      </c>
      <c r="J157" s="198">
        <v>10</v>
      </c>
      <c r="K157" s="200" t="s">
        <v>812</v>
      </c>
      <c r="L157" s="190">
        <v>0.2</v>
      </c>
      <c r="M157" s="202"/>
      <c r="N157" s="198">
        <v>10</v>
      </c>
      <c r="O157" s="197" t="s">
        <v>882</v>
      </c>
      <c r="P157" s="190">
        <v>6.25E-2</v>
      </c>
    </row>
    <row r="158" spans="2:16" ht="15.75" customHeight="1" x14ac:dyDescent="0.3">
      <c r="B158" s="196"/>
      <c r="C158" s="197"/>
      <c r="D158" s="190"/>
      <c r="E158" s="182"/>
      <c r="F158" s="198">
        <v>11</v>
      </c>
      <c r="G158" s="197" t="s">
        <v>889</v>
      </c>
      <c r="H158" s="201">
        <v>0.15</v>
      </c>
      <c r="J158" s="198">
        <v>11</v>
      </c>
      <c r="K158" s="200" t="s">
        <v>819</v>
      </c>
      <c r="L158" s="190">
        <v>0.05</v>
      </c>
      <c r="M158" s="202"/>
      <c r="N158" s="198">
        <v>11</v>
      </c>
      <c r="O158" s="197" t="s">
        <v>889</v>
      </c>
      <c r="P158" s="190">
        <v>0.15</v>
      </c>
    </row>
    <row r="159" spans="2:16" ht="15.75" customHeight="1" x14ac:dyDescent="0.3">
      <c r="B159" s="196"/>
      <c r="C159" s="197"/>
      <c r="D159" s="190"/>
      <c r="E159" s="182"/>
      <c r="F159" s="198">
        <v>12</v>
      </c>
      <c r="G159" s="197" t="s">
        <v>1604</v>
      </c>
      <c r="H159" s="201">
        <v>0.25</v>
      </c>
      <c r="J159" s="198">
        <v>12</v>
      </c>
      <c r="K159" s="200" t="s">
        <v>833</v>
      </c>
      <c r="L159" s="190">
        <v>0.1</v>
      </c>
      <c r="M159" s="202"/>
      <c r="N159" s="198">
        <v>12</v>
      </c>
      <c r="O159" s="197" t="s">
        <v>1604</v>
      </c>
      <c r="P159" s="190">
        <v>0.25</v>
      </c>
    </row>
    <row r="160" spans="2:16" ht="15.75" customHeight="1" x14ac:dyDescent="0.3">
      <c r="B160" s="196"/>
      <c r="C160" s="197"/>
      <c r="D160" s="190"/>
      <c r="E160" s="182"/>
      <c r="F160" s="198">
        <v>13</v>
      </c>
      <c r="G160" s="197" t="s">
        <v>910</v>
      </c>
      <c r="H160" s="201">
        <v>0.05</v>
      </c>
      <c r="J160" s="198">
        <v>13</v>
      </c>
      <c r="K160" s="200" t="s">
        <v>840</v>
      </c>
      <c r="L160" s="190">
        <v>0.2</v>
      </c>
      <c r="M160" s="202"/>
      <c r="N160" s="198">
        <v>13</v>
      </c>
      <c r="O160" s="197" t="s">
        <v>910</v>
      </c>
      <c r="P160" s="190">
        <v>0.05</v>
      </c>
    </row>
    <row r="161" spans="2:16" ht="15.75" customHeight="1" x14ac:dyDescent="0.3">
      <c r="B161" s="196"/>
      <c r="C161" s="197"/>
      <c r="D161" s="190"/>
      <c r="E161" s="182"/>
      <c r="F161" s="198">
        <v>14</v>
      </c>
      <c r="G161" s="197" t="s">
        <v>924</v>
      </c>
      <c r="H161" s="201">
        <v>7.4999999999999997E-2</v>
      </c>
      <c r="J161" s="198">
        <v>14</v>
      </c>
      <c r="K161" s="200" t="s">
        <v>847</v>
      </c>
      <c r="L161" s="190">
        <v>0.25</v>
      </c>
      <c r="M161" s="202"/>
      <c r="N161" s="198">
        <v>14</v>
      </c>
      <c r="O161" s="197" t="s">
        <v>924</v>
      </c>
      <c r="P161" s="190">
        <v>7.4999999999999997E-2</v>
      </c>
    </row>
    <row r="162" spans="2:16" ht="15.75" customHeight="1" x14ac:dyDescent="0.3">
      <c r="B162" s="196"/>
      <c r="C162" s="197"/>
      <c r="D162" s="190"/>
      <c r="E162" s="182"/>
      <c r="F162" s="198">
        <v>15</v>
      </c>
      <c r="G162" s="197" t="s">
        <v>952</v>
      </c>
      <c r="H162" s="201">
        <v>0.125</v>
      </c>
      <c r="J162" s="198">
        <v>15</v>
      </c>
      <c r="K162" s="200" t="s">
        <v>1603</v>
      </c>
      <c r="L162" s="190">
        <v>2.5000000000000001E-2</v>
      </c>
      <c r="M162" s="202"/>
      <c r="N162" s="198">
        <v>15</v>
      </c>
      <c r="O162" s="197" t="s">
        <v>952</v>
      </c>
      <c r="P162" s="190">
        <v>0.125</v>
      </c>
    </row>
    <row r="163" spans="2:16" ht="15.75" customHeight="1" x14ac:dyDescent="0.3">
      <c r="B163" s="196"/>
      <c r="C163" s="197"/>
      <c r="D163" s="190"/>
      <c r="E163" s="182"/>
      <c r="F163" s="198">
        <v>16</v>
      </c>
      <c r="G163" s="197" t="s">
        <v>959</v>
      </c>
      <c r="H163" s="201">
        <v>0.125</v>
      </c>
      <c r="J163" s="198">
        <v>16</v>
      </c>
      <c r="K163" s="200" t="s">
        <v>875</v>
      </c>
      <c r="L163" s="190">
        <v>0.05</v>
      </c>
      <c r="M163" s="202"/>
      <c r="N163" s="198">
        <v>16</v>
      </c>
      <c r="O163" s="197" t="s">
        <v>959</v>
      </c>
      <c r="P163" s="190">
        <v>0.125</v>
      </c>
    </row>
    <row r="164" spans="2:16" ht="15.75" customHeight="1" x14ac:dyDescent="0.3">
      <c r="B164" s="196"/>
      <c r="C164" s="197"/>
      <c r="D164" s="190"/>
      <c r="E164" s="182"/>
      <c r="F164" s="198">
        <v>17</v>
      </c>
      <c r="G164" s="197" t="s">
        <v>966</v>
      </c>
      <c r="H164" s="201">
        <v>0.17499999999999999</v>
      </c>
      <c r="J164" s="198">
        <v>17</v>
      </c>
      <c r="K164" s="200" t="s">
        <v>882</v>
      </c>
      <c r="L164" s="190">
        <v>6.25E-2</v>
      </c>
      <c r="M164" s="202"/>
      <c r="N164" s="198">
        <v>17</v>
      </c>
      <c r="O164" s="197" t="s">
        <v>966</v>
      </c>
      <c r="P164" s="190">
        <v>0.17499999999999999</v>
      </c>
    </row>
    <row r="165" spans="2:16" ht="15.75" customHeight="1" x14ac:dyDescent="0.3">
      <c r="B165" s="196"/>
      <c r="C165" s="197"/>
      <c r="D165" s="190"/>
      <c r="E165" s="182"/>
      <c r="F165" s="198">
        <v>18</v>
      </c>
      <c r="G165" s="197" t="s">
        <v>980</v>
      </c>
      <c r="H165" s="201">
        <v>0.3</v>
      </c>
      <c r="J165" s="198">
        <v>18</v>
      </c>
      <c r="K165" s="200" t="s">
        <v>889</v>
      </c>
      <c r="L165" s="190">
        <v>0.15</v>
      </c>
      <c r="M165" s="202"/>
      <c r="N165" s="198">
        <v>18</v>
      </c>
      <c r="O165" s="197" t="s">
        <v>980</v>
      </c>
      <c r="P165" s="190">
        <v>0.3</v>
      </c>
    </row>
    <row r="166" spans="2:16" ht="15.75" customHeight="1" x14ac:dyDescent="0.3">
      <c r="B166" s="196"/>
      <c r="C166" s="197"/>
      <c r="D166" s="190"/>
      <c r="E166" s="182"/>
      <c r="F166" s="198">
        <v>19</v>
      </c>
      <c r="G166" s="197" t="s">
        <v>1006</v>
      </c>
      <c r="H166" s="201">
        <v>7.4999999999999997E-2</v>
      </c>
      <c r="J166" s="198">
        <v>19</v>
      </c>
      <c r="K166" s="200" t="s">
        <v>1604</v>
      </c>
      <c r="L166" s="190">
        <v>0.25</v>
      </c>
      <c r="M166" s="202"/>
      <c r="N166" s="198">
        <v>19</v>
      </c>
      <c r="O166" s="197" t="s">
        <v>1006</v>
      </c>
      <c r="P166" s="190">
        <v>7.4999999999999997E-2</v>
      </c>
    </row>
    <row r="167" spans="2:16" ht="15.75" customHeight="1" x14ac:dyDescent="0.3">
      <c r="B167" s="196"/>
      <c r="C167" s="197"/>
      <c r="D167" s="190"/>
      <c r="E167" s="182"/>
      <c r="F167" s="198">
        <v>20</v>
      </c>
      <c r="G167" s="197" t="s">
        <v>1000</v>
      </c>
      <c r="H167" s="201">
        <v>0.125</v>
      </c>
      <c r="J167" s="198">
        <v>20</v>
      </c>
      <c r="K167" s="200" t="s">
        <v>910</v>
      </c>
      <c r="L167" s="190">
        <v>0.05</v>
      </c>
      <c r="M167" s="202"/>
      <c r="N167" s="198">
        <v>20</v>
      </c>
      <c r="O167" s="197" t="s">
        <v>1000</v>
      </c>
      <c r="P167" s="190">
        <v>0.125</v>
      </c>
    </row>
    <row r="168" spans="2:16" ht="15.75" customHeight="1" x14ac:dyDescent="0.3">
      <c r="B168" s="196"/>
      <c r="C168" s="197"/>
      <c r="D168" s="190"/>
      <c r="E168" s="182"/>
      <c r="F168" s="198">
        <v>21</v>
      </c>
      <c r="G168" s="197" t="s">
        <v>1024</v>
      </c>
      <c r="H168" s="201">
        <v>0.13750000000000001</v>
      </c>
      <c r="J168" s="198">
        <v>21</v>
      </c>
      <c r="K168" s="200" t="s">
        <v>924</v>
      </c>
      <c r="L168" s="190">
        <v>7.4999999999999997E-2</v>
      </c>
      <c r="M168" s="202"/>
      <c r="N168" s="198">
        <v>21</v>
      </c>
      <c r="O168" s="197" t="s">
        <v>1024</v>
      </c>
      <c r="P168" s="190">
        <v>0.13750000000000001</v>
      </c>
    </row>
    <row r="169" spans="2:16" ht="15.75" customHeight="1" x14ac:dyDescent="0.3">
      <c r="B169" s="196"/>
      <c r="C169" s="197"/>
      <c r="D169" s="190"/>
      <c r="E169" s="182"/>
      <c r="F169" s="198">
        <v>22</v>
      </c>
      <c r="G169" s="197" t="s">
        <v>1041</v>
      </c>
      <c r="H169" s="201">
        <v>0.17499999999999999</v>
      </c>
      <c r="J169" s="198">
        <v>22</v>
      </c>
      <c r="K169" s="200" t="s">
        <v>952</v>
      </c>
      <c r="L169" s="190">
        <v>0.125</v>
      </c>
      <c r="M169" s="202"/>
      <c r="N169" s="198">
        <v>22</v>
      </c>
      <c r="O169" s="197" t="s">
        <v>1041</v>
      </c>
      <c r="P169" s="190">
        <v>0.17499999999999999</v>
      </c>
    </row>
    <row r="170" spans="2:16" ht="15.75" customHeight="1" x14ac:dyDescent="0.3">
      <c r="B170" s="196"/>
      <c r="C170" s="197"/>
      <c r="D170" s="190"/>
      <c r="E170" s="182"/>
      <c r="F170" s="198">
        <v>23</v>
      </c>
      <c r="G170" s="197" t="s">
        <v>1051</v>
      </c>
      <c r="H170" s="201">
        <v>0.27500000000000002</v>
      </c>
      <c r="J170" s="198">
        <v>23</v>
      </c>
      <c r="K170" s="200" t="s">
        <v>959</v>
      </c>
      <c r="L170" s="190">
        <v>0.125</v>
      </c>
      <c r="M170" s="202"/>
      <c r="N170" s="198">
        <v>23</v>
      </c>
      <c r="O170" s="197" t="s">
        <v>1051</v>
      </c>
      <c r="P170" s="190">
        <v>0.27500000000000002</v>
      </c>
    </row>
    <row r="171" spans="2:16" ht="15.75" customHeight="1" x14ac:dyDescent="0.3">
      <c r="B171" s="196"/>
      <c r="C171" s="197"/>
      <c r="D171" s="190"/>
      <c r="E171" s="182"/>
      <c r="F171" s="198">
        <v>24</v>
      </c>
      <c r="G171" s="197" t="s">
        <v>1056</v>
      </c>
      <c r="H171" s="201">
        <v>0.5</v>
      </c>
      <c r="J171" s="198">
        <v>24</v>
      </c>
      <c r="K171" s="200" t="s">
        <v>966</v>
      </c>
      <c r="L171" s="190">
        <v>0.17499999999999999</v>
      </c>
      <c r="M171" s="202"/>
      <c r="N171" s="198">
        <v>24</v>
      </c>
      <c r="O171" s="197" t="s">
        <v>1056</v>
      </c>
      <c r="P171" s="190">
        <v>0.5</v>
      </c>
    </row>
    <row r="172" spans="2:16" ht="15.75" customHeight="1" x14ac:dyDescent="0.3">
      <c r="B172" s="196"/>
      <c r="C172" s="197"/>
      <c r="D172" s="190"/>
      <c r="E172" s="182"/>
      <c r="F172" s="198"/>
      <c r="G172" s="197"/>
      <c r="H172" s="199"/>
      <c r="J172" s="198">
        <v>25</v>
      </c>
      <c r="K172" s="200" t="s">
        <v>980</v>
      </c>
      <c r="L172" s="190">
        <v>0.3</v>
      </c>
      <c r="M172" s="202"/>
      <c r="N172" s="198"/>
      <c r="O172" s="197"/>
      <c r="P172" s="190"/>
    </row>
    <row r="173" spans="2:16" ht="15.75" customHeight="1" x14ac:dyDescent="0.3">
      <c r="B173" s="196"/>
      <c r="C173" s="197"/>
      <c r="D173" s="190"/>
      <c r="E173" s="182"/>
      <c r="F173" s="198"/>
      <c r="G173" s="197"/>
      <c r="H173" s="199"/>
      <c r="J173" s="198">
        <v>26</v>
      </c>
      <c r="K173" s="200" t="s">
        <v>1006</v>
      </c>
      <c r="L173" s="190">
        <v>7.4999999999999997E-2</v>
      </c>
      <c r="M173" s="202"/>
      <c r="N173" s="198" t="str">
        <f t="shared" ref="N173:P173" si="13">IF(F173="","",F173)</f>
        <v/>
      </c>
      <c r="O173" s="197" t="str">
        <f t="shared" si="13"/>
        <v/>
      </c>
      <c r="P173" s="190" t="str">
        <f t="shared" si="13"/>
        <v/>
      </c>
    </row>
    <row r="174" spans="2:16" ht="15.75" customHeight="1" x14ac:dyDescent="0.3">
      <c r="B174" s="196"/>
      <c r="C174" s="197"/>
      <c r="D174" s="190"/>
      <c r="E174" s="182"/>
      <c r="F174" s="198"/>
      <c r="G174" s="197"/>
      <c r="H174" s="199"/>
      <c r="J174" s="198">
        <v>27</v>
      </c>
      <c r="K174" s="200" t="s">
        <v>1000</v>
      </c>
      <c r="L174" s="190">
        <v>0.125</v>
      </c>
      <c r="M174" s="202"/>
      <c r="N174" s="198" t="str">
        <f t="shared" ref="N174:P174" si="14">IF(F174="","",F174)</f>
        <v/>
      </c>
      <c r="O174" s="197" t="str">
        <f t="shared" si="14"/>
        <v/>
      </c>
      <c r="P174" s="190" t="str">
        <f t="shared" si="14"/>
        <v/>
      </c>
    </row>
    <row r="175" spans="2:16" ht="15.75" customHeight="1" x14ac:dyDescent="0.3">
      <c r="B175" s="196"/>
      <c r="C175" s="197"/>
      <c r="D175" s="190"/>
      <c r="E175" s="182"/>
      <c r="F175" s="198"/>
      <c r="G175" s="197"/>
      <c r="H175" s="199"/>
      <c r="J175" s="198">
        <v>28</v>
      </c>
      <c r="K175" s="200" t="s">
        <v>1024</v>
      </c>
      <c r="L175" s="190">
        <v>0.13750000000000001</v>
      </c>
      <c r="M175" s="202"/>
      <c r="N175" s="198" t="str">
        <f t="shared" ref="N175:P175" si="15">IF(F175="","",F175)</f>
        <v/>
      </c>
      <c r="O175" s="197" t="str">
        <f t="shared" si="15"/>
        <v/>
      </c>
      <c r="P175" s="190" t="str">
        <f t="shared" si="15"/>
        <v/>
      </c>
    </row>
    <row r="176" spans="2:16" ht="15.75" customHeight="1" x14ac:dyDescent="0.3">
      <c r="B176" s="196"/>
      <c r="C176" s="197"/>
      <c r="D176" s="190"/>
      <c r="E176" s="182"/>
      <c r="F176" s="198"/>
      <c r="G176" s="197"/>
      <c r="H176" s="199"/>
      <c r="J176" s="198">
        <v>29</v>
      </c>
      <c r="K176" s="200" t="s">
        <v>1041</v>
      </c>
      <c r="L176" s="190">
        <v>0.17499999999999999</v>
      </c>
      <c r="M176" s="202"/>
      <c r="N176" s="198" t="str">
        <f t="shared" ref="N176:P176" si="16">IF(F176="","",F176)</f>
        <v/>
      </c>
      <c r="O176" s="197" t="str">
        <f t="shared" si="16"/>
        <v/>
      </c>
      <c r="P176" s="190" t="str">
        <f t="shared" si="16"/>
        <v/>
      </c>
    </row>
    <row r="177" spans="2:16" ht="15.75" customHeight="1" x14ac:dyDescent="0.3">
      <c r="B177" s="196"/>
      <c r="C177" s="197"/>
      <c r="D177" s="190"/>
      <c r="E177" s="182"/>
      <c r="F177" s="198"/>
      <c r="G177" s="197"/>
      <c r="H177" s="199"/>
      <c r="J177" s="198">
        <v>30</v>
      </c>
      <c r="K177" s="200" t="s">
        <v>1051</v>
      </c>
      <c r="L177" s="190">
        <v>0.27500000000000002</v>
      </c>
      <c r="M177" s="202"/>
      <c r="N177" s="198" t="str">
        <f t="shared" ref="N177:P177" si="17">IF(F177="","",F177)</f>
        <v/>
      </c>
      <c r="O177" s="197" t="str">
        <f t="shared" si="17"/>
        <v/>
      </c>
      <c r="P177" s="190" t="str">
        <f t="shared" si="17"/>
        <v/>
      </c>
    </row>
    <row r="178" spans="2:16" ht="15.75" customHeight="1" x14ac:dyDescent="0.3">
      <c r="B178" s="196"/>
      <c r="C178" s="197"/>
      <c r="D178" s="190"/>
      <c r="E178" s="182"/>
      <c r="F178" s="198"/>
      <c r="G178" s="197"/>
      <c r="H178" s="199"/>
      <c r="J178" s="198">
        <v>31</v>
      </c>
      <c r="K178" s="200" t="s">
        <v>1056</v>
      </c>
      <c r="L178" s="190">
        <v>0.5</v>
      </c>
      <c r="M178" s="202"/>
      <c r="N178" s="198" t="str">
        <f t="shared" ref="N178:P178" si="18">IF(F178="","",F178)</f>
        <v/>
      </c>
      <c r="O178" s="197" t="str">
        <f t="shared" si="18"/>
        <v/>
      </c>
      <c r="P178" s="190" t="str">
        <f t="shared" si="18"/>
        <v/>
      </c>
    </row>
    <row r="179" spans="2:16" ht="15.75" customHeight="1" x14ac:dyDescent="0.3">
      <c r="B179" s="196"/>
      <c r="C179" s="197"/>
      <c r="D179" s="190"/>
      <c r="E179" s="182"/>
      <c r="F179" s="198"/>
      <c r="G179" s="197"/>
      <c r="H179" s="199"/>
      <c r="J179" s="198"/>
      <c r="K179" s="200"/>
      <c r="L179" s="190"/>
      <c r="N179" s="198" t="str">
        <f t="shared" ref="N179:P179" si="19">IF(F179="","",F179)</f>
        <v/>
      </c>
      <c r="O179" s="197" t="str">
        <f t="shared" si="19"/>
        <v/>
      </c>
      <c r="P179" s="190" t="str">
        <f t="shared" si="19"/>
        <v/>
      </c>
    </row>
    <row r="180" spans="2:16" ht="15.75" customHeight="1" x14ac:dyDescent="0.3">
      <c r="B180" s="196"/>
      <c r="C180" s="197"/>
      <c r="D180" s="190"/>
      <c r="E180" s="182"/>
      <c r="F180" s="198"/>
      <c r="G180" s="197"/>
      <c r="H180" s="199"/>
      <c r="J180" s="198"/>
      <c r="K180" s="200"/>
      <c r="L180" s="190"/>
      <c r="N180" s="198" t="str">
        <f t="shared" ref="N180:P180" si="20">IF(F180="","",F180)</f>
        <v/>
      </c>
      <c r="O180" s="197" t="str">
        <f t="shared" si="20"/>
        <v/>
      </c>
      <c r="P180" s="190" t="str">
        <f t="shared" si="20"/>
        <v/>
      </c>
    </row>
    <row r="181" spans="2:16" ht="15.75" customHeight="1" x14ac:dyDescent="0.3">
      <c r="B181" s="196"/>
      <c r="C181" s="197"/>
      <c r="D181" s="190"/>
      <c r="E181" s="182"/>
      <c r="F181" s="198"/>
      <c r="G181" s="197"/>
      <c r="H181" s="199"/>
      <c r="J181" s="198"/>
      <c r="K181" s="200"/>
      <c r="L181" s="190"/>
      <c r="N181" s="198" t="str">
        <f t="shared" ref="N181:P181" si="21">IF(F181="","",F181)</f>
        <v/>
      </c>
      <c r="O181" s="197" t="str">
        <f t="shared" si="21"/>
        <v/>
      </c>
      <c r="P181" s="190" t="str">
        <f t="shared" si="21"/>
        <v/>
      </c>
    </row>
    <row r="182" spans="2:16" ht="15.75" customHeight="1" x14ac:dyDescent="0.3">
      <c r="B182" s="196"/>
      <c r="C182" s="197"/>
      <c r="D182" s="190"/>
      <c r="E182" s="182"/>
      <c r="F182" s="198"/>
      <c r="G182" s="197"/>
      <c r="H182" s="199"/>
      <c r="J182" s="198"/>
      <c r="K182" s="200"/>
      <c r="L182" s="190"/>
      <c r="N182" s="198" t="str">
        <f t="shared" ref="N182:P182" si="22">IF(F182="","",F182)</f>
        <v/>
      </c>
      <c r="O182" s="197" t="str">
        <f t="shared" si="22"/>
        <v/>
      </c>
      <c r="P182" s="190" t="str">
        <f t="shared" si="22"/>
        <v/>
      </c>
    </row>
    <row r="183" spans="2:16" ht="15.75" customHeight="1" x14ac:dyDescent="0.3">
      <c r="B183" s="196"/>
      <c r="C183" s="197"/>
      <c r="D183" s="190"/>
      <c r="E183" s="182"/>
      <c r="F183" s="198"/>
      <c r="G183" s="197"/>
      <c r="H183" s="199"/>
      <c r="J183" s="198"/>
      <c r="K183" s="200"/>
      <c r="L183" s="190"/>
      <c r="N183" s="198" t="str">
        <f t="shared" ref="N183:P183" si="23">IF(F183="","",F183)</f>
        <v/>
      </c>
      <c r="O183" s="197" t="str">
        <f t="shared" si="23"/>
        <v/>
      </c>
      <c r="P183" s="190" t="str">
        <f t="shared" si="23"/>
        <v/>
      </c>
    </row>
    <row r="184" spans="2:16" ht="15.75" customHeight="1" x14ac:dyDescent="0.3">
      <c r="B184" s="196"/>
      <c r="C184" s="197"/>
      <c r="D184" s="190"/>
      <c r="E184" s="182"/>
      <c r="F184" s="198"/>
      <c r="G184" s="197"/>
      <c r="H184" s="199"/>
      <c r="J184" s="198"/>
      <c r="K184" s="200"/>
      <c r="L184" s="190"/>
      <c r="N184" s="198" t="str">
        <f t="shared" ref="N184:P184" si="24">IF(F184="","",F184)</f>
        <v/>
      </c>
      <c r="O184" s="197" t="str">
        <f t="shared" si="24"/>
        <v/>
      </c>
      <c r="P184" s="190" t="str">
        <f t="shared" si="24"/>
        <v/>
      </c>
    </row>
    <row r="185" spans="2:16" ht="15.75" customHeight="1" x14ac:dyDescent="0.3">
      <c r="B185" s="196"/>
      <c r="C185" s="197"/>
      <c r="D185" s="190"/>
      <c r="E185" s="182"/>
      <c r="F185" s="198"/>
      <c r="G185" s="197"/>
      <c r="H185" s="199"/>
      <c r="J185" s="198"/>
      <c r="K185" s="200"/>
      <c r="L185" s="190"/>
      <c r="N185" s="198" t="str">
        <f t="shared" ref="N185:P185" si="25">IF(F185="","",F185)</f>
        <v/>
      </c>
      <c r="O185" s="197" t="str">
        <f t="shared" si="25"/>
        <v/>
      </c>
      <c r="P185" s="190" t="str">
        <f t="shared" si="25"/>
        <v/>
      </c>
    </row>
    <row r="186" spans="2:16" ht="15.75" customHeight="1" x14ac:dyDescent="0.3">
      <c r="B186" s="196"/>
      <c r="C186" s="197"/>
      <c r="D186" s="190"/>
      <c r="E186" s="182"/>
      <c r="F186" s="198"/>
      <c r="G186" s="197"/>
      <c r="H186" s="199"/>
      <c r="J186" s="198"/>
      <c r="K186" s="200"/>
      <c r="L186" s="190"/>
      <c r="N186" s="198" t="str">
        <f t="shared" ref="N186:P186" si="26">IF(F186="","",F186)</f>
        <v/>
      </c>
      <c r="O186" s="197" t="str">
        <f t="shared" si="26"/>
        <v/>
      </c>
      <c r="P186" s="190" t="str">
        <f t="shared" si="26"/>
        <v/>
      </c>
    </row>
    <row r="187" spans="2:16" ht="15.75" customHeight="1" x14ac:dyDescent="0.3">
      <c r="B187" s="182"/>
      <c r="E187" s="182"/>
      <c r="H187" s="182"/>
      <c r="K187" s="182"/>
    </row>
    <row r="188" spans="2:16" ht="15.75" customHeight="1" x14ac:dyDescent="0.3">
      <c r="B188" s="182"/>
      <c r="E188" s="182"/>
      <c r="H188" s="182"/>
      <c r="K188" s="182"/>
    </row>
    <row r="189" spans="2:16" ht="15.75" customHeight="1" x14ac:dyDescent="0.3">
      <c r="B189" s="182"/>
      <c r="E189" s="182"/>
      <c r="H189" s="182"/>
      <c r="K189" s="182"/>
    </row>
    <row r="190" spans="2:16" ht="15.75" customHeight="1" x14ac:dyDescent="0.3">
      <c r="B190" s="182"/>
      <c r="E190" s="182"/>
      <c r="H190" s="182"/>
      <c r="K190" s="182"/>
    </row>
    <row r="191" spans="2:16" ht="15.75" customHeight="1" x14ac:dyDescent="0.3">
      <c r="B191" s="318" t="s">
        <v>1605</v>
      </c>
      <c r="C191" s="232"/>
      <c r="D191" s="232"/>
      <c r="E191" s="232"/>
      <c r="F191" s="232"/>
      <c r="G191" s="232"/>
      <c r="H191" s="232"/>
      <c r="I191" s="232"/>
      <c r="J191" s="232"/>
      <c r="K191" s="232"/>
      <c r="L191" s="233"/>
    </row>
    <row r="192" spans="2:16" ht="15.75" customHeight="1" x14ac:dyDescent="0.3">
      <c r="B192" s="319" t="s">
        <v>1488</v>
      </c>
      <c r="C192" s="273"/>
      <c r="D192" s="186"/>
      <c r="E192" s="319" t="s">
        <v>1489</v>
      </c>
      <c r="F192" s="273"/>
      <c r="G192" s="186"/>
      <c r="H192" s="319" t="s">
        <v>1490</v>
      </c>
      <c r="I192" s="273"/>
      <c r="J192" s="186"/>
      <c r="K192" s="319" t="s">
        <v>1491</v>
      </c>
      <c r="L192" s="273"/>
    </row>
    <row r="193" spans="2:12" ht="15.75" customHeight="1" x14ac:dyDescent="0.3">
      <c r="B193" s="187" t="s">
        <v>1493</v>
      </c>
      <c r="C193" s="187" t="s">
        <v>1494</v>
      </c>
      <c r="D193" s="188"/>
      <c r="E193" s="187" t="s">
        <v>1493</v>
      </c>
      <c r="F193" s="187" t="s">
        <v>1494</v>
      </c>
      <c r="G193" s="188"/>
      <c r="H193" s="187" t="s">
        <v>1493</v>
      </c>
      <c r="I193" s="187" t="s">
        <v>1494</v>
      </c>
      <c r="J193" s="188"/>
      <c r="K193" s="187" t="s">
        <v>1493</v>
      </c>
      <c r="L193" s="187" t="s">
        <v>1494</v>
      </c>
    </row>
    <row r="194" spans="2:12" ht="15.75" customHeight="1" x14ac:dyDescent="0.3">
      <c r="B194" s="189"/>
      <c r="C194" s="190"/>
      <c r="D194" s="186"/>
      <c r="E194" s="189"/>
      <c r="F194" s="190"/>
      <c r="G194" s="186"/>
      <c r="H194" s="189"/>
      <c r="I194" s="190"/>
      <c r="J194" s="186"/>
      <c r="K194" s="189"/>
      <c r="L194" s="190"/>
    </row>
    <row r="195" spans="2:12" ht="15.75" customHeight="1" x14ac:dyDescent="0.3">
      <c r="B195" s="189" t="s">
        <v>1554</v>
      </c>
      <c r="C195" s="190"/>
      <c r="D195" s="186"/>
      <c r="E195" s="189" t="s">
        <v>1606</v>
      </c>
      <c r="F195" s="190">
        <v>0.1</v>
      </c>
      <c r="G195" s="186"/>
      <c r="H195" s="189" t="s">
        <v>1607</v>
      </c>
      <c r="I195" s="190">
        <v>0.2</v>
      </c>
      <c r="J195" s="186"/>
      <c r="K195" s="189" t="s">
        <v>1608</v>
      </c>
      <c r="L195" s="190">
        <v>0.2</v>
      </c>
    </row>
    <row r="196" spans="2:12" ht="15.75" customHeight="1" x14ac:dyDescent="0.3">
      <c r="B196" s="189"/>
      <c r="C196" s="190"/>
      <c r="D196" s="186"/>
      <c r="E196" s="189" t="s">
        <v>138</v>
      </c>
      <c r="F196" s="190">
        <v>0.2</v>
      </c>
      <c r="G196" s="186"/>
      <c r="H196" s="189" t="s">
        <v>1609</v>
      </c>
      <c r="I196" s="190">
        <v>0.3</v>
      </c>
      <c r="J196" s="186"/>
      <c r="K196" s="189" t="s">
        <v>1610</v>
      </c>
      <c r="L196" s="190">
        <v>0.3</v>
      </c>
    </row>
    <row r="197" spans="2:12" ht="15.75" customHeight="1" x14ac:dyDescent="0.3">
      <c r="B197" s="189"/>
      <c r="C197" s="190"/>
      <c r="D197" s="186"/>
      <c r="E197" s="189" t="s">
        <v>1611</v>
      </c>
      <c r="F197" s="190">
        <v>0.3</v>
      </c>
      <c r="G197" s="186"/>
      <c r="H197" s="189" t="s">
        <v>1612</v>
      </c>
      <c r="I197" s="190">
        <v>0.4</v>
      </c>
      <c r="J197" s="186"/>
      <c r="K197" s="189" t="s">
        <v>1613</v>
      </c>
      <c r="L197" s="190">
        <v>0.4</v>
      </c>
    </row>
    <row r="198" spans="2:12" ht="15.75" customHeight="1" x14ac:dyDescent="0.3">
      <c r="B198" s="189"/>
      <c r="C198" s="190"/>
      <c r="D198" s="186"/>
      <c r="E198" s="189" t="s">
        <v>1614</v>
      </c>
      <c r="F198" s="190">
        <v>0.05</v>
      </c>
      <c r="G198" s="186"/>
      <c r="H198" s="189" t="s">
        <v>1615</v>
      </c>
      <c r="I198" s="190">
        <v>0.3</v>
      </c>
      <c r="J198" s="186"/>
      <c r="K198" s="189" t="s">
        <v>1616</v>
      </c>
      <c r="L198" s="190">
        <v>0.05</v>
      </c>
    </row>
    <row r="199" spans="2:12" ht="15.75" customHeight="1" x14ac:dyDescent="0.3">
      <c r="B199" s="189"/>
      <c r="C199" s="190"/>
      <c r="D199" s="186"/>
      <c r="E199" s="189" t="s">
        <v>1617</v>
      </c>
      <c r="F199" s="190">
        <v>0.1</v>
      </c>
      <c r="G199" s="186"/>
      <c r="H199" s="189" t="s">
        <v>1618</v>
      </c>
      <c r="I199" s="190">
        <v>0.4</v>
      </c>
      <c r="J199" s="186"/>
      <c r="K199" s="189" t="s">
        <v>1619</v>
      </c>
      <c r="L199" s="190">
        <v>0.1</v>
      </c>
    </row>
    <row r="200" spans="2:12" ht="15.75" customHeight="1" x14ac:dyDescent="0.3">
      <c r="B200" s="189"/>
      <c r="C200" s="190"/>
      <c r="D200" s="186"/>
      <c r="E200" s="189" t="s">
        <v>1620</v>
      </c>
      <c r="F200" s="190">
        <v>0.15</v>
      </c>
      <c r="G200" s="186"/>
      <c r="H200" s="189" t="s">
        <v>1621</v>
      </c>
      <c r="I200" s="190">
        <v>0.5</v>
      </c>
      <c r="J200" s="186"/>
      <c r="K200" s="189" t="s">
        <v>1622</v>
      </c>
      <c r="L200" s="190">
        <v>0.15</v>
      </c>
    </row>
    <row r="201" spans="2:12" ht="15.75" customHeight="1" x14ac:dyDescent="0.3">
      <c r="B201" s="189"/>
      <c r="C201" s="190"/>
      <c r="D201" s="186"/>
      <c r="E201" s="189" t="s">
        <v>1623</v>
      </c>
      <c r="F201" s="190">
        <v>0.125</v>
      </c>
      <c r="G201" s="186"/>
      <c r="H201" s="189" t="s">
        <v>1624</v>
      </c>
      <c r="I201" s="190">
        <v>0.4</v>
      </c>
      <c r="J201" s="186"/>
      <c r="K201" s="189" t="s">
        <v>1625</v>
      </c>
      <c r="L201" s="190">
        <v>0.25</v>
      </c>
    </row>
    <row r="202" spans="2:12" ht="15.75" customHeight="1" x14ac:dyDescent="0.3">
      <c r="B202" s="189"/>
      <c r="C202" s="190"/>
      <c r="D202" s="186"/>
      <c r="E202" s="189" t="s">
        <v>1626</v>
      </c>
      <c r="F202" s="190">
        <v>0.22500000000000001</v>
      </c>
      <c r="G202" s="186"/>
      <c r="H202" s="189" t="s">
        <v>1627</v>
      </c>
      <c r="I202" s="190">
        <v>0.4</v>
      </c>
      <c r="J202" s="186"/>
      <c r="K202" s="189" t="s">
        <v>1628</v>
      </c>
      <c r="L202" s="190">
        <v>0.3</v>
      </c>
    </row>
    <row r="203" spans="2:12" ht="15.75" customHeight="1" x14ac:dyDescent="0.3">
      <c r="B203" s="189"/>
      <c r="C203" s="190"/>
      <c r="D203" s="186"/>
      <c r="E203" s="189" t="s">
        <v>1629</v>
      </c>
      <c r="F203" s="190">
        <v>0.32500000000000001</v>
      </c>
      <c r="G203" s="186"/>
      <c r="H203" s="189" t="s">
        <v>1630</v>
      </c>
      <c r="I203" s="190">
        <v>0.25</v>
      </c>
      <c r="J203" s="186"/>
      <c r="K203" s="189" t="s">
        <v>1631</v>
      </c>
      <c r="L203" s="190">
        <v>0.3</v>
      </c>
    </row>
    <row r="204" spans="2:12" ht="15.75" customHeight="1" x14ac:dyDescent="0.3">
      <c r="B204" s="189"/>
      <c r="C204" s="190"/>
      <c r="D204" s="186"/>
      <c r="E204" s="189" t="s">
        <v>1632</v>
      </c>
      <c r="F204" s="190">
        <v>0.42499999999999999</v>
      </c>
      <c r="G204" s="186"/>
      <c r="H204" s="189" t="s">
        <v>1633</v>
      </c>
      <c r="I204" s="190">
        <v>0.35</v>
      </c>
      <c r="J204" s="186"/>
      <c r="K204" s="189" t="s">
        <v>1634</v>
      </c>
      <c r="L204" s="190">
        <v>0.4</v>
      </c>
    </row>
    <row r="205" spans="2:12" ht="15.75" customHeight="1" x14ac:dyDescent="0.3">
      <c r="B205" s="189"/>
      <c r="C205" s="190"/>
      <c r="D205" s="186"/>
      <c r="E205" s="189" t="s">
        <v>1635</v>
      </c>
      <c r="F205" s="190">
        <v>0.15</v>
      </c>
      <c r="G205" s="186"/>
      <c r="H205" s="189"/>
      <c r="I205" s="190"/>
      <c r="J205" s="186"/>
      <c r="K205" s="189" t="s">
        <v>1636</v>
      </c>
      <c r="L205" s="190">
        <v>0.5</v>
      </c>
    </row>
    <row r="206" spans="2:12" ht="15.75" customHeight="1" x14ac:dyDescent="0.3">
      <c r="B206" s="189"/>
      <c r="C206" s="190"/>
      <c r="D206" s="186"/>
      <c r="E206" s="189" t="s">
        <v>1356</v>
      </c>
      <c r="F206" s="190">
        <v>0.25</v>
      </c>
      <c r="G206" s="186"/>
      <c r="H206" s="189"/>
      <c r="I206" s="190"/>
      <c r="J206" s="186"/>
      <c r="K206" s="189"/>
      <c r="L206" s="190"/>
    </row>
    <row r="207" spans="2:12" ht="15.75" customHeight="1" x14ac:dyDescent="0.3">
      <c r="B207" s="189"/>
      <c r="C207" s="190"/>
      <c r="D207" s="186"/>
      <c r="E207" s="189" t="s">
        <v>1637</v>
      </c>
      <c r="F207" s="190">
        <v>0.35</v>
      </c>
      <c r="G207" s="186"/>
      <c r="H207" s="189"/>
      <c r="I207" s="190"/>
      <c r="J207" s="186"/>
      <c r="K207" s="189"/>
      <c r="L207" s="190"/>
    </row>
    <row r="208" spans="2:12" ht="15.75" customHeight="1" x14ac:dyDescent="0.3">
      <c r="B208" s="189"/>
      <c r="C208" s="190"/>
      <c r="D208" s="186"/>
      <c r="E208" s="189" t="s">
        <v>1371</v>
      </c>
      <c r="F208" s="190">
        <v>0.45</v>
      </c>
      <c r="G208" s="186"/>
      <c r="H208" s="189"/>
      <c r="I208" s="190"/>
      <c r="J208" s="186"/>
      <c r="K208" s="189"/>
      <c r="L208" s="190"/>
    </row>
    <row r="209" spans="2:12" ht="15.75" customHeight="1" x14ac:dyDescent="0.3">
      <c r="B209" s="189"/>
      <c r="C209" s="190"/>
      <c r="D209" s="186"/>
      <c r="E209" s="189" t="s">
        <v>1348</v>
      </c>
      <c r="F209" s="190">
        <v>0.4</v>
      </c>
      <c r="G209" s="186"/>
      <c r="H209" s="189"/>
      <c r="I209" s="190"/>
      <c r="J209" s="186"/>
      <c r="K209" s="189"/>
      <c r="L209" s="190"/>
    </row>
    <row r="210" spans="2:12" ht="15.75" customHeight="1" x14ac:dyDescent="0.3">
      <c r="B210" s="189"/>
      <c r="C210" s="190"/>
      <c r="D210" s="186"/>
      <c r="E210" s="189" t="s">
        <v>1638</v>
      </c>
      <c r="F210" s="190">
        <v>0.5</v>
      </c>
      <c r="G210" s="186"/>
      <c r="H210" s="189"/>
      <c r="I210" s="190"/>
      <c r="J210" s="186"/>
      <c r="K210" s="189"/>
      <c r="L210" s="190"/>
    </row>
    <row r="211" spans="2:12" ht="15.75" customHeight="1" x14ac:dyDescent="0.3">
      <c r="B211" s="189"/>
      <c r="C211" s="190"/>
      <c r="D211" s="186"/>
      <c r="E211" s="189" t="s">
        <v>1367</v>
      </c>
      <c r="F211" s="190">
        <v>0.8</v>
      </c>
      <c r="G211" s="186"/>
      <c r="H211" s="189"/>
      <c r="I211" s="190"/>
      <c r="J211" s="186"/>
      <c r="K211" s="189"/>
      <c r="L211" s="190"/>
    </row>
    <row r="212" spans="2:12" ht="15.75" customHeight="1" x14ac:dyDescent="0.3">
      <c r="B212" s="189"/>
      <c r="C212" s="190"/>
      <c r="D212" s="186"/>
      <c r="E212" s="189"/>
      <c r="F212" s="190"/>
      <c r="G212" s="186"/>
      <c r="H212" s="189"/>
      <c r="I212" s="190"/>
      <c r="J212" s="186"/>
      <c r="K212" s="189"/>
      <c r="L212" s="190"/>
    </row>
    <row r="213" spans="2:12" ht="15.75" customHeight="1" x14ac:dyDescent="0.3">
      <c r="B213" s="189"/>
      <c r="C213" s="190"/>
      <c r="D213" s="186"/>
      <c r="E213" s="189"/>
      <c r="F213" s="190"/>
      <c r="G213" s="186"/>
      <c r="H213" s="189"/>
      <c r="I213" s="190"/>
      <c r="J213" s="186"/>
      <c r="K213" s="189"/>
      <c r="L213" s="190"/>
    </row>
    <row r="214" spans="2:12" ht="15.75" customHeight="1" x14ac:dyDescent="0.3">
      <c r="B214" s="189"/>
      <c r="C214" s="190"/>
      <c r="D214" s="186"/>
      <c r="E214" s="189"/>
      <c r="F214" s="190"/>
      <c r="G214" s="186"/>
      <c r="H214" s="189"/>
      <c r="I214" s="190"/>
      <c r="J214" s="186"/>
      <c r="K214" s="189"/>
      <c r="L214" s="190"/>
    </row>
    <row r="215" spans="2:12" ht="15.75" customHeight="1" x14ac:dyDescent="0.3">
      <c r="B215" s="189"/>
      <c r="C215" s="190"/>
      <c r="D215" s="186"/>
      <c r="E215" s="189"/>
      <c r="F215" s="190"/>
      <c r="G215" s="186"/>
      <c r="H215" s="189"/>
      <c r="I215" s="190"/>
      <c r="J215" s="186"/>
      <c r="K215" s="189"/>
      <c r="L215" s="190"/>
    </row>
    <row r="216" spans="2:12" ht="15.75" customHeight="1" x14ac:dyDescent="0.3">
      <c r="B216" s="189"/>
      <c r="C216" s="190"/>
      <c r="D216" s="186"/>
      <c r="E216" s="189"/>
      <c r="F216" s="190"/>
      <c r="G216" s="186"/>
      <c r="H216" s="189"/>
      <c r="I216" s="190"/>
      <c r="J216" s="186"/>
      <c r="K216" s="189"/>
      <c r="L216" s="190"/>
    </row>
    <row r="217" spans="2:12" ht="15.75" customHeight="1" x14ac:dyDescent="0.3">
      <c r="B217" s="182"/>
      <c r="E217" s="182"/>
      <c r="H217" s="182"/>
      <c r="K217" s="182"/>
    </row>
    <row r="218" spans="2:12" ht="15.75" customHeight="1" x14ac:dyDescent="0.3">
      <c r="B218" s="182"/>
      <c r="E218" s="182"/>
      <c r="H218" s="182"/>
      <c r="K218" s="182"/>
    </row>
    <row r="219" spans="2:12" ht="15.75" customHeight="1" x14ac:dyDescent="0.3">
      <c r="B219" s="182"/>
      <c r="E219" s="182"/>
      <c r="H219" s="182"/>
      <c r="K219" s="182"/>
    </row>
    <row r="220" spans="2:12" ht="15.75" customHeight="1" x14ac:dyDescent="0.3">
      <c r="B220" s="318" t="s">
        <v>1639</v>
      </c>
      <c r="C220" s="232"/>
      <c r="D220" s="232"/>
      <c r="E220" s="232"/>
      <c r="F220" s="232"/>
      <c r="G220" s="232"/>
      <c r="H220" s="232"/>
      <c r="I220" s="232"/>
      <c r="J220" s="232"/>
      <c r="K220" s="232"/>
      <c r="L220" s="233"/>
    </row>
    <row r="221" spans="2:12" ht="15.75" customHeight="1" x14ac:dyDescent="0.3">
      <c r="B221" s="319" t="s">
        <v>1488</v>
      </c>
      <c r="C221" s="273"/>
      <c r="D221" s="186"/>
      <c r="E221" s="319" t="s">
        <v>1489</v>
      </c>
      <c r="F221" s="273"/>
      <c r="G221" s="186"/>
      <c r="H221" s="319" t="s">
        <v>1490</v>
      </c>
      <c r="I221" s="273"/>
      <c r="J221" s="186"/>
      <c r="K221" s="319" t="s">
        <v>1491</v>
      </c>
      <c r="L221" s="273"/>
    </row>
    <row r="222" spans="2:12" ht="15.75" customHeight="1" x14ac:dyDescent="0.3">
      <c r="B222" s="187" t="s">
        <v>1493</v>
      </c>
      <c r="C222" s="187" t="s">
        <v>1494</v>
      </c>
      <c r="D222" s="188"/>
      <c r="E222" s="187" t="s">
        <v>1493</v>
      </c>
      <c r="F222" s="187" t="s">
        <v>1494</v>
      </c>
      <c r="G222" s="188"/>
      <c r="H222" s="187" t="s">
        <v>1493</v>
      </c>
      <c r="I222" s="187" t="s">
        <v>1494</v>
      </c>
      <c r="J222" s="188"/>
      <c r="K222" s="187" t="s">
        <v>1493</v>
      </c>
      <c r="L222" s="187" t="s">
        <v>1494</v>
      </c>
    </row>
    <row r="223" spans="2:12" ht="15.75" customHeight="1" x14ac:dyDescent="0.3">
      <c r="B223" s="189"/>
      <c r="C223" s="190"/>
      <c r="D223" s="186"/>
      <c r="E223" s="189"/>
      <c r="F223" s="190"/>
      <c r="G223" s="186"/>
      <c r="H223" s="189"/>
      <c r="I223" s="190"/>
      <c r="J223" s="186"/>
      <c r="K223" s="189"/>
      <c r="L223" s="190"/>
    </row>
    <row r="224" spans="2:12" ht="15.75" customHeight="1" x14ac:dyDescent="0.3">
      <c r="B224" s="189" t="s">
        <v>1388</v>
      </c>
      <c r="C224" s="190">
        <v>7.4999999999999997E-2</v>
      </c>
      <c r="D224" s="186"/>
      <c r="E224" s="189" t="s">
        <v>1554</v>
      </c>
      <c r="F224" s="190"/>
      <c r="G224" s="186"/>
      <c r="H224" s="189" t="s">
        <v>1640</v>
      </c>
      <c r="I224" s="190">
        <v>2.5000000000000001E-2</v>
      </c>
      <c r="J224" s="186"/>
      <c r="K224" s="189" t="s">
        <v>1554</v>
      </c>
      <c r="L224" s="190"/>
    </row>
    <row r="225" spans="2:12" ht="15.75" customHeight="1" x14ac:dyDescent="0.3">
      <c r="B225" s="189" t="s">
        <v>1641</v>
      </c>
      <c r="C225" s="190">
        <v>0.1</v>
      </c>
      <c r="D225" s="186"/>
      <c r="E225" s="189"/>
      <c r="F225" s="190"/>
      <c r="G225" s="186"/>
      <c r="H225" s="189" t="s">
        <v>1642</v>
      </c>
      <c r="I225" s="190">
        <v>0.05</v>
      </c>
      <c r="J225" s="186"/>
      <c r="K225" s="189"/>
      <c r="L225" s="190"/>
    </row>
    <row r="226" spans="2:12" ht="15.75" customHeight="1" x14ac:dyDescent="0.3">
      <c r="B226" s="189" t="s">
        <v>1390</v>
      </c>
      <c r="C226" s="190">
        <v>0.15</v>
      </c>
      <c r="D226" s="186"/>
      <c r="E226" s="189"/>
      <c r="F226" s="190"/>
      <c r="G226" s="186"/>
      <c r="H226" s="189" t="s">
        <v>1643</v>
      </c>
      <c r="I226" s="190">
        <v>0.1</v>
      </c>
      <c r="J226" s="186"/>
      <c r="K226" s="189"/>
      <c r="L226" s="190"/>
    </row>
    <row r="227" spans="2:12" ht="15.75" customHeight="1" x14ac:dyDescent="0.3">
      <c r="B227" s="189" t="s">
        <v>1644</v>
      </c>
      <c r="C227" s="190">
        <v>0.25</v>
      </c>
      <c r="D227" s="186"/>
      <c r="E227" s="189"/>
      <c r="F227" s="190"/>
      <c r="G227" s="186"/>
      <c r="H227" s="189" t="s">
        <v>1645</v>
      </c>
      <c r="I227" s="190">
        <v>0.2</v>
      </c>
      <c r="J227" s="186"/>
      <c r="K227" s="189"/>
      <c r="L227" s="190"/>
    </row>
    <row r="228" spans="2:12" ht="15.75" customHeight="1" x14ac:dyDescent="0.3">
      <c r="B228" s="189" t="s">
        <v>1646</v>
      </c>
      <c r="C228" s="190">
        <v>0.3</v>
      </c>
      <c r="D228" s="186"/>
      <c r="E228" s="189"/>
      <c r="F228" s="190"/>
      <c r="G228" s="186"/>
      <c r="H228" s="189" t="s">
        <v>1647</v>
      </c>
      <c r="I228" s="190">
        <v>0.25</v>
      </c>
      <c r="J228" s="186"/>
      <c r="K228" s="189"/>
      <c r="L228" s="190"/>
    </row>
    <row r="229" spans="2:12" ht="15.75" customHeight="1" x14ac:dyDescent="0.3">
      <c r="B229" s="189" t="s">
        <v>1381</v>
      </c>
      <c r="C229" s="190">
        <v>0.3</v>
      </c>
      <c r="D229" s="186"/>
      <c r="E229" s="189"/>
      <c r="F229" s="190"/>
      <c r="G229" s="186"/>
      <c r="H229" s="189" t="s">
        <v>1648</v>
      </c>
      <c r="I229" s="190">
        <v>0.35</v>
      </c>
      <c r="J229" s="186"/>
      <c r="K229" s="189"/>
      <c r="L229" s="190"/>
    </row>
    <row r="230" spans="2:12" ht="15.75" customHeight="1" x14ac:dyDescent="0.3">
      <c r="B230" s="189" t="s">
        <v>1649</v>
      </c>
      <c r="C230" s="190">
        <v>0.4</v>
      </c>
      <c r="D230" s="186"/>
      <c r="E230" s="189"/>
      <c r="F230" s="190"/>
      <c r="G230" s="186"/>
      <c r="H230" s="189" t="s">
        <v>1650</v>
      </c>
      <c r="I230" s="190">
        <v>2.5000000000000001E-2</v>
      </c>
      <c r="J230" s="186"/>
      <c r="K230" s="189"/>
      <c r="L230" s="190"/>
    </row>
    <row r="231" spans="2:12" ht="15.75" customHeight="1" x14ac:dyDescent="0.3">
      <c r="B231" s="189" t="s">
        <v>1651</v>
      </c>
      <c r="C231" s="190">
        <v>0.5</v>
      </c>
      <c r="D231" s="186"/>
      <c r="E231" s="189"/>
      <c r="F231" s="190"/>
      <c r="G231" s="186"/>
      <c r="H231" s="189" t="s">
        <v>1652</v>
      </c>
      <c r="I231" s="190">
        <v>0.05</v>
      </c>
      <c r="J231" s="186"/>
      <c r="K231" s="189"/>
      <c r="L231" s="190"/>
    </row>
    <row r="232" spans="2:12" ht="15.75" customHeight="1" x14ac:dyDescent="0.3">
      <c r="B232" s="189" t="s">
        <v>1653</v>
      </c>
      <c r="C232" s="190">
        <v>0.6</v>
      </c>
      <c r="D232" s="186"/>
      <c r="E232" s="189"/>
      <c r="F232" s="190"/>
      <c r="G232" s="186"/>
      <c r="H232" s="189" t="s">
        <v>1654</v>
      </c>
      <c r="I232" s="190">
        <v>0.1</v>
      </c>
      <c r="J232" s="186"/>
      <c r="K232" s="189"/>
      <c r="L232" s="190"/>
    </row>
    <row r="233" spans="2:12" ht="15.75" customHeight="1" x14ac:dyDescent="0.3">
      <c r="B233" s="189" t="s">
        <v>1655</v>
      </c>
      <c r="C233" s="190">
        <v>0.55000000000000004</v>
      </c>
      <c r="D233" s="186"/>
      <c r="E233" s="189"/>
      <c r="F233" s="190"/>
      <c r="G233" s="186"/>
      <c r="H233" s="189" t="s">
        <v>1656</v>
      </c>
      <c r="I233" s="190">
        <v>0.15</v>
      </c>
      <c r="J233" s="186"/>
      <c r="K233" s="189"/>
      <c r="L233" s="190"/>
    </row>
    <row r="234" spans="2:12" ht="15.75" customHeight="1" x14ac:dyDescent="0.3">
      <c r="B234" s="189" t="s">
        <v>1657</v>
      </c>
      <c r="C234" s="190">
        <v>0.65</v>
      </c>
      <c r="D234" s="186"/>
      <c r="E234" s="189"/>
      <c r="F234" s="190"/>
      <c r="G234" s="186"/>
      <c r="H234" s="189" t="s">
        <v>1658</v>
      </c>
      <c r="I234" s="190">
        <v>0.2</v>
      </c>
      <c r="J234" s="186"/>
      <c r="K234" s="189"/>
      <c r="L234" s="190"/>
    </row>
    <row r="235" spans="2:12" ht="15.75" customHeight="1" x14ac:dyDescent="0.3">
      <c r="B235" s="189" t="s">
        <v>1659</v>
      </c>
      <c r="C235" s="190">
        <v>0.85</v>
      </c>
      <c r="D235" s="186"/>
      <c r="E235" s="189"/>
      <c r="F235" s="190"/>
      <c r="G235" s="186"/>
      <c r="H235" s="189" t="s">
        <v>1660</v>
      </c>
      <c r="I235" s="190">
        <v>0.3</v>
      </c>
      <c r="J235" s="186"/>
      <c r="K235" s="189"/>
      <c r="L235" s="190"/>
    </row>
    <row r="236" spans="2:12" ht="15.75" customHeight="1" x14ac:dyDescent="0.3">
      <c r="B236" s="189" t="s">
        <v>1661</v>
      </c>
      <c r="C236" s="190">
        <v>0.95</v>
      </c>
      <c r="D236" s="186"/>
      <c r="E236" s="189"/>
      <c r="F236" s="190"/>
      <c r="G236" s="186"/>
      <c r="H236" s="189" t="s">
        <v>1662</v>
      </c>
      <c r="I236" s="190">
        <v>0.4</v>
      </c>
      <c r="J236" s="186"/>
      <c r="K236" s="189"/>
      <c r="L236" s="190"/>
    </row>
    <row r="237" spans="2:12" ht="15.75" customHeight="1" x14ac:dyDescent="0.3">
      <c r="B237" s="189" t="s">
        <v>1383</v>
      </c>
      <c r="C237" s="190">
        <v>0.8</v>
      </c>
      <c r="D237" s="186"/>
      <c r="E237" s="189"/>
      <c r="F237" s="190"/>
      <c r="G237" s="186"/>
      <c r="H237" s="189" t="s">
        <v>1663</v>
      </c>
      <c r="I237" s="190">
        <v>0.6</v>
      </c>
      <c r="J237" s="186"/>
      <c r="K237" s="189"/>
      <c r="L237" s="190"/>
    </row>
    <row r="238" spans="2:12" ht="15.75" customHeight="1" x14ac:dyDescent="0.3">
      <c r="B238" s="189" t="s">
        <v>1664</v>
      </c>
      <c r="C238" s="190">
        <v>1.3</v>
      </c>
      <c r="D238" s="186"/>
      <c r="E238" s="189"/>
      <c r="F238" s="190"/>
      <c r="G238" s="186"/>
      <c r="H238" s="189" t="s">
        <v>1665</v>
      </c>
      <c r="I238" s="190">
        <v>0.3</v>
      </c>
      <c r="J238" s="186"/>
      <c r="K238" s="189"/>
      <c r="L238" s="190"/>
    </row>
    <row r="239" spans="2:12" ht="15.75" customHeight="1" x14ac:dyDescent="0.3">
      <c r="B239" s="189" t="s">
        <v>1666</v>
      </c>
      <c r="C239" s="190">
        <v>0.9</v>
      </c>
      <c r="D239" s="186"/>
      <c r="E239" s="189"/>
      <c r="F239" s="190"/>
      <c r="G239" s="186"/>
      <c r="H239" s="189" t="s">
        <v>1667</v>
      </c>
      <c r="I239" s="190">
        <v>0.5</v>
      </c>
      <c r="J239" s="186"/>
      <c r="K239" s="189"/>
      <c r="L239" s="190"/>
    </row>
    <row r="240" spans="2:12" ht="15.75" customHeight="1" x14ac:dyDescent="0.3">
      <c r="B240" s="189" t="s">
        <v>1668</v>
      </c>
      <c r="C240" s="190">
        <v>1.4</v>
      </c>
      <c r="D240" s="186"/>
      <c r="E240" s="189"/>
      <c r="F240" s="190"/>
      <c r="G240" s="186"/>
      <c r="H240" s="189" t="s">
        <v>1669</v>
      </c>
      <c r="I240" s="190">
        <v>0.6</v>
      </c>
      <c r="J240" s="186"/>
      <c r="K240" s="189"/>
      <c r="L240" s="190"/>
    </row>
    <row r="241" spans="2:12" ht="15.75" customHeight="1" x14ac:dyDescent="0.3">
      <c r="B241" s="189" t="s">
        <v>1670</v>
      </c>
      <c r="C241" s="190">
        <v>1</v>
      </c>
      <c r="D241" s="186"/>
      <c r="E241" s="189"/>
      <c r="F241" s="190"/>
      <c r="G241" s="186"/>
      <c r="H241" s="189" t="s">
        <v>1671</v>
      </c>
      <c r="I241" s="190">
        <v>0.05</v>
      </c>
      <c r="J241" s="186"/>
      <c r="K241" s="189"/>
      <c r="L241" s="190"/>
    </row>
    <row r="242" spans="2:12" ht="15.75" customHeight="1" x14ac:dyDescent="0.3">
      <c r="B242" s="189" t="s">
        <v>1672</v>
      </c>
      <c r="C242" s="190">
        <v>1.3</v>
      </c>
      <c r="D242" s="186"/>
      <c r="E242" s="189"/>
      <c r="F242" s="190"/>
      <c r="G242" s="186"/>
      <c r="H242" s="189" t="s">
        <v>1673</v>
      </c>
      <c r="I242" s="190">
        <v>0.1</v>
      </c>
      <c r="J242" s="186"/>
      <c r="K242" s="189"/>
      <c r="L242" s="190"/>
    </row>
    <row r="243" spans="2:12" ht="15.75" customHeight="1" x14ac:dyDescent="0.3">
      <c r="B243" s="189" t="s">
        <v>1386</v>
      </c>
      <c r="C243" s="190">
        <v>1.5</v>
      </c>
      <c r="D243" s="186"/>
      <c r="E243" s="189"/>
      <c r="F243" s="190"/>
      <c r="G243" s="186"/>
      <c r="H243" s="189" t="s">
        <v>1674</v>
      </c>
      <c r="I243" s="190">
        <v>0.15</v>
      </c>
      <c r="J243" s="186"/>
      <c r="K243" s="189"/>
      <c r="L243" s="190"/>
    </row>
    <row r="244" spans="2:12" ht="15.75" customHeight="1" x14ac:dyDescent="0.3">
      <c r="B244" s="189" t="s">
        <v>150</v>
      </c>
      <c r="C244" s="190">
        <v>0.4</v>
      </c>
      <c r="D244" s="186"/>
      <c r="E244" s="189"/>
      <c r="F244" s="190"/>
      <c r="G244" s="186"/>
      <c r="H244" s="189" t="s">
        <v>844</v>
      </c>
      <c r="I244" s="190">
        <v>0.05</v>
      </c>
      <c r="J244" s="186"/>
      <c r="K244" s="189"/>
      <c r="L244" s="190"/>
    </row>
    <row r="245" spans="2:12" ht="15.75" customHeight="1" x14ac:dyDescent="0.3">
      <c r="B245" s="189" t="s">
        <v>1675</v>
      </c>
      <c r="C245" s="190">
        <v>0.6</v>
      </c>
      <c r="D245" s="186"/>
      <c r="E245" s="189"/>
      <c r="F245" s="190"/>
      <c r="G245" s="186"/>
      <c r="H245" s="189" t="s">
        <v>1676</v>
      </c>
      <c r="I245" s="190">
        <v>0.1</v>
      </c>
      <c r="J245" s="186"/>
      <c r="K245" s="189"/>
      <c r="L245" s="190"/>
    </row>
    <row r="246" spans="2:12" ht="15.75" customHeight="1" x14ac:dyDescent="0.3">
      <c r="B246" s="189" t="s">
        <v>151</v>
      </c>
      <c r="C246" s="190">
        <v>0.8</v>
      </c>
      <c r="D246" s="186"/>
      <c r="E246" s="189"/>
      <c r="F246" s="190"/>
      <c r="G246" s="186"/>
      <c r="H246" s="189" t="s">
        <v>1677</v>
      </c>
      <c r="I246" s="190">
        <v>0.15</v>
      </c>
      <c r="J246" s="186"/>
      <c r="K246" s="189"/>
      <c r="L246" s="190"/>
    </row>
    <row r="247" spans="2:12" ht="15.75" customHeight="1" x14ac:dyDescent="0.3">
      <c r="B247" s="189" t="s">
        <v>1392</v>
      </c>
      <c r="C247" s="190">
        <v>0.1</v>
      </c>
      <c r="D247" s="186"/>
      <c r="E247" s="189"/>
      <c r="F247" s="190"/>
      <c r="G247" s="186"/>
      <c r="H247" s="189" t="s">
        <v>1678</v>
      </c>
      <c r="I247" s="190">
        <v>0.125</v>
      </c>
      <c r="J247" s="186"/>
      <c r="K247" s="189"/>
      <c r="L247" s="190"/>
    </row>
    <row r="248" spans="2:12" ht="15.75" customHeight="1" x14ac:dyDescent="0.3">
      <c r="B248" s="189" t="s">
        <v>1679</v>
      </c>
      <c r="C248" s="190">
        <v>0.15</v>
      </c>
      <c r="D248" s="186"/>
      <c r="E248" s="189"/>
      <c r="F248" s="190"/>
      <c r="G248" s="186"/>
      <c r="H248" s="189" t="s">
        <v>1680</v>
      </c>
      <c r="I248" s="190">
        <v>0.35</v>
      </c>
      <c r="J248" s="186"/>
      <c r="K248" s="189"/>
      <c r="L248" s="190"/>
    </row>
    <row r="249" spans="2:12" ht="15.75" customHeight="1" x14ac:dyDescent="0.3">
      <c r="B249" s="189" t="s">
        <v>1681</v>
      </c>
      <c r="C249" s="190">
        <v>0.17499999999999999</v>
      </c>
      <c r="D249" s="186"/>
      <c r="E249" s="189"/>
      <c r="F249" s="190"/>
      <c r="G249" s="186"/>
      <c r="H249" s="189" t="s">
        <v>1682</v>
      </c>
      <c r="I249" s="190">
        <v>0.4</v>
      </c>
      <c r="J249" s="186"/>
      <c r="K249" s="189"/>
      <c r="L249" s="190"/>
    </row>
    <row r="250" spans="2:12" ht="15.75" customHeight="1" x14ac:dyDescent="0.3">
      <c r="B250" s="189" t="s">
        <v>1387</v>
      </c>
      <c r="C250" s="190">
        <v>0.1</v>
      </c>
      <c r="D250" s="186"/>
      <c r="E250" s="189"/>
      <c r="F250" s="190"/>
      <c r="G250" s="186"/>
      <c r="H250" s="189" t="s">
        <v>1683</v>
      </c>
      <c r="I250" s="190">
        <v>0.45</v>
      </c>
      <c r="J250" s="186"/>
      <c r="K250" s="189"/>
      <c r="L250" s="190"/>
    </row>
    <row r="251" spans="2:12" ht="15.75" customHeight="1" x14ac:dyDescent="0.3">
      <c r="B251" s="189" t="s">
        <v>1684</v>
      </c>
      <c r="C251" s="190">
        <v>0.15</v>
      </c>
      <c r="D251" s="186"/>
      <c r="E251" s="189"/>
      <c r="F251" s="190"/>
      <c r="G251" s="186"/>
      <c r="H251" s="189" t="s">
        <v>1685</v>
      </c>
      <c r="I251" s="190">
        <v>0.5</v>
      </c>
      <c r="J251" s="186"/>
      <c r="K251" s="189"/>
      <c r="L251" s="190"/>
    </row>
    <row r="252" spans="2:12" ht="15.75" customHeight="1" x14ac:dyDescent="0.3">
      <c r="B252" s="189" t="s">
        <v>1686</v>
      </c>
      <c r="C252" s="190">
        <v>0.17499999999999999</v>
      </c>
      <c r="D252" s="186"/>
      <c r="E252" s="189"/>
      <c r="F252" s="190"/>
      <c r="G252" s="186"/>
      <c r="H252" s="189" t="s">
        <v>1687</v>
      </c>
      <c r="I252" s="190">
        <v>0.45</v>
      </c>
      <c r="J252" s="186"/>
      <c r="K252" s="189"/>
      <c r="L252" s="190"/>
    </row>
    <row r="253" spans="2:12" ht="15.75" customHeight="1" x14ac:dyDescent="0.3">
      <c r="B253" s="189" t="s">
        <v>1688</v>
      </c>
      <c r="C253" s="190">
        <v>0.125</v>
      </c>
      <c r="D253" s="186"/>
      <c r="E253" s="189"/>
      <c r="F253" s="190"/>
      <c r="G253" s="186"/>
      <c r="H253" s="189" t="s">
        <v>1689</v>
      </c>
      <c r="I253" s="190">
        <v>0.5</v>
      </c>
      <c r="J253" s="186"/>
      <c r="K253" s="189"/>
      <c r="L253" s="190"/>
    </row>
    <row r="254" spans="2:12" ht="15.75" customHeight="1" x14ac:dyDescent="0.3">
      <c r="B254" s="189" t="s">
        <v>1690</v>
      </c>
      <c r="C254" s="190">
        <v>0.4</v>
      </c>
      <c r="D254" s="186"/>
      <c r="E254" s="189"/>
      <c r="F254" s="190"/>
      <c r="G254" s="186"/>
      <c r="H254" s="189" t="s">
        <v>1691</v>
      </c>
      <c r="I254" s="190">
        <v>0.6</v>
      </c>
      <c r="J254" s="186"/>
      <c r="K254" s="189"/>
      <c r="L254" s="190"/>
    </row>
    <row r="255" spans="2:12" ht="15.75" customHeight="1" x14ac:dyDescent="0.3">
      <c r="B255" s="189" t="s">
        <v>1692</v>
      </c>
      <c r="C255" s="190">
        <v>0.45</v>
      </c>
      <c r="D255" s="186"/>
      <c r="E255" s="189"/>
      <c r="F255" s="190"/>
      <c r="G255" s="186"/>
      <c r="H255" s="189" t="s">
        <v>1693</v>
      </c>
      <c r="I255" s="190">
        <v>0.65</v>
      </c>
      <c r="J255" s="186"/>
      <c r="K255" s="189"/>
      <c r="L255" s="190"/>
    </row>
    <row r="256" spans="2:12" ht="15.75" customHeight="1" x14ac:dyDescent="0.3">
      <c r="B256" s="189" t="s">
        <v>1694</v>
      </c>
      <c r="C256" s="190">
        <v>0.35</v>
      </c>
      <c r="D256" s="186"/>
      <c r="E256" s="189"/>
      <c r="F256" s="190"/>
      <c r="G256" s="186"/>
      <c r="H256" s="189" t="s">
        <v>1695</v>
      </c>
      <c r="I256" s="190">
        <v>0.7</v>
      </c>
      <c r="J256" s="186"/>
      <c r="K256" s="189"/>
      <c r="L256" s="190"/>
    </row>
    <row r="257" spans="2:12" ht="15.75" customHeight="1" x14ac:dyDescent="0.3">
      <c r="B257" s="189" t="s">
        <v>1696</v>
      </c>
      <c r="C257" s="190">
        <v>0.45</v>
      </c>
      <c r="D257" s="186"/>
      <c r="E257" s="189"/>
      <c r="F257" s="190"/>
      <c r="G257" s="186"/>
      <c r="H257" s="189" t="s">
        <v>1697</v>
      </c>
      <c r="I257" s="190">
        <v>0.55000000000000004</v>
      </c>
      <c r="J257" s="186"/>
      <c r="K257" s="189"/>
      <c r="L257" s="190"/>
    </row>
    <row r="258" spans="2:12" ht="15.75" customHeight="1" x14ac:dyDescent="0.3">
      <c r="B258" s="189" t="s">
        <v>1698</v>
      </c>
      <c r="C258" s="190">
        <v>0.55000000000000004</v>
      </c>
      <c r="D258" s="186"/>
      <c r="E258" s="189"/>
      <c r="F258" s="190"/>
      <c r="G258" s="186"/>
      <c r="H258" s="189" t="s">
        <v>1699</v>
      </c>
      <c r="I258" s="190">
        <v>0.65</v>
      </c>
      <c r="J258" s="186"/>
      <c r="K258" s="189"/>
      <c r="L258" s="190"/>
    </row>
    <row r="259" spans="2:12" ht="15.75" customHeight="1" x14ac:dyDescent="0.3">
      <c r="B259" s="189" t="s">
        <v>1394</v>
      </c>
      <c r="C259" s="190">
        <v>0.5</v>
      </c>
      <c r="D259" s="186"/>
      <c r="E259" s="189"/>
      <c r="F259" s="190"/>
      <c r="G259" s="186"/>
      <c r="H259" s="189" t="s">
        <v>1700</v>
      </c>
      <c r="I259" s="190">
        <v>0.75</v>
      </c>
      <c r="J259" s="186"/>
      <c r="K259" s="189"/>
      <c r="L259" s="190"/>
    </row>
    <row r="260" spans="2:12" ht="15.75" customHeight="1" x14ac:dyDescent="0.3">
      <c r="B260" s="189" t="s">
        <v>1701</v>
      </c>
      <c r="C260" s="190">
        <v>0.6</v>
      </c>
      <c r="D260" s="186"/>
      <c r="E260" s="189"/>
      <c r="F260" s="190"/>
      <c r="G260" s="186"/>
      <c r="H260" s="189" t="s">
        <v>1702</v>
      </c>
      <c r="I260" s="190">
        <v>0.25</v>
      </c>
      <c r="J260" s="186"/>
      <c r="K260" s="189"/>
      <c r="L260" s="190"/>
    </row>
    <row r="261" spans="2:12" ht="15.75" customHeight="1" x14ac:dyDescent="0.3">
      <c r="B261" s="189" t="s">
        <v>1703</v>
      </c>
      <c r="C261" s="190">
        <v>0.55000000000000004</v>
      </c>
      <c r="D261" s="186"/>
      <c r="E261" s="189"/>
      <c r="F261" s="190"/>
      <c r="G261" s="186"/>
      <c r="H261" s="189"/>
      <c r="I261" s="190"/>
      <c r="J261" s="186"/>
      <c r="K261" s="189"/>
      <c r="L261" s="190"/>
    </row>
    <row r="262" spans="2:12" ht="15.75" customHeight="1" x14ac:dyDescent="0.3">
      <c r="B262" s="189" t="s">
        <v>1704</v>
      </c>
      <c r="C262" s="190">
        <v>0.67500000000000004</v>
      </c>
      <c r="D262" s="186"/>
      <c r="E262" s="189"/>
      <c r="F262" s="190"/>
      <c r="G262" s="186"/>
      <c r="H262" s="189"/>
      <c r="I262" s="190"/>
      <c r="J262" s="186"/>
      <c r="K262" s="189"/>
      <c r="L262" s="190"/>
    </row>
    <row r="263" spans="2:12" ht="15.75" customHeight="1" x14ac:dyDescent="0.3">
      <c r="B263" s="189" t="s">
        <v>1705</v>
      </c>
      <c r="C263" s="190">
        <v>0.77500000000000002</v>
      </c>
      <c r="D263" s="186"/>
      <c r="E263" s="189"/>
      <c r="F263" s="190"/>
      <c r="G263" s="186"/>
      <c r="H263" s="189"/>
      <c r="I263" s="190"/>
      <c r="J263" s="186"/>
      <c r="K263" s="189"/>
      <c r="L263" s="190"/>
    </row>
    <row r="264" spans="2:12" ht="15.75" customHeight="1" x14ac:dyDescent="0.3">
      <c r="B264" s="189" t="s">
        <v>1706</v>
      </c>
      <c r="C264" s="190">
        <v>0.97499999999999998</v>
      </c>
      <c r="D264" s="186"/>
      <c r="E264" s="189"/>
      <c r="F264" s="190"/>
      <c r="G264" s="186"/>
      <c r="H264" s="189"/>
      <c r="I264" s="190"/>
      <c r="J264" s="186"/>
      <c r="K264" s="189"/>
      <c r="L264" s="190"/>
    </row>
    <row r="265" spans="2:12" ht="15.75" customHeight="1" x14ac:dyDescent="0.3">
      <c r="B265" s="189" t="s">
        <v>1707</v>
      </c>
      <c r="C265" s="190">
        <v>1.075</v>
      </c>
      <c r="D265" s="186"/>
      <c r="E265" s="189"/>
      <c r="F265" s="190"/>
      <c r="G265" s="186"/>
      <c r="H265" s="189"/>
      <c r="I265" s="190"/>
      <c r="J265" s="186"/>
      <c r="K265" s="189"/>
      <c r="L265" s="190"/>
    </row>
    <row r="266" spans="2:12" ht="15.75" customHeight="1" x14ac:dyDescent="0.3">
      <c r="B266" s="189" t="s">
        <v>1708</v>
      </c>
      <c r="C266" s="190">
        <v>0.7</v>
      </c>
      <c r="D266" s="186"/>
      <c r="E266" s="189"/>
      <c r="F266" s="190"/>
      <c r="G266" s="186"/>
      <c r="H266" s="189"/>
      <c r="I266" s="190"/>
      <c r="J266" s="186"/>
      <c r="K266" s="189"/>
      <c r="L266" s="190"/>
    </row>
    <row r="267" spans="2:12" ht="15.75" customHeight="1" x14ac:dyDescent="0.3">
      <c r="B267" s="189" t="s">
        <v>1709</v>
      </c>
      <c r="C267" s="190">
        <v>0.77500000000000002</v>
      </c>
      <c r="D267" s="186"/>
      <c r="E267" s="189"/>
      <c r="F267" s="190"/>
      <c r="G267" s="186"/>
      <c r="H267" s="189"/>
      <c r="I267" s="190"/>
      <c r="J267" s="186"/>
      <c r="K267" s="189"/>
      <c r="L267" s="190"/>
    </row>
    <row r="268" spans="2:12" ht="15.75" customHeight="1" x14ac:dyDescent="0.3">
      <c r="B268" s="189" t="s">
        <v>1710</v>
      </c>
      <c r="C268" s="190">
        <v>0.92500000000000004</v>
      </c>
      <c r="D268" s="186"/>
      <c r="E268" s="189"/>
      <c r="F268" s="190"/>
      <c r="G268" s="186"/>
      <c r="H268" s="189"/>
      <c r="I268" s="190"/>
      <c r="J268" s="186"/>
      <c r="K268" s="189"/>
      <c r="L268" s="190"/>
    </row>
    <row r="269" spans="2:12" ht="15.75" customHeight="1" x14ac:dyDescent="0.3">
      <c r="B269" s="189" t="s">
        <v>1711</v>
      </c>
      <c r="C269" s="190">
        <v>1.0249999999999999</v>
      </c>
      <c r="D269" s="186"/>
      <c r="E269" s="189"/>
      <c r="F269" s="190"/>
      <c r="G269" s="186"/>
      <c r="H269" s="189"/>
      <c r="I269" s="190"/>
      <c r="J269" s="186"/>
      <c r="K269" s="189"/>
      <c r="L269" s="190"/>
    </row>
    <row r="270" spans="2:12" ht="15.75" customHeight="1" x14ac:dyDescent="0.3">
      <c r="B270" s="189" t="s">
        <v>1712</v>
      </c>
      <c r="C270" s="190">
        <v>1.425</v>
      </c>
      <c r="D270" s="186"/>
      <c r="E270" s="189"/>
      <c r="F270" s="190"/>
      <c r="G270" s="186"/>
      <c r="H270" s="189"/>
      <c r="I270" s="190"/>
      <c r="J270" s="186"/>
      <c r="K270" s="189"/>
      <c r="L270" s="190"/>
    </row>
    <row r="271" spans="2:12" ht="15.75" customHeight="1" x14ac:dyDescent="0.3">
      <c r="B271" s="189" t="s">
        <v>1713</v>
      </c>
      <c r="C271" s="190">
        <v>1.5249999999999999</v>
      </c>
      <c r="D271" s="186"/>
      <c r="E271" s="189"/>
      <c r="F271" s="190"/>
      <c r="G271" s="186"/>
      <c r="H271" s="189"/>
      <c r="I271" s="190"/>
      <c r="J271" s="186"/>
      <c r="K271" s="189"/>
      <c r="L271" s="190"/>
    </row>
    <row r="272" spans="2:12" ht="15.75" customHeight="1" x14ac:dyDescent="0.3">
      <c r="B272" s="189" t="s">
        <v>1401</v>
      </c>
      <c r="C272" s="190">
        <v>0.97499999999999998</v>
      </c>
      <c r="D272" s="186"/>
      <c r="E272" s="189"/>
      <c r="F272" s="190"/>
      <c r="G272" s="186"/>
      <c r="H272" s="189"/>
      <c r="I272" s="190"/>
      <c r="J272" s="186"/>
      <c r="K272" s="189"/>
      <c r="L272" s="190"/>
    </row>
    <row r="273" spans="2:12" ht="15.75" customHeight="1" x14ac:dyDescent="0.3">
      <c r="B273" s="189" t="s">
        <v>1714</v>
      </c>
      <c r="C273" s="190">
        <v>1.4750000000000001</v>
      </c>
      <c r="D273" s="186"/>
      <c r="E273" s="189"/>
      <c r="F273" s="190"/>
      <c r="G273" s="186"/>
      <c r="H273" s="189"/>
      <c r="I273" s="190"/>
      <c r="J273" s="186"/>
      <c r="K273" s="189"/>
      <c r="L273" s="190"/>
    </row>
    <row r="274" spans="2:12" ht="15.75" customHeight="1" x14ac:dyDescent="0.3">
      <c r="B274" s="189" t="s">
        <v>1715</v>
      </c>
      <c r="C274" s="190">
        <v>1.575</v>
      </c>
      <c r="D274" s="186"/>
      <c r="E274" s="189"/>
      <c r="F274" s="190"/>
      <c r="G274" s="186"/>
      <c r="H274" s="189"/>
      <c r="I274" s="190"/>
      <c r="J274" s="186"/>
      <c r="K274" s="189"/>
      <c r="L274" s="190"/>
    </row>
    <row r="275" spans="2:12" ht="15.75" customHeight="1" x14ac:dyDescent="0.3">
      <c r="B275" s="189" t="s">
        <v>1716</v>
      </c>
      <c r="C275" s="190">
        <v>0.6</v>
      </c>
      <c r="D275" s="186"/>
      <c r="E275" s="189"/>
      <c r="F275" s="190"/>
      <c r="G275" s="186"/>
      <c r="H275" s="189"/>
      <c r="I275" s="190"/>
      <c r="J275" s="186"/>
      <c r="K275" s="189"/>
      <c r="L275" s="190"/>
    </row>
    <row r="276" spans="2:12" ht="15.75" customHeight="1" x14ac:dyDescent="0.3">
      <c r="B276" s="189" t="s">
        <v>1717</v>
      </c>
      <c r="C276" s="190">
        <v>0.7</v>
      </c>
      <c r="D276" s="186"/>
      <c r="E276" s="189"/>
      <c r="F276" s="190"/>
      <c r="G276" s="186"/>
      <c r="H276" s="189"/>
      <c r="I276" s="190"/>
      <c r="J276" s="186"/>
      <c r="K276" s="189"/>
      <c r="L276" s="190"/>
    </row>
    <row r="277" spans="2:12" ht="15.75" customHeight="1" x14ac:dyDescent="0.3">
      <c r="B277" s="189" t="s">
        <v>1718</v>
      </c>
      <c r="C277" s="190">
        <v>0.625</v>
      </c>
      <c r="D277" s="186"/>
      <c r="E277" s="189"/>
      <c r="F277" s="190"/>
      <c r="G277" s="186"/>
      <c r="H277" s="189"/>
      <c r="I277" s="190"/>
      <c r="J277" s="186"/>
      <c r="K277" s="189"/>
      <c r="L277" s="190"/>
    </row>
    <row r="278" spans="2:12" ht="15.75" customHeight="1" x14ac:dyDescent="0.3">
      <c r="B278" s="189" t="s">
        <v>1719</v>
      </c>
      <c r="C278" s="190">
        <v>0.75</v>
      </c>
      <c r="D278" s="186"/>
      <c r="E278" s="189"/>
      <c r="F278" s="190"/>
      <c r="G278" s="186"/>
      <c r="H278" s="189"/>
      <c r="I278" s="190"/>
      <c r="J278" s="186"/>
      <c r="K278" s="189"/>
      <c r="L278" s="190"/>
    </row>
    <row r="279" spans="2:12" ht="15.75" customHeight="1" x14ac:dyDescent="0.3">
      <c r="B279" s="189" t="s">
        <v>1720</v>
      </c>
      <c r="C279" s="190">
        <v>0.8</v>
      </c>
      <c r="D279" s="186"/>
      <c r="E279" s="189"/>
      <c r="F279" s="190"/>
      <c r="G279" s="186"/>
      <c r="H279" s="189"/>
      <c r="I279" s="190"/>
      <c r="J279" s="186"/>
      <c r="K279" s="189"/>
      <c r="L279" s="190"/>
    </row>
    <row r="280" spans="2:12" ht="15.75" customHeight="1" x14ac:dyDescent="0.3">
      <c r="B280" s="189" t="s">
        <v>1721</v>
      </c>
      <c r="C280" s="190">
        <v>0.9</v>
      </c>
      <c r="D280" s="186"/>
      <c r="E280" s="189"/>
      <c r="F280" s="190"/>
      <c r="G280" s="186"/>
      <c r="H280" s="189"/>
      <c r="I280" s="190"/>
      <c r="J280" s="186"/>
      <c r="K280" s="189"/>
      <c r="L280" s="190"/>
    </row>
    <row r="281" spans="2:12" ht="15.75" customHeight="1" x14ac:dyDescent="0.3">
      <c r="B281" s="189" t="s">
        <v>1722</v>
      </c>
      <c r="C281" s="190">
        <v>1.0249999999999999</v>
      </c>
      <c r="D281" s="186"/>
      <c r="E281" s="189"/>
      <c r="F281" s="190"/>
      <c r="G281" s="186"/>
      <c r="H281" s="189"/>
      <c r="I281" s="190"/>
      <c r="J281" s="186"/>
      <c r="K281" s="189"/>
      <c r="L281" s="190"/>
    </row>
    <row r="282" spans="2:12" ht="15.75" customHeight="1" x14ac:dyDescent="0.3">
      <c r="B282" s="189" t="s">
        <v>1723</v>
      </c>
      <c r="C282" s="190">
        <v>1.125</v>
      </c>
      <c r="D282" s="186"/>
      <c r="E282" s="189"/>
      <c r="F282" s="190"/>
      <c r="G282" s="186"/>
      <c r="H282" s="189"/>
      <c r="I282" s="190"/>
      <c r="J282" s="186"/>
      <c r="K282" s="189"/>
      <c r="L282" s="190"/>
    </row>
    <row r="283" spans="2:12" ht="15.75" customHeight="1" x14ac:dyDescent="0.3">
      <c r="B283" s="189" t="s">
        <v>1724</v>
      </c>
      <c r="C283" s="190">
        <v>2.5000000000000001E-2</v>
      </c>
      <c r="D283" s="186"/>
      <c r="E283" s="189"/>
      <c r="F283" s="190"/>
      <c r="G283" s="186"/>
      <c r="H283" s="189"/>
      <c r="I283" s="190"/>
      <c r="J283" s="186"/>
      <c r="K283" s="189"/>
      <c r="L283" s="190"/>
    </row>
    <row r="284" spans="2:12" ht="15.75" customHeight="1" x14ac:dyDescent="0.3">
      <c r="B284" s="189" t="s">
        <v>143</v>
      </c>
      <c r="C284" s="190">
        <v>0.05</v>
      </c>
      <c r="D284" s="186"/>
      <c r="E284" s="189"/>
      <c r="F284" s="190"/>
      <c r="G284" s="186"/>
      <c r="H284" s="189"/>
      <c r="I284" s="190"/>
      <c r="J284" s="186"/>
      <c r="K284" s="189"/>
      <c r="L284" s="190"/>
    </row>
    <row r="285" spans="2:12" ht="15.75" customHeight="1" x14ac:dyDescent="0.3">
      <c r="B285" s="189" t="s">
        <v>1725</v>
      </c>
      <c r="C285" s="190">
        <v>0.1</v>
      </c>
      <c r="D285" s="186"/>
      <c r="E285" s="189"/>
      <c r="F285" s="190"/>
      <c r="G285" s="186"/>
      <c r="H285" s="189"/>
      <c r="I285" s="190"/>
      <c r="J285" s="186"/>
      <c r="K285" s="189"/>
      <c r="L285" s="190"/>
    </row>
    <row r="286" spans="2:12" ht="15.75" customHeight="1" x14ac:dyDescent="0.3">
      <c r="B286" s="189" t="s">
        <v>144</v>
      </c>
      <c r="C286" s="190">
        <v>0.2</v>
      </c>
      <c r="D286" s="186"/>
      <c r="E286" s="189"/>
      <c r="F286" s="190"/>
      <c r="G286" s="186"/>
      <c r="H286" s="189"/>
      <c r="I286" s="190"/>
      <c r="J286" s="186"/>
      <c r="K286" s="189"/>
      <c r="L286" s="190"/>
    </row>
    <row r="287" spans="2:12" ht="15.75" customHeight="1" x14ac:dyDescent="0.3">
      <c r="B287" s="189" t="s">
        <v>1726</v>
      </c>
      <c r="C287" s="190">
        <v>0.25</v>
      </c>
      <c r="D287" s="186"/>
      <c r="E287" s="189"/>
      <c r="F287" s="190"/>
      <c r="G287" s="186"/>
      <c r="H287" s="189"/>
      <c r="I287" s="190"/>
      <c r="J287" s="186"/>
      <c r="K287" s="189"/>
      <c r="L287" s="190"/>
    </row>
    <row r="288" spans="2:12" ht="15.75" customHeight="1" x14ac:dyDescent="0.3">
      <c r="B288" s="189" t="s">
        <v>145</v>
      </c>
      <c r="C288" s="190">
        <v>0.3</v>
      </c>
      <c r="D288" s="186"/>
      <c r="E288" s="189"/>
      <c r="F288" s="190"/>
      <c r="G288" s="186"/>
      <c r="H288" s="189"/>
      <c r="I288" s="190"/>
      <c r="J288" s="186"/>
      <c r="K288" s="189"/>
      <c r="L288" s="190"/>
    </row>
    <row r="289" spans="2:12" ht="15.75" customHeight="1" x14ac:dyDescent="0.3">
      <c r="B289" s="189"/>
      <c r="C289" s="190"/>
      <c r="D289" s="186"/>
      <c r="E289" s="189"/>
      <c r="F289" s="190"/>
      <c r="G289" s="186"/>
      <c r="H289" s="189"/>
      <c r="I289" s="190"/>
      <c r="J289" s="186"/>
      <c r="K289" s="189"/>
      <c r="L289" s="190"/>
    </row>
    <row r="290" spans="2:12" ht="15.75" customHeight="1" x14ac:dyDescent="0.3">
      <c r="B290" s="189"/>
      <c r="C290" s="190"/>
      <c r="D290" s="186"/>
      <c r="E290" s="189"/>
      <c r="F290" s="190"/>
      <c r="G290" s="186"/>
      <c r="H290" s="189"/>
      <c r="I290" s="190"/>
      <c r="J290" s="186"/>
      <c r="K290" s="189"/>
      <c r="L290" s="190"/>
    </row>
    <row r="291" spans="2:12" ht="15.75" customHeight="1" x14ac:dyDescent="0.3">
      <c r="B291" s="189"/>
      <c r="C291" s="190"/>
      <c r="D291" s="186"/>
      <c r="E291" s="189"/>
      <c r="F291" s="190"/>
      <c r="G291" s="186"/>
      <c r="H291" s="189"/>
      <c r="I291" s="190"/>
      <c r="J291" s="186"/>
      <c r="K291" s="189"/>
      <c r="L291" s="190"/>
    </row>
    <row r="292" spans="2:12" ht="15.75" customHeight="1" x14ac:dyDescent="0.3">
      <c r="B292" s="189"/>
      <c r="C292" s="190"/>
      <c r="D292" s="186"/>
      <c r="E292" s="189"/>
      <c r="F292" s="190"/>
      <c r="G292" s="186"/>
      <c r="H292" s="189"/>
      <c r="I292" s="190"/>
      <c r="J292" s="186"/>
      <c r="K292" s="189"/>
      <c r="L292" s="190"/>
    </row>
    <row r="293" spans="2:12" ht="15.75" customHeight="1" x14ac:dyDescent="0.3">
      <c r="B293" s="182"/>
      <c r="E293" s="182"/>
      <c r="H293" s="182"/>
      <c r="K293" s="182"/>
    </row>
    <row r="294" spans="2:12" ht="15.75" customHeight="1" x14ac:dyDescent="0.3">
      <c r="B294" s="182"/>
      <c r="E294" s="182"/>
      <c r="H294" s="182"/>
      <c r="K294" s="182"/>
    </row>
    <row r="295" spans="2:12" ht="15.75" customHeight="1" x14ac:dyDescent="0.3">
      <c r="B295" s="182"/>
      <c r="E295" s="182"/>
      <c r="H295" s="182"/>
      <c r="K295" s="182"/>
    </row>
    <row r="296" spans="2:12" ht="15.75" customHeight="1" x14ac:dyDescent="0.3">
      <c r="B296" s="318" t="s">
        <v>1727</v>
      </c>
      <c r="C296" s="232"/>
      <c r="D296" s="232"/>
      <c r="E296" s="232"/>
      <c r="F296" s="232"/>
      <c r="G296" s="232"/>
      <c r="H296" s="232"/>
      <c r="I296" s="232"/>
      <c r="J296" s="232"/>
      <c r="K296" s="232"/>
      <c r="L296" s="233"/>
    </row>
    <row r="297" spans="2:12" ht="15.75" customHeight="1" x14ac:dyDescent="0.3">
      <c r="B297" s="319" t="s">
        <v>1488</v>
      </c>
      <c r="C297" s="273"/>
      <c r="D297" s="186"/>
      <c r="E297" s="319" t="s">
        <v>1489</v>
      </c>
      <c r="F297" s="273"/>
      <c r="G297" s="186"/>
      <c r="H297" s="319" t="s">
        <v>1490</v>
      </c>
      <c r="I297" s="273"/>
      <c r="J297" s="186"/>
      <c r="K297" s="319" t="s">
        <v>1491</v>
      </c>
      <c r="L297" s="273"/>
    </row>
    <row r="298" spans="2:12" ht="15.75" customHeight="1" x14ac:dyDescent="0.3">
      <c r="B298" s="187" t="s">
        <v>1493</v>
      </c>
      <c r="C298" s="187" t="s">
        <v>1494</v>
      </c>
      <c r="D298" s="188"/>
      <c r="E298" s="187" t="s">
        <v>1493</v>
      </c>
      <c r="F298" s="187" t="s">
        <v>1494</v>
      </c>
      <c r="G298" s="188"/>
      <c r="H298" s="187" t="s">
        <v>1493</v>
      </c>
      <c r="I298" s="187" t="s">
        <v>1494</v>
      </c>
      <c r="J298" s="188"/>
      <c r="K298" s="187" t="s">
        <v>1493</v>
      </c>
      <c r="L298" s="187" t="s">
        <v>1494</v>
      </c>
    </row>
    <row r="299" spans="2:12" ht="15.75" customHeight="1" x14ac:dyDescent="0.3">
      <c r="B299" s="189"/>
      <c r="C299" s="190"/>
      <c r="D299" s="186"/>
      <c r="E299" s="189"/>
      <c r="F299" s="190"/>
      <c r="G299" s="186"/>
      <c r="H299" s="189"/>
      <c r="I299" s="190"/>
      <c r="J299" s="186"/>
      <c r="K299" s="189"/>
      <c r="L299" s="190"/>
    </row>
    <row r="300" spans="2:12" ht="15.75" customHeight="1" x14ac:dyDescent="0.3">
      <c r="B300" s="189" t="s">
        <v>1728</v>
      </c>
      <c r="C300" s="190">
        <v>0.2</v>
      </c>
      <c r="D300" s="186"/>
      <c r="E300" s="189" t="s">
        <v>1728</v>
      </c>
      <c r="F300" s="190">
        <v>0.2</v>
      </c>
      <c r="G300" s="186"/>
      <c r="H300" s="189" t="s">
        <v>1728</v>
      </c>
      <c r="I300" s="190">
        <v>0.2</v>
      </c>
      <c r="J300" s="186"/>
      <c r="K300" s="189" t="s">
        <v>1728</v>
      </c>
      <c r="L300" s="190">
        <v>0.2</v>
      </c>
    </row>
    <row r="301" spans="2:12" ht="15.75" customHeight="1" x14ac:dyDescent="0.3">
      <c r="B301" s="189" t="s">
        <v>1729</v>
      </c>
      <c r="C301" s="190">
        <v>0.05</v>
      </c>
      <c r="D301" s="186"/>
      <c r="E301" s="189" t="s">
        <v>1729</v>
      </c>
      <c r="F301" s="190">
        <v>0.05</v>
      </c>
      <c r="G301" s="186"/>
      <c r="H301" s="189" t="s">
        <v>1730</v>
      </c>
      <c r="I301" s="190">
        <v>0.2</v>
      </c>
      <c r="J301" s="186"/>
      <c r="K301" s="189" t="s">
        <v>1729</v>
      </c>
      <c r="L301" s="190">
        <v>0.05</v>
      </c>
    </row>
    <row r="302" spans="2:12" ht="15.75" customHeight="1" x14ac:dyDescent="0.3">
      <c r="B302" s="189" t="s">
        <v>1731</v>
      </c>
      <c r="C302" s="190">
        <v>0.1</v>
      </c>
      <c r="D302" s="186"/>
      <c r="E302" s="189" t="s">
        <v>1732</v>
      </c>
      <c r="F302" s="190">
        <v>0.1</v>
      </c>
      <c r="G302" s="186"/>
      <c r="H302" s="189" t="s">
        <v>1733</v>
      </c>
      <c r="I302" s="190">
        <v>0.1</v>
      </c>
      <c r="J302" s="186"/>
      <c r="K302" s="189" t="s">
        <v>1734</v>
      </c>
      <c r="L302" s="190">
        <v>0.3</v>
      </c>
    </row>
    <row r="303" spans="2:12" ht="15.75" customHeight="1" x14ac:dyDescent="0.3">
      <c r="B303" s="189" t="s">
        <v>111</v>
      </c>
      <c r="C303" s="190">
        <v>0.1</v>
      </c>
      <c r="D303" s="186"/>
      <c r="E303" s="189" t="s">
        <v>1735</v>
      </c>
      <c r="F303" s="190">
        <v>0.1</v>
      </c>
      <c r="G303" s="186"/>
      <c r="H303" s="189" t="s">
        <v>1736</v>
      </c>
      <c r="I303" s="190">
        <v>0.4</v>
      </c>
      <c r="J303" s="186"/>
      <c r="K303" s="189" t="s">
        <v>1737</v>
      </c>
      <c r="L303" s="190">
        <v>0.15</v>
      </c>
    </row>
    <row r="304" spans="2:12" ht="15.75" customHeight="1" x14ac:dyDescent="0.3">
      <c r="B304" s="189" t="s">
        <v>1738</v>
      </c>
      <c r="C304" s="190">
        <v>0.15</v>
      </c>
      <c r="D304" s="186"/>
      <c r="E304" s="189" t="s">
        <v>1739</v>
      </c>
      <c r="F304" s="190">
        <v>0.5</v>
      </c>
      <c r="G304" s="186"/>
      <c r="H304" s="189" t="s">
        <v>1740</v>
      </c>
      <c r="I304" s="190">
        <v>1.5</v>
      </c>
      <c r="J304" s="186"/>
      <c r="K304" s="189" t="s">
        <v>1741</v>
      </c>
      <c r="L304" s="190">
        <v>0.3</v>
      </c>
    </row>
    <row r="305" spans="2:12" ht="15.75" customHeight="1" x14ac:dyDescent="0.3">
      <c r="B305" s="189" t="s">
        <v>1742</v>
      </c>
      <c r="C305" s="190">
        <v>0.15</v>
      </c>
      <c r="D305" s="186"/>
      <c r="E305" s="189" t="s">
        <v>1743</v>
      </c>
      <c r="F305" s="190">
        <v>0.1</v>
      </c>
      <c r="G305" s="186"/>
      <c r="H305" s="189" t="s">
        <v>1729</v>
      </c>
      <c r="I305" s="190">
        <v>0.05</v>
      </c>
      <c r="J305" s="186"/>
      <c r="K305" s="189" t="s">
        <v>1744</v>
      </c>
      <c r="L305" s="190">
        <v>0.15</v>
      </c>
    </row>
    <row r="306" spans="2:12" ht="15.75" customHeight="1" x14ac:dyDescent="0.3">
      <c r="B306" s="189" t="s">
        <v>1745</v>
      </c>
      <c r="C306" s="190">
        <v>0.3</v>
      </c>
      <c r="D306" s="186"/>
      <c r="E306" s="189" t="s">
        <v>1746</v>
      </c>
      <c r="F306" s="190">
        <v>0.25</v>
      </c>
      <c r="G306" s="186"/>
      <c r="H306" s="189" t="s">
        <v>1747</v>
      </c>
      <c r="I306" s="190">
        <v>0.1</v>
      </c>
      <c r="J306" s="186"/>
      <c r="K306" s="189" t="s">
        <v>1748</v>
      </c>
      <c r="L306" s="190">
        <v>0.5</v>
      </c>
    </row>
    <row r="307" spans="2:12" ht="15.75" customHeight="1" x14ac:dyDescent="0.3">
      <c r="B307" s="189" t="s">
        <v>1749</v>
      </c>
      <c r="C307" s="190">
        <v>0.6</v>
      </c>
      <c r="D307" s="186"/>
      <c r="E307" s="189" t="s">
        <v>1750</v>
      </c>
      <c r="F307" s="190">
        <v>0.1</v>
      </c>
      <c r="G307" s="186"/>
      <c r="H307" s="189" t="s">
        <v>1751</v>
      </c>
      <c r="I307" s="190">
        <v>0.1</v>
      </c>
      <c r="J307" s="186"/>
      <c r="K307" s="189" t="s">
        <v>1752</v>
      </c>
      <c r="L307" s="190">
        <v>0.2</v>
      </c>
    </row>
    <row r="308" spans="2:12" ht="15.75" customHeight="1" x14ac:dyDescent="0.3">
      <c r="B308" s="189" t="s">
        <v>1753</v>
      </c>
      <c r="C308" s="190">
        <v>0.5</v>
      </c>
      <c r="D308" s="186"/>
      <c r="E308" s="189" t="s">
        <v>1754</v>
      </c>
      <c r="F308" s="190">
        <v>0.3</v>
      </c>
      <c r="G308" s="186"/>
      <c r="H308" s="189" t="s">
        <v>1755</v>
      </c>
      <c r="I308" s="190">
        <v>0.2</v>
      </c>
      <c r="J308" s="186"/>
      <c r="K308" s="189" t="s">
        <v>1756</v>
      </c>
      <c r="L308" s="190">
        <v>0.1</v>
      </c>
    </row>
    <row r="309" spans="2:12" ht="15.75" customHeight="1" x14ac:dyDescent="0.3">
      <c r="B309" s="189" t="s">
        <v>344</v>
      </c>
      <c r="C309" s="190">
        <v>2.5000000000000001E-2</v>
      </c>
      <c r="D309" s="186"/>
      <c r="E309" s="189"/>
      <c r="F309" s="190"/>
      <c r="G309" s="186"/>
      <c r="H309" s="189" t="s">
        <v>1757</v>
      </c>
      <c r="I309" s="190">
        <v>0.4</v>
      </c>
      <c r="J309" s="186"/>
      <c r="K309" s="189" t="s">
        <v>1758</v>
      </c>
      <c r="L309" s="190">
        <v>0.05</v>
      </c>
    </row>
    <row r="310" spans="2:12" ht="15.75" customHeight="1" x14ac:dyDescent="0.3">
      <c r="B310" s="189"/>
      <c r="C310" s="190"/>
      <c r="D310" s="186"/>
      <c r="E310" s="189"/>
      <c r="F310" s="190"/>
      <c r="G310" s="186"/>
      <c r="H310" s="189" t="s">
        <v>1759</v>
      </c>
      <c r="I310" s="190">
        <v>0.2</v>
      </c>
      <c r="J310" s="186"/>
      <c r="K310" s="189" t="s">
        <v>1760</v>
      </c>
      <c r="L310" s="190">
        <v>0.1</v>
      </c>
    </row>
    <row r="311" spans="2:12" ht="15.75" customHeight="1" x14ac:dyDescent="0.3">
      <c r="B311" s="189"/>
      <c r="C311" s="190"/>
      <c r="D311" s="186"/>
      <c r="E311" s="189"/>
      <c r="F311" s="190"/>
      <c r="G311" s="186"/>
      <c r="H311" s="189" t="s">
        <v>1732</v>
      </c>
      <c r="I311" s="190">
        <v>0.05</v>
      </c>
      <c r="J311" s="186"/>
      <c r="K311" s="189" t="s">
        <v>1761</v>
      </c>
      <c r="L311" s="190">
        <v>0.15</v>
      </c>
    </row>
    <row r="312" spans="2:12" ht="15.75" customHeight="1" x14ac:dyDescent="0.3">
      <c r="B312" s="189"/>
      <c r="C312" s="190"/>
      <c r="D312" s="186"/>
      <c r="E312" s="189"/>
      <c r="F312" s="190"/>
      <c r="G312" s="186"/>
      <c r="H312" s="189" t="s">
        <v>1762</v>
      </c>
      <c r="I312" s="190">
        <v>0.1</v>
      </c>
      <c r="J312" s="186"/>
      <c r="K312" s="189" t="s">
        <v>1763</v>
      </c>
      <c r="L312" s="190">
        <v>0.3</v>
      </c>
    </row>
    <row r="313" spans="2:12" ht="15.75" customHeight="1" x14ac:dyDescent="0.3">
      <c r="B313" s="189"/>
      <c r="C313" s="190"/>
      <c r="D313" s="186"/>
      <c r="E313" s="189"/>
      <c r="F313" s="190"/>
      <c r="G313" s="186"/>
      <c r="H313" s="189" t="s">
        <v>1764</v>
      </c>
      <c r="I313" s="190">
        <v>0.25</v>
      </c>
      <c r="J313" s="186"/>
      <c r="K313" s="189" t="s">
        <v>1765</v>
      </c>
      <c r="L313" s="190">
        <v>0.4</v>
      </c>
    </row>
    <row r="314" spans="2:12" ht="15.75" customHeight="1" x14ac:dyDescent="0.3">
      <c r="B314" s="189"/>
      <c r="C314" s="190"/>
      <c r="D314" s="186"/>
      <c r="E314" s="189"/>
      <c r="F314" s="190"/>
      <c r="G314" s="186"/>
      <c r="H314" s="189"/>
      <c r="I314" s="190"/>
      <c r="J314" s="186"/>
      <c r="K314" s="189" t="s">
        <v>1766</v>
      </c>
      <c r="L314" s="190">
        <v>0.25</v>
      </c>
    </row>
    <row r="315" spans="2:12" ht="15.75" customHeight="1" x14ac:dyDescent="0.3">
      <c r="B315" s="189"/>
      <c r="C315" s="190"/>
      <c r="D315" s="186"/>
      <c r="E315" s="189"/>
      <c r="F315" s="190"/>
      <c r="G315" s="186"/>
      <c r="H315" s="189"/>
      <c r="I315" s="190"/>
      <c r="J315" s="186"/>
      <c r="K315" s="189" t="s">
        <v>1767</v>
      </c>
      <c r="L315" s="190">
        <v>0.2</v>
      </c>
    </row>
    <row r="316" spans="2:12" ht="15.75" customHeight="1" x14ac:dyDescent="0.3">
      <c r="B316" s="189"/>
      <c r="C316" s="190"/>
      <c r="D316" s="186"/>
      <c r="E316" s="189"/>
      <c r="F316" s="190"/>
      <c r="G316" s="186"/>
      <c r="H316" s="189"/>
      <c r="I316" s="190"/>
      <c r="J316" s="186"/>
      <c r="K316" s="189" t="s">
        <v>1768</v>
      </c>
      <c r="L316" s="190">
        <v>0.2</v>
      </c>
    </row>
    <row r="317" spans="2:12" ht="15.75" customHeight="1" x14ac:dyDescent="0.3">
      <c r="B317" s="189"/>
      <c r="C317" s="190"/>
      <c r="D317" s="186"/>
      <c r="E317" s="189"/>
      <c r="F317" s="190"/>
      <c r="G317" s="186"/>
      <c r="H317" s="189"/>
      <c r="I317" s="190"/>
      <c r="J317" s="186"/>
      <c r="K317" s="189" t="s">
        <v>363</v>
      </c>
      <c r="L317" s="190">
        <v>0.2</v>
      </c>
    </row>
    <row r="318" spans="2:12" ht="15.75" customHeight="1" x14ac:dyDescent="0.3">
      <c r="B318" s="189"/>
      <c r="C318" s="190"/>
      <c r="D318" s="186"/>
      <c r="E318" s="189"/>
      <c r="F318" s="190"/>
      <c r="G318" s="186"/>
      <c r="H318" s="189"/>
      <c r="I318" s="190"/>
      <c r="J318" s="186"/>
      <c r="K318" s="189" t="s">
        <v>1769</v>
      </c>
      <c r="L318" s="190">
        <v>7.4999999999999997E-2</v>
      </c>
    </row>
    <row r="319" spans="2:12" ht="15.75" customHeight="1" x14ac:dyDescent="0.3">
      <c r="B319" s="189"/>
      <c r="C319" s="190"/>
      <c r="D319" s="186"/>
      <c r="E319" s="189"/>
      <c r="F319" s="190"/>
      <c r="G319" s="186"/>
      <c r="H319" s="189"/>
      <c r="I319" s="190"/>
      <c r="J319" s="186"/>
      <c r="K319" s="189" t="s">
        <v>1770</v>
      </c>
      <c r="L319" s="190">
        <v>0.05</v>
      </c>
    </row>
    <row r="320" spans="2:12" ht="15.75" customHeight="1" x14ac:dyDescent="0.3">
      <c r="B320" s="189"/>
      <c r="C320" s="190"/>
      <c r="D320" s="186"/>
      <c r="E320" s="189"/>
      <c r="F320" s="190"/>
      <c r="G320" s="186"/>
      <c r="H320" s="189"/>
      <c r="I320" s="190"/>
      <c r="J320" s="186"/>
      <c r="K320" s="189" t="s">
        <v>1771</v>
      </c>
      <c r="L320" s="190">
        <v>0.05</v>
      </c>
    </row>
    <row r="321" spans="2:12" ht="15.75" customHeight="1" x14ac:dyDescent="0.3">
      <c r="B321" s="189"/>
      <c r="C321" s="190"/>
      <c r="D321" s="186"/>
      <c r="E321" s="189"/>
      <c r="F321" s="190"/>
      <c r="G321" s="186"/>
      <c r="H321" s="189"/>
      <c r="I321" s="190"/>
      <c r="J321" s="186"/>
      <c r="K321" s="189" t="s">
        <v>1772</v>
      </c>
      <c r="L321" s="190">
        <v>0.1</v>
      </c>
    </row>
    <row r="322" spans="2:12" ht="15.75" customHeight="1" x14ac:dyDescent="0.3">
      <c r="B322" s="189"/>
      <c r="C322" s="190"/>
      <c r="D322" s="186"/>
      <c r="E322" s="189"/>
      <c r="F322" s="190"/>
      <c r="G322" s="186"/>
      <c r="H322" s="189"/>
      <c r="I322" s="190"/>
      <c r="J322" s="186"/>
      <c r="K322" s="189" t="s">
        <v>1773</v>
      </c>
      <c r="L322" s="190">
        <v>0.2</v>
      </c>
    </row>
    <row r="323" spans="2:12" ht="15.75" customHeight="1" x14ac:dyDescent="0.3">
      <c r="B323" s="189"/>
      <c r="C323" s="190"/>
      <c r="D323" s="186"/>
      <c r="E323" s="189"/>
      <c r="F323" s="190"/>
      <c r="G323" s="186"/>
      <c r="H323" s="189"/>
      <c r="I323" s="190"/>
      <c r="J323" s="186"/>
      <c r="K323" s="189" t="s">
        <v>1774</v>
      </c>
      <c r="L323" s="190">
        <v>0.3</v>
      </c>
    </row>
    <row r="324" spans="2:12" ht="15.75" customHeight="1" x14ac:dyDescent="0.3">
      <c r="B324" s="189"/>
      <c r="C324" s="190"/>
      <c r="D324" s="186"/>
      <c r="E324" s="189"/>
      <c r="F324" s="190"/>
      <c r="G324" s="186"/>
      <c r="H324" s="189"/>
      <c r="I324" s="190"/>
      <c r="J324" s="186"/>
      <c r="K324" s="189"/>
      <c r="L324" s="190"/>
    </row>
    <row r="325" spans="2:12" ht="15.75" customHeight="1" x14ac:dyDescent="0.3">
      <c r="B325" s="189"/>
      <c r="C325" s="190"/>
      <c r="D325" s="186"/>
      <c r="E325" s="189"/>
      <c r="F325" s="190"/>
      <c r="G325" s="186"/>
      <c r="H325" s="189"/>
      <c r="I325" s="190"/>
      <c r="J325" s="186"/>
      <c r="K325" s="189"/>
      <c r="L325" s="190"/>
    </row>
    <row r="326" spans="2:12" ht="15.75" customHeight="1" x14ac:dyDescent="0.3">
      <c r="B326" s="189"/>
      <c r="C326" s="190"/>
      <c r="D326" s="186"/>
      <c r="E326" s="189"/>
      <c r="F326" s="190"/>
      <c r="G326" s="186"/>
      <c r="H326" s="189"/>
      <c r="I326" s="190"/>
      <c r="J326" s="186"/>
      <c r="K326" s="189"/>
      <c r="L326" s="190"/>
    </row>
    <row r="327" spans="2:12" ht="15.75" customHeight="1" x14ac:dyDescent="0.3">
      <c r="B327" s="189"/>
      <c r="C327" s="190"/>
      <c r="D327" s="186"/>
      <c r="E327" s="189"/>
      <c r="F327" s="190"/>
      <c r="G327" s="186"/>
      <c r="H327" s="189"/>
      <c r="I327" s="190"/>
      <c r="J327" s="186"/>
      <c r="K327" s="189"/>
      <c r="L327" s="190"/>
    </row>
    <row r="328" spans="2:12" ht="15.75" customHeight="1" x14ac:dyDescent="0.3">
      <c r="B328" s="189"/>
      <c r="C328" s="190"/>
      <c r="D328" s="186"/>
      <c r="E328" s="189"/>
      <c r="F328" s="190"/>
      <c r="G328" s="186"/>
      <c r="H328" s="189"/>
      <c r="I328" s="190"/>
      <c r="J328" s="186"/>
      <c r="K328" s="189"/>
      <c r="L328" s="190"/>
    </row>
    <row r="329" spans="2:12" ht="15.75" customHeight="1" x14ac:dyDescent="0.3">
      <c r="B329" s="182"/>
      <c r="E329" s="182"/>
      <c r="H329" s="182"/>
      <c r="K329" s="182"/>
    </row>
    <row r="330" spans="2:12" ht="15.75" customHeight="1" x14ac:dyDescent="0.3">
      <c r="B330" s="182"/>
      <c r="E330" s="182"/>
      <c r="H330" s="182"/>
      <c r="K330" s="182"/>
    </row>
    <row r="331" spans="2:12" ht="15.75" customHeight="1" x14ac:dyDescent="0.3">
      <c r="B331" s="182"/>
      <c r="E331" s="182"/>
      <c r="H331" s="182"/>
      <c r="K331" s="182"/>
    </row>
    <row r="332" spans="2:12" ht="15.75" customHeight="1" x14ac:dyDescent="0.3">
      <c r="B332" s="318" t="s">
        <v>1775</v>
      </c>
      <c r="C332" s="232"/>
      <c r="D332" s="233"/>
      <c r="E332" s="182"/>
      <c r="H332" s="182"/>
      <c r="K332" s="182"/>
    </row>
    <row r="333" spans="2:12" ht="15.75" customHeight="1" x14ac:dyDescent="0.3">
      <c r="B333" s="203" t="s">
        <v>1776</v>
      </c>
      <c r="C333" s="204" t="s">
        <v>1777</v>
      </c>
      <c r="D333" s="204" t="s">
        <v>1778</v>
      </c>
      <c r="E333" s="182"/>
      <c r="H333" s="182"/>
      <c r="K333" s="182"/>
    </row>
    <row r="334" spans="2:12" ht="15.75" customHeight="1" x14ac:dyDescent="0.3">
      <c r="B334" s="196"/>
      <c r="C334" s="197"/>
      <c r="D334" s="190"/>
      <c r="E334" s="182"/>
      <c r="H334" s="182"/>
      <c r="K334" s="182"/>
    </row>
    <row r="335" spans="2:12" ht="15.75" customHeight="1" x14ac:dyDescent="0.3">
      <c r="B335" s="196" t="s">
        <v>1779</v>
      </c>
      <c r="C335" s="197" t="s">
        <v>1780</v>
      </c>
      <c r="D335" s="190">
        <v>0</v>
      </c>
      <c r="E335" s="182"/>
      <c r="H335" s="182"/>
      <c r="K335" s="182"/>
    </row>
    <row r="336" spans="2:12" ht="15.75" customHeight="1" x14ac:dyDescent="0.3">
      <c r="B336" s="196" t="s">
        <v>1781</v>
      </c>
      <c r="C336" s="197" t="s">
        <v>1780</v>
      </c>
      <c r="D336" s="190">
        <v>0</v>
      </c>
      <c r="E336" s="182"/>
      <c r="H336" s="182"/>
      <c r="K336" s="182"/>
    </row>
    <row r="337" spans="2:4" ht="15.75" customHeight="1" x14ac:dyDescent="0.3">
      <c r="B337" s="196" t="s">
        <v>1782</v>
      </c>
      <c r="C337" s="197" t="s">
        <v>1780</v>
      </c>
      <c r="D337" s="190">
        <v>0</v>
      </c>
    </row>
    <row r="338" spans="2:4" ht="15.75" customHeight="1" x14ac:dyDescent="0.3">
      <c r="B338" s="196" t="s">
        <v>1783</v>
      </c>
      <c r="C338" s="197" t="s">
        <v>1780</v>
      </c>
      <c r="D338" s="190">
        <v>0</v>
      </c>
    </row>
    <row r="339" spans="2:4" ht="15.75" customHeight="1" x14ac:dyDescent="0.3">
      <c r="B339" s="196" t="s">
        <v>1784</v>
      </c>
      <c r="C339" s="197" t="s">
        <v>1785</v>
      </c>
      <c r="D339" s="190">
        <v>0</v>
      </c>
    </row>
    <row r="340" spans="2:4" ht="15.75" customHeight="1" x14ac:dyDescent="0.3">
      <c r="B340" s="196" t="s">
        <v>1786</v>
      </c>
      <c r="C340" s="197" t="s">
        <v>1780</v>
      </c>
      <c r="D340" s="190">
        <v>1</v>
      </c>
    </row>
    <row r="341" spans="2:4" ht="15.75" customHeight="1" x14ac:dyDescent="0.3">
      <c r="B341" s="196" t="s">
        <v>1787</v>
      </c>
      <c r="C341" s="197" t="s">
        <v>1785</v>
      </c>
      <c r="D341" s="190">
        <v>0</v>
      </c>
    </row>
    <row r="342" spans="2:4" ht="15.75" customHeight="1" x14ac:dyDescent="0.3">
      <c r="B342" s="196" t="s">
        <v>1788</v>
      </c>
      <c r="C342" s="197" t="s">
        <v>1780</v>
      </c>
      <c r="D342" s="190">
        <v>1</v>
      </c>
    </row>
    <row r="343" spans="2:4" ht="15.75" customHeight="1" x14ac:dyDescent="0.3">
      <c r="B343" s="196" t="s">
        <v>1789</v>
      </c>
      <c r="C343" s="197" t="s">
        <v>1780</v>
      </c>
      <c r="D343" s="190">
        <v>1</v>
      </c>
    </row>
    <row r="344" spans="2:4" ht="15.75" customHeight="1" x14ac:dyDescent="0.3">
      <c r="B344" s="196" t="s">
        <v>1790</v>
      </c>
      <c r="C344" s="197" t="s">
        <v>1780</v>
      </c>
      <c r="D344" s="190">
        <v>1</v>
      </c>
    </row>
    <row r="345" spans="2:4" ht="15.75" customHeight="1" x14ac:dyDescent="0.3">
      <c r="B345" s="196" t="s">
        <v>1791</v>
      </c>
      <c r="C345" s="197" t="s">
        <v>1780</v>
      </c>
      <c r="D345" s="190">
        <v>1</v>
      </c>
    </row>
    <row r="346" spans="2:4" ht="15.75" customHeight="1" x14ac:dyDescent="0.3">
      <c r="B346" s="196" t="s">
        <v>1792</v>
      </c>
      <c r="C346" s="197" t="s">
        <v>1780</v>
      </c>
      <c r="D346" s="190">
        <v>1</v>
      </c>
    </row>
    <row r="347" spans="2:4" ht="15.75" customHeight="1" x14ac:dyDescent="0.3">
      <c r="B347" s="196" t="s">
        <v>1793</v>
      </c>
      <c r="C347" s="197" t="s">
        <v>1780</v>
      </c>
      <c r="D347" s="190">
        <v>1</v>
      </c>
    </row>
    <row r="348" spans="2:4" ht="15.75" customHeight="1" x14ac:dyDescent="0.3">
      <c r="B348" s="196" t="s">
        <v>1794</v>
      </c>
      <c r="C348" s="197" t="s">
        <v>1785</v>
      </c>
      <c r="D348" s="190">
        <v>0</v>
      </c>
    </row>
    <row r="349" spans="2:4" ht="15.75" customHeight="1" x14ac:dyDescent="0.3">
      <c r="B349" s="196" t="s">
        <v>1795</v>
      </c>
      <c r="C349" s="197" t="s">
        <v>1780</v>
      </c>
      <c r="D349" s="190">
        <v>1</v>
      </c>
    </row>
    <row r="350" spans="2:4" ht="15.75" customHeight="1" x14ac:dyDescent="0.3">
      <c r="B350" s="196" t="s">
        <v>1796</v>
      </c>
      <c r="C350" s="197" t="s">
        <v>1785</v>
      </c>
      <c r="D350" s="190">
        <v>0</v>
      </c>
    </row>
    <row r="351" spans="2:4" ht="15.75" customHeight="1" x14ac:dyDescent="0.3">
      <c r="B351" s="196" t="s">
        <v>1797</v>
      </c>
      <c r="C351" s="197" t="s">
        <v>1780</v>
      </c>
      <c r="D351" s="190">
        <v>1</v>
      </c>
    </row>
    <row r="352" spans="2:4" ht="15.75" customHeight="1" x14ac:dyDescent="0.3">
      <c r="B352" s="196" t="s">
        <v>1798</v>
      </c>
      <c r="C352" s="197" t="s">
        <v>1780</v>
      </c>
      <c r="D352" s="190">
        <v>1</v>
      </c>
    </row>
    <row r="353" spans="2:4" ht="15.75" customHeight="1" x14ac:dyDescent="0.3">
      <c r="B353" s="196" t="s">
        <v>1799</v>
      </c>
      <c r="C353" s="197" t="s">
        <v>1780</v>
      </c>
      <c r="D353" s="190">
        <v>1</v>
      </c>
    </row>
    <row r="354" spans="2:4" ht="15.75" customHeight="1" x14ac:dyDescent="0.3">
      <c r="B354" s="196" t="s">
        <v>1800</v>
      </c>
      <c r="C354" s="197" t="s">
        <v>1780</v>
      </c>
      <c r="D354" s="190">
        <v>1</v>
      </c>
    </row>
    <row r="355" spans="2:4" ht="15.75" customHeight="1" x14ac:dyDescent="0.3">
      <c r="B355" s="196" t="s">
        <v>1801</v>
      </c>
      <c r="C355" s="197" t="s">
        <v>1780</v>
      </c>
      <c r="D355" s="190">
        <v>0</v>
      </c>
    </row>
    <row r="356" spans="2:4" ht="15.75" customHeight="1" x14ac:dyDescent="0.3">
      <c r="B356" s="196" t="s">
        <v>1802</v>
      </c>
      <c r="C356" s="197" t="s">
        <v>1780</v>
      </c>
      <c r="D356" s="190">
        <v>0</v>
      </c>
    </row>
    <row r="357" spans="2:4" ht="15.75" customHeight="1" x14ac:dyDescent="0.3">
      <c r="B357" s="196" t="s">
        <v>1803</v>
      </c>
      <c r="C357" s="197" t="s">
        <v>1780</v>
      </c>
      <c r="D357" s="190">
        <v>0</v>
      </c>
    </row>
    <row r="358" spans="2:4" ht="15.75" customHeight="1" x14ac:dyDescent="0.3">
      <c r="B358" s="196" t="s">
        <v>1804</v>
      </c>
      <c r="C358" s="197" t="s">
        <v>1780</v>
      </c>
      <c r="D358" s="190">
        <v>0</v>
      </c>
    </row>
    <row r="359" spans="2:4" ht="15.75" customHeight="1" x14ac:dyDescent="0.3">
      <c r="B359" s="196" t="s">
        <v>1805</v>
      </c>
      <c r="C359" s="197" t="s">
        <v>1780</v>
      </c>
      <c r="D359" s="190">
        <v>0</v>
      </c>
    </row>
    <row r="360" spans="2:4" ht="15.75" customHeight="1" x14ac:dyDescent="0.3">
      <c r="B360" s="196" t="s">
        <v>1806</v>
      </c>
      <c r="C360" s="197" t="s">
        <v>1785</v>
      </c>
      <c r="D360" s="190">
        <v>0</v>
      </c>
    </row>
    <row r="361" spans="2:4" ht="15.75" customHeight="1" x14ac:dyDescent="0.3">
      <c r="B361" s="196" t="s">
        <v>1807</v>
      </c>
      <c r="C361" s="197" t="s">
        <v>1780</v>
      </c>
      <c r="D361" s="190">
        <v>0</v>
      </c>
    </row>
    <row r="362" spans="2:4" ht="15.75" customHeight="1" x14ac:dyDescent="0.3">
      <c r="B362" s="196" t="s">
        <v>1808</v>
      </c>
      <c r="C362" s="197" t="s">
        <v>1785</v>
      </c>
      <c r="D362" s="190">
        <v>0</v>
      </c>
    </row>
    <row r="363" spans="2:4" ht="15.75" customHeight="1" x14ac:dyDescent="0.3">
      <c r="B363" s="196" t="s">
        <v>1809</v>
      </c>
      <c r="C363" s="197" t="s">
        <v>1785</v>
      </c>
      <c r="D363" s="190">
        <v>0</v>
      </c>
    </row>
    <row r="364" spans="2:4" ht="15.75" customHeight="1" x14ac:dyDescent="0.3">
      <c r="B364" s="196" t="s">
        <v>1810</v>
      </c>
      <c r="C364" s="197" t="s">
        <v>1780</v>
      </c>
      <c r="D364" s="190">
        <v>0</v>
      </c>
    </row>
    <row r="365" spans="2:4" ht="15.75" customHeight="1" x14ac:dyDescent="0.3">
      <c r="B365" s="196" t="s">
        <v>1811</v>
      </c>
      <c r="C365" s="197" t="s">
        <v>1780</v>
      </c>
      <c r="D365" s="190">
        <v>0</v>
      </c>
    </row>
    <row r="366" spans="2:4" ht="15.75" customHeight="1" x14ac:dyDescent="0.3">
      <c r="B366" s="196" t="s">
        <v>1812</v>
      </c>
      <c r="C366" s="197" t="s">
        <v>1780</v>
      </c>
      <c r="D366" s="190">
        <v>0</v>
      </c>
    </row>
    <row r="367" spans="2:4" ht="15.75" customHeight="1" x14ac:dyDescent="0.3">
      <c r="B367" s="196"/>
      <c r="C367" s="197"/>
      <c r="D367" s="190"/>
    </row>
    <row r="368" spans="2:4" ht="15.75" customHeight="1" x14ac:dyDescent="0.3">
      <c r="B368" s="196"/>
      <c r="C368" s="197"/>
      <c r="D368" s="190"/>
    </row>
    <row r="369" spans="2:4" ht="15.75" customHeight="1" x14ac:dyDescent="0.3">
      <c r="B369" s="196"/>
      <c r="C369" s="197"/>
      <c r="D369" s="190"/>
    </row>
    <row r="370" spans="2:4" ht="15.75" customHeight="1" x14ac:dyDescent="0.3">
      <c r="B370" s="196"/>
      <c r="C370" s="197"/>
      <c r="D370" s="190"/>
    </row>
    <row r="371" spans="2:4" ht="15.75" customHeight="1" x14ac:dyDescent="0.3">
      <c r="B371" s="196"/>
      <c r="C371" s="197"/>
      <c r="D371" s="190"/>
    </row>
    <row r="372" spans="2:4" ht="15.75" customHeight="1" x14ac:dyDescent="0.3">
      <c r="B372" s="196"/>
      <c r="C372" s="197"/>
      <c r="D372" s="190"/>
    </row>
    <row r="373" spans="2:4" ht="15.75" customHeight="1" x14ac:dyDescent="0.3">
      <c r="B373" s="196"/>
      <c r="C373" s="197"/>
      <c r="D373" s="190"/>
    </row>
  </sheetData>
  <mergeCells count="42">
    <mergeCell ref="B1:L1"/>
    <mergeCell ref="B2:C2"/>
    <mergeCell ref="E2:F2"/>
    <mergeCell ref="H2:I2"/>
    <mergeCell ref="K2:L2"/>
    <mergeCell ref="Q2:R2"/>
    <mergeCell ref="B35:L35"/>
    <mergeCell ref="B36:C36"/>
    <mergeCell ref="E36:F36"/>
    <mergeCell ref="H36:I36"/>
    <mergeCell ref="K36:L36"/>
    <mergeCell ref="B74:L74"/>
    <mergeCell ref="B75:C75"/>
    <mergeCell ref="E75:F75"/>
    <mergeCell ref="H75:I75"/>
    <mergeCell ref="K75:L75"/>
    <mergeCell ref="B98:P98"/>
    <mergeCell ref="B99:D99"/>
    <mergeCell ref="F99:H99"/>
    <mergeCell ref="J99:L99"/>
    <mergeCell ref="N99:P99"/>
    <mergeCell ref="B144:P144"/>
    <mergeCell ref="B145:D145"/>
    <mergeCell ref="F145:H145"/>
    <mergeCell ref="J145:L145"/>
    <mergeCell ref="N145:P145"/>
    <mergeCell ref="B191:L191"/>
    <mergeCell ref="B192:C192"/>
    <mergeCell ref="K192:L192"/>
    <mergeCell ref="B296:L296"/>
    <mergeCell ref="B297:C297"/>
    <mergeCell ref="E297:F297"/>
    <mergeCell ref="H297:I297"/>
    <mergeCell ref="K297:L297"/>
    <mergeCell ref="B332:D332"/>
    <mergeCell ref="E192:F192"/>
    <mergeCell ref="H192:I192"/>
    <mergeCell ref="B220:L220"/>
    <mergeCell ref="B221:C221"/>
    <mergeCell ref="E221:F221"/>
    <mergeCell ref="H221:I221"/>
    <mergeCell ref="K221:L22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500"/>
  <sheetViews>
    <sheetView workbookViewId="0"/>
  </sheetViews>
  <sheetFormatPr defaultColWidth="14.44140625" defaultRowHeight="15" customHeight="1" x14ac:dyDescent="0.3"/>
  <cols>
    <col min="1" max="3" width="9.109375" customWidth="1"/>
    <col min="4" max="4" width="11.109375" customWidth="1"/>
    <col min="5" max="5" width="11.77734375" customWidth="1"/>
    <col min="6" max="6" width="11.21875" customWidth="1"/>
    <col min="7" max="7" width="11.77734375" customWidth="1"/>
    <col min="8" max="9" width="8.77734375" customWidth="1"/>
    <col min="10" max="11" width="9.109375" customWidth="1"/>
    <col min="12" max="14" width="8.77734375" customWidth="1"/>
    <col min="15" max="15" width="9.109375" customWidth="1"/>
    <col min="16" max="17" width="8.77734375" customWidth="1"/>
    <col min="18" max="18" width="9.109375" customWidth="1"/>
    <col min="19" max="20" width="8.77734375" customWidth="1"/>
    <col min="21" max="21" width="9.109375" customWidth="1"/>
    <col min="22" max="23" width="8.77734375" customWidth="1"/>
    <col min="24" max="24" width="11.109375" customWidth="1"/>
    <col min="25" max="31" width="11.77734375" customWidth="1"/>
    <col min="32" max="36" width="8.77734375" customWidth="1"/>
  </cols>
  <sheetData>
    <row r="1" spans="1:36" ht="14.4" x14ac:dyDescent="0.3">
      <c r="A1" s="205"/>
      <c r="B1" s="313" t="e">
        <f t="array" ref="B1">INDEX(Data!$V$3:$V$38,MATCH('Coach Card'!$BU$9,Data!$G$3:$G$38,0))</f>
        <v>#N/A</v>
      </c>
      <c r="C1" s="245"/>
      <c r="D1" s="313" t="e">
        <f t="array" ref="D1">IF('Coach Card'!$F$8&lt;&gt;"Open Team Acrobatic",INDEX(Data!$V$3:$V$38,MATCH('Coach Card'!$BU$9,Data!$G$3:$G$38,0)),"")</f>
        <v>#N/A</v>
      </c>
      <c r="E1" s="245"/>
      <c r="F1" s="313" t="s">
        <v>1813</v>
      </c>
      <c r="G1" s="245"/>
      <c r="J1" s="205"/>
      <c r="K1" s="205"/>
      <c r="L1" s="169"/>
      <c r="M1" s="313" t="s">
        <v>263</v>
      </c>
      <c r="N1" s="245"/>
      <c r="O1" s="169"/>
      <c r="P1" s="313" t="s">
        <v>19</v>
      </c>
      <c r="Q1" s="245"/>
      <c r="R1" s="169"/>
      <c r="S1" s="313" t="s">
        <v>288</v>
      </c>
      <c r="T1" s="245"/>
      <c r="U1" s="169"/>
      <c r="V1" s="313" t="s">
        <v>27</v>
      </c>
      <c r="W1" s="245"/>
      <c r="X1" s="313" t="s">
        <v>263</v>
      </c>
      <c r="Y1" s="245"/>
      <c r="Z1" s="313" t="s">
        <v>19</v>
      </c>
      <c r="AA1" s="245"/>
      <c r="AB1" s="313" t="s">
        <v>288</v>
      </c>
      <c r="AC1" s="245"/>
      <c r="AD1" s="313" t="s">
        <v>27</v>
      </c>
      <c r="AE1" s="245"/>
    </row>
    <row r="2" spans="1:36" ht="14.4" x14ac:dyDescent="0.3">
      <c r="A2" s="205" t="s">
        <v>1814</v>
      </c>
      <c r="B2" s="182" t="s">
        <v>1815</v>
      </c>
      <c r="C2" s="182" t="s">
        <v>1816</v>
      </c>
      <c r="D2" s="169" t="s">
        <v>1817</v>
      </c>
      <c r="E2" s="169" t="s">
        <v>1818</v>
      </c>
      <c r="F2" s="169" t="s">
        <v>1817</v>
      </c>
      <c r="G2" s="169" t="s">
        <v>1818</v>
      </c>
      <c r="J2" s="170"/>
      <c r="K2" s="170"/>
      <c r="L2" s="169" t="s">
        <v>1814</v>
      </c>
      <c r="M2" s="1" t="s">
        <v>1815</v>
      </c>
      <c r="N2" s="182" t="s">
        <v>1816</v>
      </c>
      <c r="O2" s="169" t="s">
        <v>1814</v>
      </c>
      <c r="P2" s="1" t="s">
        <v>1815</v>
      </c>
      <c r="Q2" s="182" t="s">
        <v>1816</v>
      </c>
      <c r="R2" s="169" t="s">
        <v>1814</v>
      </c>
      <c r="S2" s="1" t="s">
        <v>1815</v>
      </c>
      <c r="T2" s="182" t="s">
        <v>1816</v>
      </c>
      <c r="U2" s="169" t="s">
        <v>1814</v>
      </c>
      <c r="V2" s="1" t="s">
        <v>1815</v>
      </c>
      <c r="W2" s="182" t="s">
        <v>1816</v>
      </c>
      <c r="X2" s="1" t="s">
        <v>1817</v>
      </c>
      <c r="Y2" s="1" t="s">
        <v>1818</v>
      </c>
      <c r="Z2" s="1" t="s">
        <v>1817</v>
      </c>
      <c r="AA2" s="1" t="s">
        <v>1818</v>
      </c>
      <c r="AB2" s="1" t="s">
        <v>1817</v>
      </c>
      <c r="AC2" s="1" t="s">
        <v>1818</v>
      </c>
      <c r="AD2" s="1" t="s">
        <v>1817</v>
      </c>
      <c r="AE2" s="1" t="s">
        <v>1818</v>
      </c>
      <c r="AH2" s="1" t="s">
        <v>1819</v>
      </c>
      <c r="AI2" s="1" t="s">
        <v>1820</v>
      </c>
      <c r="AJ2" s="1" t="s">
        <v>1821</v>
      </c>
    </row>
    <row r="3" spans="1:36" ht="14.4" x14ac:dyDescent="0.3">
      <c r="A3" s="170"/>
      <c r="B3" s="182"/>
      <c r="C3" s="182"/>
      <c r="D3" s="169"/>
      <c r="E3" s="169"/>
      <c r="J3" s="170"/>
      <c r="K3" s="170"/>
      <c r="L3" s="169" t="s">
        <v>130</v>
      </c>
      <c r="M3" s="1" t="s">
        <v>1822</v>
      </c>
      <c r="N3" s="182">
        <v>0.3</v>
      </c>
      <c r="O3" s="169" t="s">
        <v>130</v>
      </c>
      <c r="P3" s="1" t="s">
        <v>1822</v>
      </c>
      <c r="Q3" s="182">
        <v>0.3</v>
      </c>
      <c r="R3" s="169" t="s">
        <v>130</v>
      </c>
      <c r="S3" s="1" t="s">
        <v>1822</v>
      </c>
      <c r="T3" s="182">
        <v>0.3</v>
      </c>
      <c r="U3" s="169" t="s">
        <v>130</v>
      </c>
      <c r="V3" s="1" t="s">
        <v>1822</v>
      </c>
      <c r="W3" s="182">
        <v>0.3</v>
      </c>
      <c r="Y3" s="182"/>
      <c r="AA3" s="182"/>
      <c r="AC3" s="182"/>
      <c r="AD3" s="1" t="s">
        <v>1823</v>
      </c>
      <c r="AE3" s="182">
        <v>0.2</v>
      </c>
      <c r="AH3" s="1" t="s">
        <v>1822</v>
      </c>
      <c r="AI3" s="1" t="s">
        <v>1822</v>
      </c>
      <c r="AJ3" s="1">
        <v>1</v>
      </c>
    </row>
    <row r="4" spans="1:36" ht="14.4" x14ac:dyDescent="0.3">
      <c r="A4" s="205" t="e">
        <f t="shared" ref="A4:C4" si="0">IF($B$1="Solo",IF(L3="","",L3),IF($B$1="Duet",IF(O3="","",O3),IF($B$1="Mixed",IF(R3="","",R3),IF(U3="","",U3))))</f>
        <v>#N/A</v>
      </c>
      <c r="B4" s="182" t="e">
        <f t="shared" si="0"/>
        <v>#N/A</v>
      </c>
      <c r="C4" s="182" t="e">
        <f t="shared" si="0"/>
        <v>#N/A</v>
      </c>
      <c r="D4" s="182" t="e">
        <f t="shared" ref="D4:E4" si="1">IF($D$1="Team",IF(AD3="","",AD3),"")</f>
        <v>#N/A</v>
      </c>
      <c r="E4" s="182" t="e">
        <f t="shared" si="1"/>
        <v>#N/A</v>
      </c>
      <c r="F4" s="1" t="s">
        <v>1822</v>
      </c>
      <c r="G4" s="1">
        <v>0.3</v>
      </c>
      <c r="J4" s="170"/>
      <c r="K4" s="170"/>
      <c r="L4" s="169" t="s">
        <v>130</v>
      </c>
      <c r="M4" s="1" t="s">
        <v>1374</v>
      </c>
      <c r="N4" s="182">
        <v>0.45</v>
      </c>
      <c r="O4" s="169" t="s">
        <v>130</v>
      </c>
      <c r="P4" s="1" t="s">
        <v>1374</v>
      </c>
      <c r="Q4" s="182">
        <v>0.45</v>
      </c>
      <c r="R4" s="169" t="s">
        <v>130</v>
      </c>
      <c r="S4" s="1" t="s">
        <v>1374</v>
      </c>
      <c r="T4" s="182">
        <v>0.45</v>
      </c>
      <c r="U4" s="169" t="s">
        <v>130</v>
      </c>
      <c r="V4" s="1" t="s">
        <v>1374</v>
      </c>
      <c r="W4" s="182">
        <v>0.45</v>
      </c>
      <c r="Y4" s="182"/>
      <c r="AA4" s="182"/>
      <c r="AC4" s="182"/>
      <c r="AD4" s="1" t="s">
        <v>1824</v>
      </c>
      <c r="AE4" s="182">
        <v>0.4</v>
      </c>
      <c r="AH4" s="1" t="s">
        <v>1374</v>
      </c>
      <c r="AI4" s="1" t="s">
        <v>1374</v>
      </c>
      <c r="AJ4" s="1">
        <v>1</v>
      </c>
    </row>
    <row r="5" spans="1:36" ht="14.4" x14ac:dyDescent="0.3">
      <c r="A5" s="205" t="e">
        <f t="shared" ref="A5:C5" si="2">IF($B$1="Solo",IF(L4="","",L4),IF($B$1="Duet",IF(O4="","",O4),IF($B$1="Mixed",IF(R4="","",R4),IF(U4="","",U4))))</f>
        <v>#N/A</v>
      </c>
      <c r="B5" s="182" t="e">
        <f t="shared" si="2"/>
        <v>#N/A</v>
      </c>
      <c r="C5" s="182" t="e">
        <f t="shared" si="2"/>
        <v>#N/A</v>
      </c>
      <c r="D5" s="182" t="e">
        <f t="shared" ref="D5:E5" si="3">IF($D$1="Team",IF(AD4="","",AD4),"")</f>
        <v>#N/A</v>
      </c>
      <c r="E5" s="182" t="e">
        <f t="shared" si="3"/>
        <v>#N/A</v>
      </c>
      <c r="F5" s="1" t="s">
        <v>1374</v>
      </c>
      <c r="G5" s="1">
        <v>0.45</v>
      </c>
      <c r="J5" s="170"/>
      <c r="K5" s="170"/>
      <c r="L5" s="169" t="s">
        <v>130</v>
      </c>
      <c r="M5" s="1" t="s">
        <v>1825</v>
      </c>
      <c r="N5" s="182">
        <v>0.5</v>
      </c>
      <c r="O5" s="169" t="s">
        <v>130</v>
      </c>
      <c r="P5" s="1" t="s">
        <v>1825</v>
      </c>
      <c r="Q5" s="182">
        <v>0.5</v>
      </c>
      <c r="R5" s="169" t="s">
        <v>130</v>
      </c>
      <c r="S5" s="1" t="s">
        <v>1825</v>
      </c>
      <c r="T5" s="182">
        <v>0.5</v>
      </c>
      <c r="U5" s="169" t="s">
        <v>130</v>
      </c>
      <c r="V5" s="1" t="s">
        <v>1825</v>
      </c>
      <c r="W5" s="182">
        <v>0.5</v>
      </c>
      <c r="Y5" s="182"/>
      <c r="AA5" s="182"/>
      <c r="AC5" s="182"/>
      <c r="AD5" s="1" t="s">
        <v>1826</v>
      </c>
      <c r="AE5" s="182">
        <v>0.6</v>
      </c>
      <c r="AH5" s="1" t="s">
        <v>1825</v>
      </c>
      <c r="AI5" s="1" t="s">
        <v>1825</v>
      </c>
      <c r="AJ5" s="1">
        <v>1</v>
      </c>
    </row>
    <row r="6" spans="1:36" ht="14.4" x14ac:dyDescent="0.3">
      <c r="A6" s="205" t="e">
        <f t="shared" ref="A6:C6" si="4">IF($B$1="Solo",IF(L5="","",L5),IF($B$1="Duet",IF(O5="","",O5),IF($B$1="Mixed",IF(R5="","",R5),IF(U5="","",U5))))</f>
        <v>#N/A</v>
      </c>
      <c r="B6" s="182" t="e">
        <f t="shared" si="4"/>
        <v>#N/A</v>
      </c>
      <c r="C6" s="182" t="e">
        <f t="shared" si="4"/>
        <v>#N/A</v>
      </c>
      <c r="D6" s="182" t="e">
        <f t="shared" ref="D6:E6" si="5">IF($D$1="Team",IF(AD5="","",AD5),"")</f>
        <v>#N/A</v>
      </c>
      <c r="E6" s="182" t="e">
        <f t="shared" si="5"/>
        <v>#N/A</v>
      </c>
      <c r="F6" s="1" t="s">
        <v>1825</v>
      </c>
      <c r="G6" s="1">
        <v>0.5</v>
      </c>
      <c r="J6" s="170"/>
      <c r="K6" s="170"/>
      <c r="L6" s="169" t="s">
        <v>130</v>
      </c>
      <c r="M6" s="1" t="s">
        <v>1827</v>
      </c>
      <c r="N6" s="182">
        <v>0.5</v>
      </c>
      <c r="O6" s="169" t="s">
        <v>130</v>
      </c>
      <c r="P6" s="1" t="s">
        <v>1827</v>
      </c>
      <c r="Q6" s="182">
        <v>0.5</v>
      </c>
      <c r="R6" s="169" t="s">
        <v>130</v>
      </c>
      <c r="S6" s="1" t="s">
        <v>1827</v>
      </c>
      <c r="T6" s="182">
        <v>0.5</v>
      </c>
      <c r="U6" s="169" t="s">
        <v>130</v>
      </c>
      <c r="V6" s="1" t="s">
        <v>1827</v>
      </c>
      <c r="W6" s="182">
        <v>0.5</v>
      </c>
      <c r="Y6" s="182"/>
      <c r="AA6" s="182"/>
      <c r="AC6" s="182"/>
      <c r="AD6" s="1" t="s">
        <v>1828</v>
      </c>
      <c r="AE6" s="182">
        <v>0.8</v>
      </c>
      <c r="AH6" s="1" t="s">
        <v>1827</v>
      </c>
      <c r="AI6" s="1" t="s">
        <v>1827</v>
      </c>
      <c r="AJ6" s="1">
        <v>1</v>
      </c>
    </row>
    <row r="7" spans="1:36" ht="14.4" x14ac:dyDescent="0.3">
      <c r="A7" s="205" t="e">
        <f t="shared" ref="A7:C7" si="6">IF($B$1="Solo",IF(L6="","",L6),IF($B$1="Duet",IF(O6="","",O6),IF($B$1="Mixed",IF(R6="","",R6),IF(U6="","",U6))))</f>
        <v>#N/A</v>
      </c>
      <c r="B7" s="182" t="e">
        <f t="shared" si="6"/>
        <v>#N/A</v>
      </c>
      <c r="C7" s="182" t="e">
        <f t="shared" si="6"/>
        <v>#N/A</v>
      </c>
      <c r="D7" s="182" t="e">
        <f t="shared" ref="D7:E7" si="7">IF($D$1="Team",IF(AD6="","",AD6),"")</f>
        <v>#N/A</v>
      </c>
      <c r="E7" s="182" t="e">
        <f t="shared" si="7"/>
        <v>#N/A</v>
      </c>
      <c r="F7" s="1" t="s">
        <v>1827</v>
      </c>
      <c r="G7" s="1">
        <v>0.5</v>
      </c>
      <c r="J7" s="170"/>
      <c r="K7" s="170"/>
      <c r="L7" s="169" t="s">
        <v>130</v>
      </c>
      <c r="M7" s="1" t="s">
        <v>1829</v>
      </c>
      <c r="N7" s="182">
        <v>0.65</v>
      </c>
      <c r="O7" s="169" t="s">
        <v>130</v>
      </c>
      <c r="P7" s="1" t="s">
        <v>1829</v>
      </c>
      <c r="Q7" s="182">
        <v>0.65</v>
      </c>
      <c r="R7" s="169" t="s">
        <v>130</v>
      </c>
      <c r="S7" s="1" t="s">
        <v>1829</v>
      </c>
      <c r="T7" s="182">
        <v>0.65</v>
      </c>
      <c r="U7" s="169" t="s">
        <v>130</v>
      </c>
      <c r="V7" s="1" t="s">
        <v>1829</v>
      </c>
      <c r="W7" s="182">
        <v>0.65</v>
      </c>
      <c r="Y7" s="182"/>
      <c r="AA7" s="182"/>
      <c r="AC7" s="182"/>
      <c r="AD7" s="1" t="s">
        <v>1830</v>
      </c>
      <c r="AE7" s="182">
        <v>1</v>
      </c>
      <c r="AH7" s="1" t="s">
        <v>1829</v>
      </c>
      <c r="AI7" s="1" t="s">
        <v>1829</v>
      </c>
      <c r="AJ7" s="1">
        <v>1</v>
      </c>
    </row>
    <row r="8" spans="1:36" ht="14.4" x14ac:dyDescent="0.3">
      <c r="A8" s="205" t="e">
        <f t="shared" ref="A8:C8" si="8">IF($B$1="Solo",IF(L7="","",L7),IF($B$1="Duet",IF(O7="","",O7),IF($B$1="Mixed",IF(R7="","",R7),IF(U7="","",U7))))</f>
        <v>#N/A</v>
      </c>
      <c r="B8" s="182" t="e">
        <f t="shared" si="8"/>
        <v>#N/A</v>
      </c>
      <c r="C8" s="182" t="e">
        <f t="shared" si="8"/>
        <v>#N/A</v>
      </c>
      <c r="D8" s="182" t="e">
        <f t="shared" ref="D8:E8" si="9">IF($D$1="Team",IF(AD7="","",AD7),"")</f>
        <v>#N/A</v>
      </c>
      <c r="E8" s="182" t="e">
        <f t="shared" si="9"/>
        <v>#N/A</v>
      </c>
      <c r="F8" s="1" t="s">
        <v>1829</v>
      </c>
      <c r="G8" s="1">
        <v>0.65</v>
      </c>
      <c r="J8" s="170"/>
      <c r="K8" s="170"/>
      <c r="L8" s="169" t="s">
        <v>130</v>
      </c>
      <c r="M8" s="1" t="s">
        <v>1831</v>
      </c>
      <c r="N8" s="182">
        <v>0.65</v>
      </c>
      <c r="O8" s="169" t="s">
        <v>130</v>
      </c>
      <c r="P8" s="1" t="s">
        <v>1831</v>
      </c>
      <c r="Q8" s="182">
        <v>0.65</v>
      </c>
      <c r="R8" s="169" t="s">
        <v>130</v>
      </c>
      <c r="S8" s="1" t="s">
        <v>1831</v>
      </c>
      <c r="T8" s="182">
        <v>0.65</v>
      </c>
      <c r="U8" s="169" t="s">
        <v>130</v>
      </c>
      <c r="V8" s="1" t="s">
        <v>1831</v>
      </c>
      <c r="W8" s="182">
        <v>0.65</v>
      </c>
      <c r="Y8" s="182"/>
      <c r="AA8" s="182"/>
      <c r="AC8" s="182"/>
      <c r="AD8" s="1" t="s">
        <v>1832</v>
      </c>
      <c r="AE8" s="182">
        <v>1.2</v>
      </c>
      <c r="AH8" s="1" t="s">
        <v>1831</v>
      </c>
      <c r="AI8" s="1" t="s">
        <v>1831</v>
      </c>
      <c r="AJ8" s="1">
        <v>1</v>
      </c>
    </row>
    <row r="9" spans="1:36" ht="14.4" x14ac:dyDescent="0.3">
      <c r="A9" s="205" t="e">
        <f t="shared" ref="A9:C9" si="10">IF($B$1="Solo",IF(L8="","",L8),IF($B$1="Duet",IF(O8="","",O8),IF($B$1="Mixed",IF(R8="","",R8),IF(U8="","",U8))))</f>
        <v>#N/A</v>
      </c>
      <c r="B9" s="182" t="e">
        <f t="shared" si="10"/>
        <v>#N/A</v>
      </c>
      <c r="C9" s="182" t="e">
        <f t="shared" si="10"/>
        <v>#N/A</v>
      </c>
      <c r="D9" s="182" t="e">
        <f t="shared" ref="D9:E9" si="11">IF($D$1="Team",IF(AD8="","",AD8),"")</f>
        <v>#N/A</v>
      </c>
      <c r="E9" s="182" t="e">
        <f t="shared" si="11"/>
        <v>#N/A</v>
      </c>
      <c r="F9" s="1" t="s">
        <v>1831</v>
      </c>
      <c r="G9" s="1">
        <v>0.65</v>
      </c>
      <c r="J9" s="170"/>
      <c r="K9" s="170"/>
      <c r="L9" s="169" t="s">
        <v>130</v>
      </c>
      <c r="M9" s="1" t="s">
        <v>1833</v>
      </c>
      <c r="N9" s="182">
        <v>0.65</v>
      </c>
      <c r="O9" s="169" t="s">
        <v>130</v>
      </c>
      <c r="P9" s="1" t="s">
        <v>1833</v>
      </c>
      <c r="Q9" s="182">
        <v>0.65</v>
      </c>
      <c r="R9" s="169" t="s">
        <v>130</v>
      </c>
      <c r="S9" s="1" t="s">
        <v>1833</v>
      </c>
      <c r="T9" s="182">
        <v>0.65</v>
      </c>
      <c r="U9" s="169" t="s">
        <v>130</v>
      </c>
      <c r="V9" s="1" t="s">
        <v>1833</v>
      </c>
      <c r="W9" s="182">
        <v>0.65</v>
      </c>
      <c r="Y9" s="182"/>
      <c r="AA9" s="182"/>
      <c r="AC9" s="182"/>
      <c r="AD9" s="1" t="s">
        <v>1834</v>
      </c>
      <c r="AE9" s="182">
        <v>1.4</v>
      </c>
      <c r="AH9" s="1" t="s">
        <v>1833</v>
      </c>
      <c r="AI9" s="1" t="s">
        <v>1833</v>
      </c>
      <c r="AJ9" s="1">
        <v>1</v>
      </c>
    </row>
    <row r="10" spans="1:36" ht="14.4" x14ac:dyDescent="0.3">
      <c r="A10" s="205" t="e">
        <f t="shared" ref="A10:C10" si="12">IF($B$1="Solo",IF(L9="","",L9),IF($B$1="Duet",IF(O9="","",O9),IF($B$1="Mixed",IF(R9="","",R9),IF(U9="","",U9))))</f>
        <v>#N/A</v>
      </c>
      <c r="B10" s="182" t="e">
        <f t="shared" si="12"/>
        <v>#N/A</v>
      </c>
      <c r="C10" s="182" t="e">
        <f t="shared" si="12"/>
        <v>#N/A</v>
      </c>
      <c r="D10" s="182" t="e">
        <f t="shared" ref="D10:E10" si="13">IF($D$1="Team",IF(AD9="","",AD9),"")</f>
        <v>#N/A</v>
      </c>
      <c r="E10" s="182" t="e">
        <f t="shared" si="13"/>
        <v>#N/A</v>
      </c>
      <c r="F10" s="1" t="s">
        <v>1833</v>
      </c>
      <c r="G10" s="1">
        <v>0.65</v>
      </c>
      <c r="J10" s="170"/>
      <c r="K10" s="170"/>
      <c r="L10" s="169" t="s">
        <v>130</v>
      </c>
      <c r="M10" s="1" t="s">
        <v>1835</v>
      </c>
      <c r="N10" s="182">
        <v>0.65</v>
      </c>
      <c r="O10" s="169" t="s">
        <v>130</v>
      </c>
      <c r="P10" s="1" t="s">
        <v>1835</v>
      </c>
      <c r="Q10" s="182">
        <v>0.65</v>
      </c>
      <c r="R10" s="169" t="s">
        <v>130</v>
      </c>
      <c r="S10" s="1" t="s">
        <v>1835</v>
      </c>
      <c r="T10" s="182">
        <v>0.65</v>
      </c>
      <c r="U10" s="169" t="s">
        <v>130</v>
      </c>
      <c r="V10" s="1" t="s">
        <v>1835</v>
      </c>
      <c r="W10" s="182">
        <v>0.65</v>
      </c>
      <c r="Y10" s="182"/>
      <c r="AA10" s="182"/>
      <c r="AC10" s="182"/>
      <c r="AD10" s="1" t="s">
        <v>1836</v>
      </c>
      <c r="AE10" s="182">
        <v>1.6</v>
      </c>
      <c r="AH10" s="1" t="s">
        <v>1835</v>
      </c>
      <c r="AI10" s="1" t="s">
        <v>1835</v>
      </c>
      <c r="AJ10" s="1">
        <v>1</v>
      </c>
    </row>
    <row r="11" spans="1:36" ht="14.4" x14ac:dyDescent="0.3">
      <c r="A11" s="205" t="e">
        <f t="shared" ref="A11:C11" si="14">IF($B$1="Solo",IF(L10="","",L10),IF($B$1="Duet",IF(O10="","",O10),IF($B$1="Mixed",IF(R10="","",R10),IF(U10="","",U10))))</f>
        <v>#N/A</v>
      </c>
      <c r="B11" s="182" t="e">
        <f t="shared" si="14"/>
        <v>#N/A</v>
      </c>
      <c r="C11" s="182" t="e">
        <f t="shared" si="14"/>
        <v>#N/A</v>
      </c>
      <c r="D11" s="182" t="e">
        <f t="shared" ref="D11:E11" si="15">IF($D$1="Team",IF(AD10="","",AD10),"")</f>
        <v>#N/A</v>
      </c>
      <c r="E11" s="182" t="e">
        <f t="shared" si="15"/>
        <v>#N/A</v>
      </c>
      <c r="F11" s="1" t="s">
        <v>1835</v>
      </c>
      <c r="G11" s="1">
        <v>0.65</v>
      </c>
      <c r="J11" s="170"/>
      <c r="K11" s="170"/>
      <c r="L11" s="169" t="s">
        <v>130</v>
      </c>
      <c r="M11" s="1" t="s">
        <v>1837</v>
      </c>
      <c r="N11" s="182">
        <v>0.8</v>
      </c>
      <c r="O11" s="169" t="s">
        <v>130</v>
      </c>
      <c r="P11" s="1" t="s">
        <v>1837</v>
      </c>
      <c r="Q11" s="182">
        <v>0.8</v>
      </c>
      <c r="R11" s="169" t="s">
        <v>130</v>
      </c>
      <c r="S11" s="1" t="s">
        <v>1837</v>
      </c>
      <c r="T11" s="182">
        <v>0.8</v>
      </c>
      <c r="U11" s="169" t="s">
        <v>130</v>
      </c>
      <c r="V11" s="1" t="s">
        <v>1837</v>
      </c>
      <c r="W11" s="182">
        <v>0.8</v>
      </c>
      <c r="Y11" s="182"/>
      <c r="AA11" s="182"/>
      <c r="AC11" s="182"/>
      <c r="AD11" s="1" t="s">
        <v>1838</v>
      </c>
      <c r="AE11" s="182">
        <v>1.8</v>
      </c>
      <c r="AH11" s="1" t="s">
        <v>1837</v>
      </c>
      <c r="AI11" s="1" t="s">
        <v>1837</v>
      </c>
      <c r="AJ11" s="1">
        <v>1</v>
      </c>
    </row>
    <row r="12" spans="1:36" ht="14.4" x14ac:dyDescent="0.3">
      <c r="A12" s="205" t="e">
        <f t="shared" ref="A12:C12" si="16">IF($B$1="Solo",IF(L11="","",L11),IF($B$1="Duet",IF(O11="","",O11),IF($B$1="Mixed",IF(R11="","",R11),IF(U11="","",U11))))</f>
        <v>#N/A</v>
      </c>
      <c r="B12" s="182" t="e">
        <f t="shared" si="16"/>
        <v>#N/A</v>
      </c>
      <c r="C12" s="182" t="e">
        <f t="shared" si="16"/>
        <v>#N/A</v>
      </c>
      <c r="D12" s="182" t="e">
        <f t="shared" ref="D12:E12" si="17">IF($D$1="Team",IF(AD11="","",AD11),"")</f>
        <v>#N/A</v>
      </c>
      <c r="E12" s="182" t="e">
        <f t="shared" si="17"/>
        <v>#N/A</v>
      </c>
      <c r="F12" s="1" t="s">
        <v>1837</v>
      </c>
      <c r="G12" s="1">
        <v>0.8</v>
      </c>
      <c r="J12" s="170"/>
      <c r="K12" s="170"/>
      <c r="L12" s="169" t="s">
        <v>130</v>
      </c>
      <c r="M12" s="1" t="s">
        <v>1839</v>
      </c>
      <c r="N12" s="182">
        <v>0.8</v>
      </c>
      <c r="O12" s="169" t="s">
        <v>130</v>
      </c>
      <c r="P12" s="1" t="s">
        <v>1839</v>
      </c>
      <c r="Q12" s="182">
        <v>0.8</v>
      </c>
      <c r="R12" s="169" t="s">
        <v>130</v>
      </c>
      <c r="S12" s="1" t="s">
        <v>1839</v>
      </c>
      <c r="T12" s="182">
        <v>0.8</v>
      </c>
      <c r="U12" s="169" t="s">
        <v>130</v>
      </c>
      <c r="V12" s="1" t="s">
        <v>1839</v>
      </c>
      <c r="W12" s="182">
        <v>0.8</v>
      </c>
      <c r="Y12" s="182"/>
      <c r="AA12" s="182"/>
      <c r="AC12" s="182"/>
      <c r="AD12" s="1" t="s">
        <v>1840</v>
      </c>
      <c r="AE12" s="182">
        <v>2</v>
      </c>
      <c r="AH12" s="1" t="s">
        <v>1839</v>
      </c>
      <c r="AI12" s="1" t="s">
        <v>1839</v>
      </c>
      <c r="AJ12" s="1">
        <v>1</v>
      </c>
    </row>
    <row r="13" spans="1:36" ht="14.4" x14ac:dyDescent="0.3">
      <c r="A13" s="205" t="e">
        <f t="shared" ref="A13:C13" si="18">IF($B$1="Solo",IF(L12="","",L12),IF($B$1="Duet",IF(O12="","",O12),IF($B$1="Mixed",IF(R12="","",R12),IF(U12="","",U12))))</f>
        <v>#N/A</v>
      </c>
      <c r="B13" s="182" t="e">
        <f t="shared" si="18"/>
        <v>#N/A</v>
      </c>
      <c r="C13" s="182" t="e">
        <f t="shared" si="18"/>
        <v>#N/A</v>
      </c>
      <c r="D13" s="182" t="e">
        <f t="shared" ref="D13:E13" si="19">IF($D$1="Team",IF(AD12="","",AD12),"")</f>
        <v>#N/A</v>
      </c>
      <c r="E13" s="182" t="e">
        <f t="shared" si="19"/>
        <v>#N/A</v>
      </c>
      <c r="F13" s="1" t="s">
        <v>1839</v>
      </c>
      <c r="G13" s="1">
        <v>0.8</v>
      </c>
      <c r="J13" s="170"/>
      <c r="K13" s="170"/>
      <c r="L13" s="169" t="s">
        <v>130</v>
      </c>
      <c r="M13" s="1" t="s">
        <v>1841</v>
      </c>
      <c r="N13" s="182">
        <v>0.8</v>
      </c>
      <c r="O13" s="169" t="s">
        <v>130</v>
      </c>
      <c r="P13" s="1" t="s">
        <v>1841</v>
      </c>
      <c r="Q13" s="182">
        <v>0.8</v>
      </c>
      <c r="R13" s="169" t="s">
        <v>130</v>
      </c>
      <c r="S13" s="1" t="s">
        <v>1841</v>
      </c>
      <c r="T13" s="182">
        <v>0.8</v>
      </c>
      <c r="U13" s="169" t="s">
        <v>130</v>
      </c>
      <c r="V13" s="1" t="s">
        <v>1841</v>
      </c>
      <c r="W13" s="182">
        <v>0.8</v>
      </c>
      <c r="Y13" s="182"/>
      <c r="AA13" s="182"/>
      <c r="AC13" s="182"/>
      <c r="AD13" s="1" t="s">
        <v>1842</v>
      </c>
      <c r="AE13" s="182">
        <v>2.2000000000000002</v>
      </c>
      <c r="AH13" s="1" t="s">
        <v>1841</v>
      </c>
      <c r="AI13" s="1" t="s">
        <v>1841</v>
      </c>
      <c r="AJ13" s="1">
        <v>1</v>
      </c>
    </row>
    <row r="14" spans="1:36" ht="14.4" x14ac:dyDescent="0.3">
      <c r="A14" s="205" t="e">
        <f t="shared" ref="A14:C14" si="20">IF($B$1="Solo",IF(L13="","",L13),IF($B$1="Duet",IF(O13="","",O13),IF($B$1="Mixed",IF(R13="","",R13),IF(U13="","",U13))))</f>
        <v>#N/A</v>
      </c>
      <c r="B14" s="182" t="e">
        <f t="shared" si="20"/>
        <v>#N/A</v>
      </c>
      <c r="C14" s="182" t="e">
        <f t="shared" si="20"/>
        <v>#N/A</v>
      </c>
      <c r="D14" s="182" t="e">
        <f t="shared" ref="D14:E14" si="21">IF($D$1="Team",IF(AD13="","",AD13),"")</f>
        <v>#N/A</v>
      </c>
      <c r="E14" s="182" t="e">
        <f t="shared" si="21"/>
        <v>#N/A</v>
      </c>
      <c r="F14" s="1" t="s">
        <v>1841</v>
      </c>
      <c r="G14" s="1">
        <v>0.8</v>
      </c>
      <c r="J14" s="170"/>
      <c r="K14" s="170"/>
      <c r="L14" s="169" t="s">
        <v>130</v>
      </c>
      <c r="M14" s="1" t="s">
        <v>1843</v>
      </c>
      <c r="N14" s="182">
        <v>0.8</v>
      </c>
      <c r="O14" s="169" t="s">
        <v>130</v>
      </c>
      <c r="P14" s="1" t="s">
        <v>1843</v>
      </c>
      <c r="Q14" s="182">
        <v>0.8</v>
      </c>
      <c r="R14" s="169" t="s">
        <v>130</v>
      </c>
      <c r="S14" s="1" t="s">
        <v>1843</v>
      </c>
      <c r="T14" s="182">
        <v>0.8</v>
      </c>
      <c r="U14" s="169" t="s">
        <v>130</v>
      </c>
      <c r="V14" s="1" t="s">
        <v>1843</v>
      </c>
      <c r="W14" s="182">
        <v>0.8</v>
      </c>
      <c r="Y14" s="182"/>
      <c r="AA14" s="182"/>
      <c r="AC14" s="182"/>
      <c r="AD14" s="1" t="s">
        <v>1844</v>
      </c>
      <c r="AE14" s="182">
        <v>2.4</v>
      </c>
      <c r="AH14" s="1" t="s">
        <v>1843</v>
      </c>
      <c r="AI14" s="1" t="s">
        <v>1843</v>
      </c>
      <c r="AJ14" s="1">
        <v>1</v>
      </c>
    </row>
    <row r="15" spans="1:36" ht="14.4" x14ac:dyDescent="0.3">
      <c r="A15" s="205" t="e">
        <f t="shared" ref="A15:C15" si="22">IF($B$1="Solo",IF(L14="","",L14),IF($B$1="Duet",IF(O14="","",O14),IF($B$1="Mixed",IF(R14="","",R14),IF(U14="","",U14))))</f>
        <v>#N/A</v>
      </c>
      <c r="B15" s="182" t="e">
        <f t="shared" si="22"/>
        <v>#N/A</v>
      </c>
      <c r="C15" s="182" t="e">
        <f t="shared" si="22"/>
        <v>#N/A</v>
      </c>
      <c r="D15" s="182" t="e">
        <f t="shared" ref="D15:E15" si="23">IF($D$1="Team",IF(AD14="","",AD14),"")</f>
        <v>#N/A</v>
      </c>
      <c r="E15" s="182" t="e">
        <f t="shared" si="23"/>
        <v>#N/A</v>
      </c>
      <c r="F15" s="1" t="s">
        <v>1843</v>
      </c>
      <c r="G15" s="1">
        <v>0.8</v>
      </c>
      <c r="J15" s="170"/>
      <c r="K15" s="170"/>
      <c r="L15" s="169" t="s">
        <v>130</v>
      </c>
      <c r="M15" s="1" t="s">
        <v>1845</v>
      </c>
      <c r="N15" s="182">
        <v>0.8</v>
      </c>
      <c r="O15" s="169" t="s">
        <v>130</v>
      </c>
      <c r="P15" s="1" t="s">
        <v>1845</v>
      </c>
      <c r="Q15" s="182">
        <v>0.8</v>
      </c>
      <c r="R15" s="169" t="s">
        <v>130</v>
      </c>
      <c r="S15" s="1" t="s">
        <v>1845</v>
      </c>
      <c r="T15" s="182">
        <v>0.8</v>
      </c>
      <c r="U15" s="169" t="s">
        <v>130</v>
      </c>
      <c r="V15" s="1" t="s">
        <v>1845</v>
      </c>
      <c r="W15" s="182">
        <v>0.8</v>
      </c>
      <c r="Y15" s="182"/>
      <c r="AA15" s="182"/>
      <c r="AC15" s="182"/>
      <c r="AD15" s="1" t="s">
        <v>1846</v>
      </c>
      <c r="AE15" s="182">
        <v>2.6</v>
      </c>
      <c r="AH15" s="1" t="s">
        <v>1845</v>
      </c>
      <c r="AI15" s="1" t="s">
        <v>1845</v>
      </c>
      <c r="AJ15" s="1">
        <v>1</v>
      </c>
    </row>
    <row r="16" spans="1:36" ht="14.4" x14ac:dyDescent="0.3">
      <c r="A16" s="205" t="e">
        <f t="shared" ref="A16:C16" si="24">IF($B$1="Solo",IF(L15="","",L15),IF($B$1="Duet",IF(O15="","",O15),IF($B$1="Mixed",IF(R15="","",R15),IF(U15="","",U15))))</f>
        <v>#N/A</v>
      </c>
      <c r="B16" s="182" t="e">
        <f t="shared" si="24"/>
        <v>#N/A</v>
      </c>
      <c r="C16" s="182" t="e">
        <f t="shared" si="24"/>
        <v>#N/A</v>
      </c>
      <c r="D16" s="182" t="e">
        <f t="shared" ref="D16:E16" si="25">IF($D$1="Team",IF(AD15="","",AD15),"")</f>
        <v>#N/A</v>
      </c>
      <c r="E16" s="182" t="e">
        <f t="shared" si="25"/>
        <v>#N/A</v>
      </c>
      <c r="F16" s="1" t="s">
        <v>1845</v>
      </c>
      <c r="G16" s="1">
        <v>0.8</v>
      </c>
      <c r="J16" s="170"/>
      <c r="K16" s="170"/>
      <c r="L16" s="169" t="s">
        <v>130</v>
      </c>
      <c r="M16" s="1" t="s">
        <v>1847</v>
      </c>
      <c r="N16" s="182">
        <v>0.9</v>
      </c>
      <c r="O16" s="169" t="s">
        <v>130</v>
      </c>
      <c r="P16" s="1" t="s">
        <v>1847</v>
      </c>
      <c r="Q16" s="182">
        <v>0.9</v>
      </c>
      <c r="R16" s="169" t="s">
        <v>130</v>
      </c>
      <c r="S16" s="1" t="s">
        <v>1847</v>
      </c>
      <c r="T16" s="182">
        <v>0.9</v>
      </c>
      <c r="U16" s="169" t="s">
        <v>130</v>
      </c>
      <c r="V16" s="1" t="s">
        <v>1847</v>
      </c>
      <c r="W16" s="182">
        <v>0.9</v>
      </c>
      <c r="Y16" s="182"/>
      <c r="AA16" s="182"/>
      <c r="AC16" s="182"/>
      <c r="AD16" s="1" t="s">
        <v>1848</v>
      </c>
      <c r="AE16" s="182">
        <v>2.8</v>
      </c>
      <c r="AH16" s="1" t="s">
        <v>1847</v>
      </c>
      <c r="AI16" s="1" t="s">
        <v>1847</v>
      </c>
      <c r="AJ16" s="1">
        <v>1</v>
      </c>
    </row>
    <row r="17" spans="1:36" ht="14.4" x14ac:dyDescent="0.3">
      <c r="A17" s="205" t="e">
        <f t="shared" ref="A17:C17" si="26">IF($B$1="Solo",IF(L16="","",L16),IF($B$1="Duet",IF(O16="","",O16),IF($B$1="Mixed",IF(R16="","",R16),IF(U16="","",U16))))</f>
        <v>#N/A</v>
      </c>
      <c r="B17" s="182" t="e">
        <f t="shared" si="26"/>
        <v>#N/A</v>
      </c>
      <c r="C17" s="182" t="e">
        <f t="shared" si="26"/>
        <v>#N/A</v>
      </c>
      <c r="D17" s="182" t="e">
        <f t="shared" ref="D17:E17" si="27">IF($D$1="Team",IF(AD16="","",AD16),"")</f>
        <v>#N/A</v>
      </c>
      <c r="E17" s="182" t="e">
        <f t="shared" si="27"/>
        <v>#N/A</v>
      </c>
      <c r="F17" s="1" t="s">
        <v>1847</v>
      </c>
      <c r="G17" s="1">
        <v>0.9</v>
      </c>
      <c r="J17" s="170"/>
      <c r="K17" s="170"/>
      <c r="L17" s="169" t="s">
        <v>130</v>
      </c>
      <c r="M17" s="1" t="s">
        <v>1849</v>
      </c>
      <c r="N17" s="182">
        <v>0.9</v>
      </c>
      <c r="O17" s="169" t="s">
        <v>130</v>
      </c>
      <c r="P17" s="1" t="s">
        <v>1849</v>
      </c>
      <c r="Q17" s="182">
        <v>0.9</v>
      </c>
      <c r="R17" s="169" t="s">
        <v>130</v>
      </c>
      <c r="S17" s="1" t="s">
        <v>1849</v>
      </c>
      <c r="T17" s="182">
        <v>0.9</v>
      </c>
      <c r="U17" s="169" t="s">
        <v>130</v>
      </c>
      <c r="V17" s="1" t="s">
        <v>1849</v>
      </c>
      <c r="W17" s="182">
        <v>0.9</v>
      </c>
      <c r="Y17" s="182"/>
      <c r="AA17" s="182"/>
      <c r="AC17" s="182"/>
      <c r="AD17" s="1" t="s">
        <v>1850</v>
      </c>
      <c r="AE17" s="182">
        <v>3</v>
      </c>
      <c r="AH17" s="1" t="s">
        <v>1849</v>
      </c>
      <c r="AI17" s="1" t="s">
        <v>1849</v>
      </c>
      <c r="AJ17" s="1">
        <v>1</v>
      </c>
    </row>
    <row r="18" spans="1:36" ht="14.4" x14ac:dyDescent="0.3">
      <c r="A18" s="205" t="e">
        <f t="shared" ref="A18:C18" si="28">IF($B$1="Solo",IF(L17="","",L17),IF($B$1="Duet",IF(O17="","",O17),IF($B$1="Mixed",IF(R17="","",R17),IF(U17="","",U17))))</f>
        <v>#N/A</v>
      </c>
      <c r="B18" s="182" t="e">
        <f t="shared" si="28"/>
        <v>#N/A</v>
      </c>
      <c r="C18" s="182" t="e">
        <f t="shared" si="28"/>
        <v>#N/A</v>
      </c>
      <c r="D18" s="182" t="e">
        <f t="shared" ref="D18:E18" si="29">IF($D$1="Team",IF(AD17="","",AD17),"")</f>
        <v>#N/A</v>
      </c>
      <c r="E18" s="182" t="e">
        <f t="shared" si="29"/>
        <v>#N/A</v>
      </c>
      <c r="F18" s="1" t="s">
        <v>1849</v>
      </c>
      <c r="G18" s="1">
        <v>0.9</v>
      </c>
      <c r="J18" s="170"/>
      <c r="K18" s="170"/>
      <c r="L18" s="169" t="s">
        <v>130</v>
      </c>
      <c r="M18" s="1" t="s">
        <v>1851</v>
      </c>
      <c r="N18" s="182">
        <v>0.9</v>
      </c>
      <c r="O18" s="169" t="s">
        <v>130</v>
      </c>
      <c r="P18" s="1" t="s">
        <v>1851</v>
      </c>
      <c r="Q18" s="182">
        <v>0.9</v>
      </c>
      <c r="R18" s="169" t="s">
        <v>130</v>
      </c>
      <c r="S18" s="1" t="s">
        <v>1851</v>
      </c>
      <c r="T18" s="182">
        <v>0.9</v>
      </c>
      <c r="U18" s="169" t="s">
        <v>130</v>
      </c>
      <c r="V18" s="1" t="s">
        <v>1851</v>
      </c>
      <c r="W18" s="182">
        <v>0.9</v>
      </c>
      <c r="Y18" s="182"/>
      <c r="AA18" s="182"/>
      <c r="AC18" s="182"/>
      <c r="AE18" s="182"/>
      <c r="AH18" s="1" t="s">
        <v>1851</v>
      </c>
      <c r="AI18" s="1" t="s">
        <v>1851</v>
      </c>
      <c r="AJ18" s="1">
        <v>1</v>
      </c>
    </row>
    <row r="19" spans="1:36" ht="14.4" x14ac:dyDescent="0.3">
      <c r="A19" s="205" t="e">
        <f t="shared" ref="A19:C19" si="30">IF($B$1="Solo",IF(L18="","",L18),IF($B$1="Duet",IF(O18="","",O18),IF($B$1="Mixed",IF(R18="","",R18),IF(U18="","",U18))))</f>
        <v>#N/A</v>
      </c>
      <c r="B19" s="182" t="e">
        <f t="shared" si="30"/>
        <v>#N/A</v>
      </c>
      <c r="C19" s="182" t="e">
        <f t="shared" si="30"/>
        <v>#N/A</v>
      </c>
      <c r="D19" s="182" t="e">
        <f t="shared" ref="D19:E19" si="31">IF($D$1="Team",IF(AD18="","",AD18),"")</f>
        <v>#N/A</v>
      </c>
      <c r="E19" s="182" t="e">
        <f t="shared" si="31"/>
        <v>#N/A</v>
      </c>
      <c r="F19" s="1" t="s">
        <v>1851</v>
      </c>
      <c r="G19" s="1">
        <v>0.9</v>
      </c>
      <c r="J19" s="170"/>
      <c r="K19" s="170"/>
      <c r="L19" s="169" t="s">
        <v>130</v>
      </c>
      <c r="M19" s="1" t="s">
        <v>1852</v>
      </c>
      <c r="N19" s="182">
        <v>0.9</v>
      </c>
      <c r="O19" s="169" t="s">
        <v>130</v>
      </c>
      <c r="P19" s="1" t="s">
        <v>1852</v>
      </c>
      <c r="Q19" s="182">
        <v>0.9</v>
      </c>
      <c r="R19" s="169" t="s">
        <v>130</v>
      </c>
      <c r="S19" s="1" t="s">
        <v>1852</v>
      </c>
      <c r="T19" s="182">
        <v>0.9</v>
      </c>
      <c r="U19" s="169" t="s">
        <v>130</v>
      </c>
      <c r="V19" s="1" t="s">
        <v>1852</v>
      </c>
      <c r="W19" s="182">
        <v>0.9</v>
      </c>
      <c r="Y19" s="182"/>
      <c r="AA19" s="182"/>
      <c r="AC19" s="182"/>
      <c r="AE19" s="182"/>
      <c r="AH19" s="1" t="s">
        <v>1852</v>
      </c>
      <c r="AI19" s="1" t="s">
        <v>1852</v>
      </c>
      <c r="AJ19" s="1">
        <v>1</v>
      </c>
    </row>
    <row r="20" spans="1:36" ht="14.4" x14ac:dyDescent="0.3">
      <c r="A20" s="205" t="e">
        <f t="shared" ref="A20:C20" si="32">IF($B$1="Solo",IF(L19="","",L19),IF($B$1="Duet",IF(O19="","",O19),IF($B$1="Mixed",IF(R19="","",R19),IF(U19="","",U19))))</f>
        <v>#N/A</v>
      </c>
      <c r="B20" s="182" t="e">
        <f t="shared" si="32"/>
        <v>#N/A</v>
      </c>
      <c r="C20" s="182" t="e">
        <f t="shared" si="32"/>
        <v>#N/A</v>
      </c>
      <c r="D20" s="182" t="e">
        <f t="shared" ref="D20:E20" si="33">IF($D$1="Team",IF(AD19="","",AD19),"")</f>
        <v>#N/A</v>
      </c>
      <c r="E20" s="182" t="e">
        <f t="shared" si="33"/>
        <v>#N/A</v>
      </c>
      <c r="F20" s="1" t="s">
        <v>1852</v>
      </c>
      <c r="G20" s="1">
        <v>0.9</v>
      </c>
      <c r="J20" s="170"/>
      <c r="K20" s="170"/>
      <c r="L20" s="169" t="s">
        <v>130</v>
      </c>
      <c r="M20" s="1" t="s">
        <v>1853</v>
      </c>
      <c r="N20" s="182">
        <v>0.9</v>
      </c>
      <c r="O20" s="169" t="s">
        <v>130</v>
      </c>
      <c r="P20" s="1" t="s">
        <v>1853</v>
      </c>
      <c r="Q20" s="182">
        <v>0.9</v>
      </c>
      <c r="R20" s="169" t="s">
        <v>130</v>
      </c>
      <c r="S20" s="1" t="s">
        <v>1853</v>
      </c>
      <c r="T20" s="182">
        <v>0.9</v>
      </c>
      <c r="U20" s="169" t="s">
        <v>130</v>
      </c>
      <c r="V20" s="1" t="s">
        <v>1853</v>
      </c>
      <c r="W20" s="182">
        <v>0.9</v>
      </c>
      <c r="Y20" s="182"/>
      <c r="AA20" s="182"/>
      <c r="AC20" s="182"/>
      <c r="AE20" s="182"/>
      <c r="AH20" s="1" t="s">
        <v>1853</v>
      </c>
      <c r="AI20" s="1" t="s">
        <v>1853</v>
      </c>
      <c r="AJ20" s="1">
        <v>1</v>
      </c>
    </row>
    <row r="21" spans="1:36" ht="15.75" customHeight="1" x14ac:dyDescent="0.3">
      <c r="A21" s="205" t="e">
        <f t="shared" ref="A21:C21" si="34">IF($B$1="Solo",IF(L20="","",L20),IF($B$1="Duet",IF(O20="","",O20),IF($B$1="Mixed",IF(R20="","",R20),IF(U20="","",U20))))</f>
        <v>#N/A</v>
      </c>
      <c r="B21" s="182" t="e">
        <f t="shared" si="34"/>
        <v>#N/A</v>
      </c>
      <c r="C21" s="182" t="e">
        <f t="shared" si="34"/>
        <v>#N/A</v>
      </c>
      <c r="D21" s="182" t="e">
        <f t="shared" ref="D21:E21" si="35">IF($D$1="Team",IF(AD20="","",AD20),"")</f>
        <v>#N/A</v>
      </c>
      <c r="E21" s="182" t="e">
        <f t="shared" si="35"/>
        <v>#N/A</v>
      </c>
      <c r="F21" s="1" t="s">
        <v>1853</v>
      </c>
      <c r="G21" s="1">
        <v>0.9</v>
      </c>
      <c r="J21" s="170"/>
      <c r="K21" s="170"/>
      <c r="L21" s="169" t="s">
        <v>130</v>
      </c>
      <c r="M21" s="1" t="s">
        <v>1854</v>
      </c>
      <c r="N21" s="182">
        <v>1.1000000000000001</v>
      </c>
      <c r="O21" s="169" t="s">
        <v>130</v>
      </c>
      <c r="P21" s="1" t="s">
        <v>1854</v>
      </c>
      <c r="Q21" s="182">
        <v>1.1000000000000001</v>
      </c>
      <c r="R21" s="169" t="s">
        <v>130</v>
      </c>
      <c r="S21" s="1" t="s">
        <v>1854</v>
      </c>
      <c r="T21" s="182">
        <v>1.1000000000000001</v>
      </c>
      <c r="U21" s="169" t="s">
        <v>130</v>
      </c>
      <c r="V21" s="1" t="s">
        <v>1854</v>
      </c>
      <c r="W21" s="182">
        <v>1.1000000000000001</v>
      </c>
      <c r="Y21" s="182"/>
      <c r="AA21" s="182"/>
      <c r="AC21" s="182"/>
      <c r="AE21" s="182"/>
      <c r="AH21" s="1" t="s">
        <v>1854</v>
      </c>
      <c r="AI21" s="1" t="s">
        <v>1854</v>
      </c>
      <c r="AJ21" s="1">
        <v>1</v>
      </c>
    </row>
    <row r="22" spans="1:36" ht="15.75" customHeight="1" x14ac:dyDescent="0.3">
      <c r="A22" s="205" t="e">
        <f t="shared" ref="A22:C22" si="36">IF($B$1="Solo",IF(L21="","",L21),IF($B$1="Duet",IF(O21="","",O21),IF($B$1="Mixed",IF(R21="","",R21),IF(U21="","",U21))))</f>
        <v>#N/A</v>
      </c>
      <c r="B22" s="182" t="e">
        <f t="shared" si="36"/>
        <v>#N/A</v>
      </c>
      <c r="C22" s="182" t="e">
        <f t="shared" si="36"/>
        <v>#N/A</v>
      </c>
      <c r="D22" s="182" t="e">
        <f t="shared" ref="D22:E22" si="37">IF($D$1="Team",IF(AD21="","",AD21),"")</f>
        <v>#N/A</v>
      </c>
      <c r="E22" s="182" t="e">
        <f t="shared" si="37"/>
        <v>#N/A</v>
      </c>
      <c r="F22" s="1" t="s">
        <v>1854</v>
      </c>
      <c r="G22" s="1">
        <v>1.1000000000000001</v>
      </c>
      <c r="J22" s="170"/>
      <c r="K22" s="170"/>
      <c r="L22" s="169" t="s">
        <v>130</v>
      </c>
      <c r="M22" s="1" t="s">
        <v>1855</v>
      </c>
      <c r="N22" s="182">
        <v>1.1000000000000001</v>
      </c>
      <c r="O22" s="169" t="s">
        <v>130</v>
      </c>
      <c r="P22" s="1" t="s">
        <v>1855</v>
      </c>
      <c r="Q22" s="182">
        <v>1.1000000000000001</v>
      </c>
      <c r="R22" s="169" t="s">
        <v>130</v>
      </c>
      <c r="S22" s="1" t="s">
        <v>1855</v>
      </c>
      <c r="T22" s="182">
        <v>1.1000000000000001</v>
      </c>
      <c r="U22" s="169" t="s">
        <v>130</v>
      </c>
      <c r="V22" s="1" t="s">
        <v>1855</v>
      </c>
      <c r="W22" s="182">
        <v>1.1000000000000001</v>
      </c>
      <c r="Y22" s="182"/>
      <c r="AA22" s="182"/>
      <c r="AC22" s="182"/>
      <c r="AE22" s="182"/>
      <c r="AH22" s="1" t="s">
        <v>1855</v>
      </c>
      <c r="AI22" s="1" t="s">
        <v>1855</v>
      </c>
      <c r="AJ22" s="1">
        <v>1</v>
      </c>
    </row>
    <row r="23" spans="1:36" ht="15.75" customHeight="1" x14ac:dyDescent="0.3">
      <c r="A23" s="205" t="e">
        <f t="shared" ref="A23:C23" si="38">IF($B$1="Solo",IF(L22="","",L22),IF($B$1="Duet",IF(O22="","",O22),IF($B$1="Mixed",IF(R22="","",R22),IF(U22="","",U22))))</f>
        <v>#N/A</v>
      </c>
      <c r="B23" s="182" t="e">
        <f t="shared" si="38"/>
        <v>#N/A</v>
      </c>
      <c r="C23" s="182" t="e">
        <f t="shared" si="38"/>
        <v>#N/A</v>
      </c>
      <c r="D23" s="182" t="e">
        <f t="shared" ref="D23:E23" si="39">IF($D$1="Team",IF(AD22="","",AD22),"")</f>
        <v>#N/A</v>
      </c>
      <c r="E23" s="182" t="e">
        <f t="shared" si="39"/>
        <v>#N/A</v>
      </c>
      <c r="F23" s="1" t="s">
        <v>1855</v>
      </c>
      <c r="G23" s="1">
        <v>1.1000000000000001</v>
      </c>
      <c r="J23" s="170"/>
      <c r="K23" s="170"/>
      <c r="L23" s="169" t="s">
        <v>130</v>
      </c>
      <c r="M23" s="1" t="s">
        <v>1856</v>
      </c>
      <c r="N23" s="182">
        <v>1.1000000000000001</v>
      </c>
      <c r="O23" s="169" t="s">
        <v>130</v>
      </c>
      <c r="P23" s="1" t="s">
        <v>1856</v>
      </c>
      <c r="Q23" s="182">
        <v>1.1000000000000001</v>
      </c>
      <c r="R23" s="169" t="s">
        <v>130</v>
      </c>
      <c r="S23" s="1" t="s">
        <v>1856</v>
      </c>
      <c r="T23" s="182">
        <v>1.1000000000000001</v>
      </c>
      <c r="U23" s="169" t="s">
        <v>130</v>
      </c>
      <c r="V23" s="1" t="s">
        <v>1856</v>
      </c>
      <c r="W23" s="182">
        <v>1.1000000000000001</v>
      </c>
      <c r="Y23" s="182"/>
      <c r="AA23" s="182"/>
      <c r="AC23" s="182"/>
      <c r="AE23" s="182"/>
      <c r="AH23" s="1" t="s">
        <v>1856</v>
      </c>
      <c r="AI23" s="1" t="s">
        <v>1856</v>
      </c>
      <c r="AJ23" s="1">
        <v>1</v>
      </c>
    </row>
    <row r="24" spans="1:36" ht="15.75" customHeight="1" x14ac:dyDescent="0.3">
      <c r="A24" s="205" t="e">
        <f t="shared" ref="A24:C24" si="40">IF($B$1="Solo",IF(L23="","",L23),IF($B$1="Duet",IF(O23="","",O23),IF($B$1="Mixed",IF(R23="","",R23),IF(U23="","",U23))))</f>
        <v>#N/A</v>
      </c>
      <c r="B24" s="182" t="e">
        <f t="shared" si="40"/>
        <v>#N/A</v>
      </c>
      <c r="C24" s="182" t="e">
        <f t="shared" si="40"/>
        <v>#N/A</v>
      </c>
      <c r="D24" s="182" t="e">
        <f t="shared" ref="D24:E24" si="41">IF($D$1="Team",IF(AD23="","",AD23),"")</f>
        <v>#N/A</v>
      </c>
      <c r="E24" s="182" t="e">
        <f t="shared" si="41"/>
        <v>#N/A</v>
      </c>
      <c r="F24" s="1" t="s">
        <v>1856</v>
      </c>
      <c r="G24" s="1">
        <v>1.1000000000000001</v>
      </c>
      <c r="J24" s="170"/>
      <c r="K24" s="170"/>
      <c r="L24" s="169" t="s">
        <v>130</v>
      </c>
      <c r="M24" s="1" t="s">
        <v>1857</v>
      </c>
      <c r="N24" s="182">
        <v>1.5</v>
      </c>
      <c r="O24" s="169" t="s">
        <v>130</v>
      </c>
      <c r="P24" s="1" t="s">
        <v>1857</v>
      </c>
      <c r="Q24" s="182">
        <v>1.5</v>
      </c>
      <c r="R24" s="169" t="s">
        <v>130</v>
      </c>
      <c r="S24" s="1" t="s">
        <v>1857</v>
      </c>
      <c r="T24" s="182">
        <v>1.5</v>
      </c>
      <c r="U24" s="169" t="s">
        <v>130</v>
      </c>
      <c r="V24" s="1" t="s">
        <v>1857</v>
      </c>
      <c r="W24" s="182">
        <v>1.5</v>
      </c>
      <c r="Y24" s="182"/>
      <c r="AA24" s="182"/>
      <c r="AC24" s="182"/>
      <c r="AE24" s="182"/>
      <c r="AH24" s="1" t="s">
        <v>1857</v>
      </c>
      <c r="AI24" s="1" t="s">
        <v>1857</v>
      </c>
      <c r="AJ24" s="1">
        <v>1</v>
      </c>
    </row>
    <row r="25" spans="1:36" ht="15.75" customHeight="1" x14ac:dyDescent="0.3">
      <c r="A25" s="205" t="e">
        <f t="shared" ref="A25:C25" si="42">IF($B$1="Solo",IF(L24="","",L24),IF($B$1="Duet",IF(O24="","",O24),IF($B$1="Mixed",IF(R24="","",R24),IF(U24="","",U24))))</f>
        <v>#N/A</v>
      </c>
      <c r="B25" s="182" t="e">
        <f t="shared" si="42"/>
        <v>#N/A</v>
      </c>
      <c r="C25" s="182" t="e">
        <f t="shared" si="42"/>
        <v>#N/A</v>
      </c>
      <c r="D25" s="182" t="e">
        <f t="shared" ref="D25:E25" si="43">IF($D$1="Team",IF(AD24="","",AD24),"")</f>
        <v>#N/A</v>
      </c>
      <c r="E25" s="182" t="e">
        <f t="shared" si="43"/>
        <v>#N/A</v>
      </c>
      <c r="F25" s="1" t="s">
        <v>1857</v>
      </c>
      <c r="G25" s="1">
        <v>1.5</v>
      </c>
      <c r="J25" s="170"/>
      <c r="K25" s="170"/>
      <c r="L25" s="169" t="s">
        <v>130</v>
      </c>
      <c r="M25" s="1" t="s">
        <v>1858</v>
      </c>
      <c r="N25" s="182">
        <v>1.7</v>
      </c>
      <c r="O25" s="169" t="s">
        <v>130</v>
      </c>
      <c r="P25" s="1" t="s">
        <v>1858</v>
      </c>
      <c r="Q25" s="182">
        <v>1.7</v>
      </c>
      <c r="R25" s="169" t="s">
        <v>130</v>
      </c>
      <c r="S25" s="1" t="s">
        <v>1858</v>
      </c>
      <c r="T25" s="182">
        <v>1.7</v>
      </c>
      <c r="U25" s="169" t="s">
        <v>130</v>
      </c>
      <c r="V25" s="1" t="s">
        <v>1858</v>
      </c>
      <c r="W25" s="182">
        <v>1.7</v>
      </c>
      <c r="Y25" s="182"/>
      <c r="AA25" s="182"/>
      <c r="AC25" s="182"/>
      <c r="AE25" s="182"/>
      <c r="AH25" s="1" t="s">
        <v>1858</v>
      </c>
      <c r="AI25" s="1" t="s">
        <v>1858</v>
      </c>
      <c r="AJ25" s="1">
        <v>1</v>
      </c>
    </row>
    <row r="26" spans="1:36" ht="15.75" customHeight="1" x14ac:dyDescent="0.3">
      <c r="A26" s="205" t="e">
        <f t="shared" ref="A26:C26" si="44">IF($B$1="Solo",IF(L25="","",L25),IF($B$1="Duet",IF(O25="","",O25),IF($B$1="Mixed",IF(R25="","",R25),IF(U25="","",U25))))</f>
        <v>#N/A</v>
      </c>
      <c r="B26" s="182" t="e">
        <f t="shared" si="44"/>
        <v>#N/A</v>
      </c>
      <c r="C26" s="182" t="e">
        <f t="shared" si="44"/>
        <v>#N/A</v>
      </c>
      <c r="D26" s="182" t="e">
        <f t="shared" ref="D26:E26" si="45">IF($D$1="Team",IF(AD25="","",AD25),"")</f>
        <v>#N/A</v>
      </c>
      <c r="E26" s="182" t="e">
        <f t="shared" si="45"/>
        <v>#N/A</v>
      </c>
      <c r="F26" s="1" t="s">
        <v>1858</v>
      </c>
      <c r="G26" s="1">
        <v>1.7</v>
      </c>
      <c r="J26" s="170"/>
      <c r="K26" s="170"/>
      <c r="L26" s="169" t="s">
        <v>130</v>
      </c>
      <c r="M26" s="1" t="s">
        <v>1859</v>
      </c>
      <c r="N26" s="182">
        <v>2</v>
      </c>
      <c r="O26" s="169" t="s">
        <v>130</v>
      </c>
      <c r="P26" s="1" t="s">
        <v>1859</v>
      </c>
      <c r="Q26" s="182">
        <v>2</v>
      </c>
      <c r="R26" s="169" t="s">
        <v>130</v>
      </c>
      <c r="S26" s="1" t="s">
        <v>1859</v>
      </c>
      <c r="T26" s="182">
        <v>2</v>
      </c>
      <c r="U26" s="169" t="s">
        <v>130</v>
      </c>
      <c r="V26" s="1" t="s">
        <v>1859</v>
      </c>
      <c r="W26" s="182">
        <v>2</v>
      </c>
      <c r="Y26" s="182"/>
      <c r="AA26" s="182"/>
      <c r="AC26" s="182"/>
      <c r="AE26" s="182"/>
      <c r="AH26" s="1" t="s">
        <v>1859</v>
      </c>
      <c r="AI26" s="1" t="s">
        <v>1859</v>
      </c>
      <c r="AJ26" s="1">
        <v>1</v>
      </c>
    </row>
    <row r="27" spans="1:36" ht="15.75" customHeight="1" x14ac:dyDescent="0.3">
      <c r="A27" s="205" t="e">
        <f t="shared" ref="A27:C27" si="46">IF($B$1="Solo",IF(L26="","",L26),IF($B$1="Duet",IF(O26="","",O26),IF($B$1="Mixed",IF(R26="","",R26),IF(U26="","",U26))))</f>
        <v>#N/A</v>
      </c>
      <c r="B27" s="182" t="e">
        <f t="shared" si="46"/>
        <v>#N/A</v>
      </c>
      <c r="C27" s="182" t="e">
        <f t="shared" si="46"/>
        <v>#N/A</v>
      </c>
      <c r="D27" s="182" t="e">
        <f t="shared" ref="D27:E27" si="47">IF($D$1="Team",IF(AD26="","",AD26),"")</f>
        <v>#N/A</v>
      </c>
      <c r="E27" s="182" t="e">
        <f t="shared" si="47"/>
        <v>#N/A</v>
      </c>
      <c r="F27" s="1" t="s">
        <v>1859</v>
      </c>
      <c r="G27" s="1">
        <v>2</v>
      </c>
      <c r="J27" s="170"/>
      <c r="K27" s="170"/>
      <c r="L27" s="169" t="s">
        <v>130</v>
      </c>
      <c r="M27" s="1" t="s">
        <v>1860</v>
      </c>
      <c r="N27" s="182">
        <v>2</v>
      </c>
      <c r="O27" s="169" t="s">
        <v>130</v>
      </c>
      <c r="P27" s="1" t="s">
        <v>1860</v>
      </c>
      <c r="Q27" s="182">
        <v>2</v>
      </c>
      <c r="R27" s="169" t="s">
        <v>130</v>
      </c>
      <c r="S27" s="1" t="s">
        <v>1860</v>
      </c>
      <c r="T27" s="182">
        <v>2</v>
      </c>
      <c r="U27" s="169" t="s">
        <v>130</v>
      </c>
      <c r="V27" s="1" t="s">
        <v>1860</v>
      </c>
      <c r="W27" s="182">
        <v>2</v>
      </c>
      <c r="Y27" s="182"/>
      <c r="AA27" s="182"/>
      <c r="AC27" s="182"/>
      <c r="AE27" s="182"/>
      <c r="AH27" s="1" t="s">
        <v>1860</v>
      </c>
      <c r="AI27" s="1" t="s">
        <v>1860</v>
      </c>
      <c r="AJ27" s="1">
        <v>1</v>
      </c>
    </row>
    <row r="28" spans="1:36" ht="15.75" customHeight="1" x14ac:dyDescent="0.3">
      <c r="A28" s="205" t="e">
        <f t="shared" ref="A28:C28" si="48">IF($B$1="Solo",IF(L27="","",L27),IF($B$1="Duet",IF(O27="","",O27),IF($B$1="Mixed",IF(R27="","",R27),IF(U27="","",U27))))</f>
        <v>#N/A</v>
      </c>
      <c r="B28" s="182" t="e">
        <f t="shared" si="48"/>
        <v>#N/A</v>
      </c>
      <c r="C28" s="182" t="e">
        <f t="shared" si="48"/>
        <v>#N/A</v>
      </c>
      <c r="D28" s="182" t="e">
        <f t="shared" ref="D28:E28" si="49">IF($D$1="Team",IF(AD27="","",AD27),"")</f>
        <v>#N/A</v>
      </c>
      <c r="E28" s="182" t="e">
        <f t="shared" si="49"/>
        <v>#N/A</v>
      </c>
      <c r="F28" s="1" t="s">
        <v>1860</v>
      </c>
      <c r="G28" s="1">
        <v>2</v>
      </c>
      <c r="J28" s="170"/>
      <c r="K28" s="170"/>
      <c r="L28" s="169" t="s">
        <v>131</v>
      </c>
      <c r="M28" s="1" t="s">
        <v>1861</v>
      </c>
      <c r="N28" s="182">
        <v>0.15</v>
      </c>
      <c r="O28" s="169" t="s">
        <v>131</v>
      </c>
      <c r="P28" s="1" t="s">
        <v>1861</v>
      </c>
      <c r="Q28" s="182">
        <v>0.15</v>
      </c>
      <c r="R28" s="169" t="s">
        <v>131</v>
      </c>
      <c r="S28" s="1" t="s">
        <v>1861</v>
      </c>
      <c r="T28" s="182">
        <v>0.15</v>
      </c>
      <c r="U28" s="169" t="s">
        <v>131</v>
      </c>
      <c r="V28" s="1" t="s">
        <v>1861</v>
      </c>
      <c r="W28" s="182">
        <v>0.15</v>
      </c>
      <c r="Y28" s="182"/>
      <c r="AA28" s="182"/>
      <c r="AC28" s="182"/>
      <c r="AE28" s="182"/>
      <c r="AH28" s="1" t="s">
        <v>1861</v>
      </c>
      <c r="AI28" s="1" t="s">
        <v>1861</v>
      </c>
      <c r="AJ28" s="1">
        <v>1</v>
      </c>
    </row>
    <row r="29" spans="1:36" ht="15.75" customHeight="1" x14ac:dyDescent="0.3">
      <c r="A29" s="205" t="e">
        <f t="shared" ref="A29:C29" si="50">IF($B$1="Solo",IF(L28="","",L28),IF($B$1="Duet",IF(O28="","",O28),IF($B$1="Mixed",IF(R28="","",R28),IF(U28="","",U28))))</f>
        <v>#N/A</v>
      </c>
      <c r="B29" s="182" t="e">
        <f t="shared" si="50"/>
        <v>#N/A</v>
      </c>
      <c r="C29" s="182" t="e">
        <f t="shared" si="50"/>
        <v>#N/A</v>
      </c>
      <c r="D29" s="182" t="e">
        <f t="shared" ref="D29:E29" si="51">IF($D$1="Team",IF(AD28="","",AD28),"")</f>
        <v>#N/A</v>
      </c>
      <c r="E29" s="182" t="e">
        <f t="shared" si="51"/>
        <v>#N/A</v>
      </c>
      <c r="F29" s="1" t="s">
        <v>1862</v>
      </c>
      <c r="G29" s="1">
        <v>0.1</v>
      </c>
      <c r="J29" s="170"/>
      <c r="K29" s="170"/>
      <c r="L29" s="169" t="s">
        <v>131</v>
      </c>
      <c r="M29" s="1" t="s">
        <v>1863</v>
      </c>
      <c r="N29" s="182">
        <v>0.35</v>
      </c>
      <c r="O29" s="169" t="s">
        <v>131</v>
      </c>
      <c r="P29" s="1" t="s">
        <v>1863</v>
      </c>
      <c r="Q29" s="182">
        <v>0.35</v>
      </c>
      <c r="R29" s="169" t="s">
        <v>131</v>
      </c>
      <c r="S29" s="1" t="s">
        <v>1863</v>
      </c>
      <c r="T29" s="182">
        <v>0.35</v>
      </c>
      <c r="U29" s="169" t="s">
        <v>131</v>
      </c>
      <c r="V29" s="1" t="s">
        <v>1863</v>
      </c>
      <c r="W29" s="182">
        <v>0.35</v>
      </c>
      <c r="Y29" s="182"/>
      <c r="AA29" s="182"/>
      <c r="AC29" s="182"/>
      <c r="AE29" s="182"/>
      <c r="AH29" s="1" t="s">
        <v>1863</v>
      </c>
      <c r="AI29" s="1" t="s">
        <v>1863</v>
      </c>
      <c r="AJ29" s="1">
        <v>1</v>
      </c>
    </row>
    <row r="30" spans="1:36" ht="15.75" customHeight="1" x14ac:dyDescent="0.3">
      <c r="A30" s="205" t="e">
        <f t="shared" ref="A30:C30" si="52">IF($B$1="Solo",IF(L29="","",L29),IF($B$1="Duet",IF(O29="","",O29),IF($B$1="Mixed",IF(R29="","",R29),IF(U29="","",U29))))</f>
        <v>#N/A</v>
      </c>
      <c r="B30" s="182" t="e">
        <f t="shared" si="52"/>
        <v>#N/A</v>
      </c>
      <c r="C30" s="182" t="e">
        <f t="shared" si="52"/>
        <v>#N/A</v>
      </c>
      <c r="D30" s="182" t="e">
        <f t="shared" ref="D30:E30" si="53">IF($D$1="Team",IF(AD29="","",AD29),"")</f>
        <v>#N/A</v>
      </c>
      <c r="E30" s="182" t="e">
        <f t="shared" si="53"/>
        <v>#N/A</v>
      </c>
      <c r="F30" s="1" t="s">
        <v>1864</v>
      </c>
      <c r="G30" s="1">
        <v>0.2</v>
      </c>
      <c r="J30" s="170"/>
      <c r="K30" s="170"/>
      <c r="L30" s="169" t="s">
        <v>131</v>
      </c>
      <c r="M30" s="1" t="s">
        <v>1865</v>
      </c>
      <c r="N30" s="182">
        <v>0.4</v>
      </c>
      <c r="O30" s="169" t="s">
        <v>131</v>
      </c>
      <c r="P30" s="1" t="s">
        <v>1865</v>
      </c>
      <c r="Q30" s="182">
        <v>0.4</v>
      </c>
      <c r="R30" s="169" t="s">
        <v>131</v>
      </c>
      <c r="S30" s="1" t="s">
        <v>1865</v>
      </c>
      <c r="T30" s="182">
        <v>0.4</v>
      </c>
      <c r="U30" s="169" t="s">
        <v>131</v>
      </c>
      <c r="V30" s="1" t="s">
        <v>1865</v>
      </c>
      <c r="W30" s="182">
        <v>0.4</v>
      </c>
      <c r="Y30" s="182"/>
      <c r="AA30" s="182"/>
      <c r="AC30" s="182"/>
      <c r="AE30" s="182"/>
      <c r="AH30" s="1" t="s">
        <v>1865</v>
      </c>
      <c r="AI30" s="1" t="s">
        <v>1865</v>
      </c>
      <c r="AJ30" s="1">
        <v>1</v>
      </c>
    </row>
    <row r="31" spans="1:36" ht="15.75" customHeight="1" x14ac:dyDescent="0.3">
      <c r="A31" s="205" t="e">
        <f t="shared" ref="A31:C31" si="54">IF($B$1="Solo",IF(L30="","",L30),IF($B$1="Duet",IF(O30="","",O30),IF($B$1="Mixed",IF(R30="","",R30),IF(U30="","",U30))))</f>
        <v>#N/A</v>
      </c>
      <c r="B31" s="182" t="e">
        <f t="shared" si="54"/>
        <v>#N/A</v>
      </c>
      <c r="C31" s="182" t="e">
        <f t="shared" si="54"/>
        <v>#N/A</v>
      </c>
      <c r="D31" s="182" t="e">
        <f t="shared" ref="D31:E31" si="55">IF($D$1="Team",IF(AD30="","",AD30),"")</f>
        <v>#N/A</v>
      </c>
      <c r="E31" s="182" t="e">
        <f t="shared" si="55"/>
        <v>#N/A</v>
      </c>
      <c r="F31" s="1" t="s">
        <v>1866</v>
      </c>
      <c r="G31" s="1">
        <v>0.2</v>
      </c>
      <c r="J31" s="170"/>
      <c r="K31" s="170"/>
      <c r="L31" s="169" t="s">
        <v>131</v>
      </c>
      <c r="M31" s="1" t="s">
        <v>1867</v>
      </c>
      <c r="N31" s="182">
        <v>0.35</v>
      </c>
      <c r="O31" s="169" t="s">
        <v>131</v>
      </c>
      <c r="P31" s="1" t="s">
        <v>1867</v>
      </c>
      <c r="Q31" s="182">
        <v>0.35</v>
      </c>
      <c r="R31" s="169" t="s">
        <v>131</v>
      </c>
      <c r="S31" s="1" t="s">
        <v>1867</v>
      </c>
      <c r="T31" s="182">
        <v>0.35</v>
      </c>
      <c r="U31" s="169" t="s">
        <v>131</v>
      </c>
      <c r="V31" s="1" t="s">
        <v>1867</v>
      </c>
      <c r="W31" s="182">
        <v>0.35</v>
      </c>
      <c r="Y31" s="182"/>
      <c r="AA31" s="182"/>
      <c r="AC31" s="182"/>
      <c r="AE31" s="182"/>
      <c r="AH31" s="1" t="s">
        <v>1867</v>
      </c>
      <c r="AI31" s="1" t="s">
        <v>1867</v>
      </c>
      <c r="AJ31" s="1">
        <v>1</v>
      </c>
    </row>
    <row r="32" spans="1:36" ht="15.75" customHeight="1" x14ac:dyDescent="0.3">
      <c r="A32" s="205" t="e">
        <f t="shared" ref="A32:C32" si="56">IF($B$1="Solo",IF(L31="","",L31),IF($B$1="Duet",IF(O31="","",O31),IF($B$1="Mixed",IF(R31="","",R31),IF(U31="","",U31))))</f>
        <v>#N/A</v>
      </c>
      <c r="B32" s="182" t="e">
        <f t="shared" si="56"/>
        <v>#N/A</v>
      </c>
      <c r="C32" s="182" t="e">
        <f t="shared" si="56"/>
        <v>#N/A</v>
      </c>
      <c r="D32" s="182" t="e">
        <f t="shared" ref="D32:E32" si="57">IF($D$1="Team",IF(AD31="","",AD31),"")</f>
        <v>#N/A</v>
      </c>
      <c r="E32" s="182" t="e">
        <f t="shared" si="57"/>
        <v>#N/A</v>
      </c>
      <c r="F32" s="1" t="s">
        <v>1868</v>
      </c>
      <c r="G32" s="1">
        <v>0.3</v>
      </c>
      <c r="J32" s="170"/>
      <c r="K32" s="170"/>
      <c r="L32" s="169" t="s">
        <v>131</v>
      </c>
      <c r="M32" s="1" t="s">
        <v>1869</v>
      </c>
      <c r="N32" s="182">
        <v>0.8</v>
      </c>
      <c r="O32" s="169" t="s">
        <v>131</v>
      </c>
      <c r="P32" s="1" t="s">
        <v>1869</v>
      </c>
      <c r="Q32" s="182">
        <v>0.8</v>
      </c>
      <c r="R32" s="169" t="s">
        <v>131</v>
      </c>
      <c r="S32" s="1" t="s">
        <v>1869</v>
      </c>
      <c r="T32" s="182">
        <v>0.8</v>
      </c>
      <c r="U32" s="169" t="s">
        <v>131</v>
      </c>
      <c r="V32" s="1" t="s">
        <v>1869</v>
      </c>
      <c r="W32" s="182">
        <v>0.8</v>
      </c>
      <c r="Y32" s="182"/>
      <c r="AA32" s="182"/>
      <c r="AC32" s="182"/>
      <c r="AE32" s="182"/>
      <c r="AH32" s="1" t="s">
        <v>1869</v>
      </c>
      <c r="AI32" s="1" t="s">
        <v>1869</v>
      </c>
      <c r="AJ32" s="1">
        <v>1</v>
      </c>
    </row>
    <row r="33" spans="1:36" ht="15.75" customHeight="1" x14ac:dyDescent="0.3">
      <c r="A33" s="205" t="e">
        <f t="shared" ref="A33:C33" si="58">IF($B$1="Solo",IF(L32="","",L32),IF($B$1="Duet",IF(O32="","",O32),IF($B$1="Mixed",IF(R32="","",R32),IF(U32="","",U32))))</f>
        <v>#N/A</v>
      </c>
      <c r="B33" s="182" t="e">
        <f t="shared" si="58"/>
        <v>#N/A</v>
      </c>
      <c r="C33" s="182" t="e">
        <f t="shared" si="58"/>
        <v>#N/A</v>
      </c>
      <c r="D33" s="182" t="e">
        <f t="shared" ref="D33:E33" si="59">IF($D$1="Team",IF(AD32="","",AD32),"")</f>
        <v>#N/A</v>
      </c>
      <c r="E33" s="182" t="e">
        <f t="shared" si="59"/>
        <v>#N/A</v>
      </c>
      <c r="F33" s="1" t="s">
        <v>1870</v>
      </c>
      <c r="G33" s="1">
        <v>0.3</v>
      </c>
      <c r="J33" s="170"/>
      <c r="K33" s="170"/>
      <c r="L33" s="169" t="s">
        <v>131</v>
      </c>
      <c r="M33" s="1" t="s">
        <v>1871</v>
      </c>
      <c r="N33" s="182">
        <v>0.85</v>
      </c>
      <c r="O33" s="169" t="s">
        <v>131</v>
      </c>
      <c r="P33" s="1" t="s">
        <v>1871</v>
      </c>
      <c r="Q33" s="182">
        <v>0.85</v>
      </c>
      <c r="R33" s="169" t="s">
        <v>131</v>
      </c>
      <c r="S33" s="1" t="s">
        <v>1871</v>
      </c>
      <c r="T33" s="182">
        <v>0.85</v>
      </c>
      <c r="U33" s="169" t="s">
        <v>131</v>
      </c>
      <c r="V33" s="1" t="s">
        <v>1871</v>
      </c>
      <c r="W33" s="182">
        <v>0.85</v>
      </c>
      <c r="AE33" s="182"/>
      <c r="AH33" s="1" t="s">
        <v>1871</v>
      </c>
      <c r="AI33" s="1" t="s">
        <v>1871</v>
      </c>
      <c r="AJ33" s="1">
        <v>1</v>
      </c>
    </row>
    <row r="34" spans="1:36" ht="15.75" customHeight="1" x14ac:dyDescent="0.3">
      <c r="A34" s="205" t="e">
        <f t="shared" ref="A34:C34" si="60">IF($B$1="Solo",IF(L33="","",L33),IF($B$1="Duet",IF(O33="","",O33),IF($B$1="Mixed",IF(R33="","",R33),IF(U33="","",U33))))</f>
        <v>#N/A</v>
      </c>
      <c r="B34" s="182" t="e">
        <f t="shared" si="60"/>
        <v>#N/A</v>
      </c>
      <c r="C34" s="182" t="e">
        <f t="shared" si="60"/>
        <v>#N/A</v>
      </c>
      <c r="D34" s="182" t="e">
        <f t="shared" ref="D34:E34" si="61">IF($D$1="Team",IF(AD33="","",AD33),"")</f>
        <v>#N/A</v>
      </c>
      <c r="E34" s="182" t="e">
        <f t="shared" si="61"/>
        <v>#N/A</v>
      </c>
      <c r="F34" s="1" t="s">
        <v>1872</v>
      </c>
      <c r="G34" s="1">
        <v>0.3</v>
      </c>
      <c r="J34" s="170"/>
      <c r="K34" s="170"/>
      <c r="L34" s="169" t="s">
        <v>131</v>
      </c>
      <c r="M34" s="1" t="s">
        <v>1873</v>
      </c>
      <c r="N34" s="182">
        <v>0.75</v>
      </c>
      <c r="O34" s="169" t="s">
        <v>131</v>
      </c>
      <c r="P34" s="1" t="s">
        <v>1873</v>
      </c>
      <c r="Q34" s="182">
        <v>0.75</v>
      </c>
      <c r="R34" s="169" t="s">
        <v>131</v>
      </c>
      <c r="S34" s="1" t="s">
        <v>1873</v>
      </c>
      <c r="T34" s="182">
        <v>0.75</v>
      </c>
      <c r="U34" s="169" t="s">
        <v>131</v>
      </c>
      <c r="V34" s="1" t="s">
        <v>1873</v>
      </c>
      <c r="W34" s="182">
        <v>0.75</v>
      </c>
      <c r="AE34" s="182"/>
      <c r="AH34" s="1" t="s">
        <v>1873</v>
      </c>
      <c r="AI34" s="1" t="s">
        <v>1873</v>
      </c>
      <c r="AJ34" s="1">
        <v>1</v>
      </c>
    </row>
    <row r="35" spans="1:36" ht="15.75" customHeight="1" x14ac:dyDescent="0.3">
      <c r="A35" s="205" t="e">
        <f t="shared" ref="A35:C35" si="62">IF($B$1="Solo",IF(L34="","",L34),IF($B$1="Duet",IF(O34="","",O34),IF($B$1="Mixed",IF(R34="","",R34),IF(U34="","",U34))))</f>
        <v>#N/A</v>
      </c>
      <c r="B35" s="182" t="e">
        <f t="shared" si="62"/>
        <v>#N/A</v>
      </c>
      <c r="C35" s="182" t="e">
        <f t="shared" si="62"/>
        <v>#N/A</v>
      </c>
      <c r="D35" s="182" t="e">
        <f t="shared" ref="D35:E35" si="63">IF($D$1="Team",IF(AD34="","",AD34),"")</f>
        <v>#N/A</v>
      </c>
      <c r="E35" s="182" t="e">
        <f t="shared" si="63"/>
        <v>#N/A</v>
      </c>
      <c r="F35" s="1" t="s">
        <v>1874</v>
      </c>
      <c r="G35" s="1">
        <v>0.4</v>
      </c>
      <c r="J35" s="170"/>
      <c r="K35" s="170"/>
      <c r="L35" s="169" t="s">
        <v>131</v>
      </c>
      <c r="M35" s="1" t="s">
        <v>1875</v>
      </c>
      <c r="N35" s="182">
        <v>1.6</v>
      </c>
      <c r="O35" s="169" t="s">
        <v>131</v>
      </c>
      <c r="P35" s="1" t="s">
        <v>1875</v>
      </c>
      <c r="Q35" s="182">
        <v>1.6</v>
      </c>
      <c r="R35" s="169" t="s">
        <v>131</v>
      </c>
      <c r="S35" s="1" t="s">
        <v>1875</v>
      </c>
      <c r="T35" s="182">
        <v>1.6</v>
      </c>
      <c r="U35" s="169" t="s">
        <v>131</v>
      </c>
      <c r="V35" s="1" t="s">
        <v>1875</v>
      </c>
      <c r="W35" s="182">
        <v>1.6</v>
      </c>
      <c r="AE35" s="182"/>
      <c r="AH35" s="1" t="s">
        <v>1875</v>
      </c>
      <c r="AI35" s="1" t="s">
        <v>1875</v>
      </c>
      <c r="AJ35" s="1">
        <v>1</v>
      </c>
    </row>
    <row r="36" spans="1:36" ht="15.75" customHeight="1" x14ac:dyDescent="0.3">
      <c r="A36" s="205" t="e">
        <f t="shared" ref="A36:C36" si="64">IF($B$1="Solo",IF(L35="","",L35),IF($B$1="Duet",IF(O35="","",O35),IF($B$1="Mixed",IF(R35="","",R35),IF(U35="","",U35))))</f>
        <v>#N/A</v>
      </c>
      <c r="B36" s="182" t="e">
        <f t="shared" si="64"/>
        <v>#N/A</v>
      </c>
      <c r="C36" s="182" t="e">
        <f t="shared" si="64"/>
        <v>#N/A</v>
      </c>
      <c r="D36" s="182" t="e">
        <f t="shared" ref="D36:E36" si="65">IF($D$1="Team",IF(AD35="","",AD35),"")</f>
        <v>#N/A</v>
      </c>
      <c r="E36" s="182" t="e">
        <f t="shared" si="65"/>
        <v>#N/A</v>
      </c>
      <c r="F36" s="1" t="s">
        <v>1876</v>
      </c>
      <c r="G36" s="1">
        <v>0.5</v>
      </c>
      <c r="J36" s="170"/>
      <c r="K36" s="170"/>
      <c r="L36" s="169" t="s">
        <v>131</v>
      </c>
      <c r="M36" s="1" t="s">
        <v>1877</v>
      </c>
      <c r="N36" s="182">
        <v>1.65</v>
      </c>
      <c r="O36" s="169" t="s">
        <v>131</v>
      </c>
      <c r="P36" s="1" t="s">
        <v>1877</v>
      </c>
      <c r="Q36" s="182">
        <v>1.65</v>
      </c>
      <c r="R36" s="169" t="s">
        <v>131</v>
      </c>
      <c r="S36" s="1" t="s">
        <v>1877</v>
      </c>
      <c r="T36" s="182">
        <v>1.65</v>
      </c>
      <c r="U36" s="169" t="s">
        <v>131</v>
      </c>
      <c r="V36" s="1" t="s">
        <v>1877</v>
      </c>
      <c r="W36" s="182">
        <v>1.65</v>
      </c>
      <c r="AE36" s="182"/>
      <c r="AH36" s="1" t="s">
        <v>1877</v>
      </c>
      <c r="AI36" s="1" t="s">
        <v>1877</v>
      </c>
      <c r="AJ36" s="1">
        <v>1</v>
      </c>
    </row>
    <row r="37" spans="1:36" ht="15.75" customHeight="1" x14ac:dyDescent="0.3">
      <c r="A37" s="205" t="e">
        <f t="shared" ref="A37:C37" si="66">IF($B$1="Solo",IF(L36="","",L36),IF($B$1="Duet",IF(O36="","",O36),IF($B$1="Mixed",IF(R36="","",R36),IF(U36="","",U36))))</f>
        <v>#N/A</v>
      </c>
      <c r="B37" s="182" t="e">
        <f t="shared" si="66"/>
        <v>#N/A</v>
      </c>
      <c r="C37" s="182" t="e">
        <f t="shared" si="66"/>
        <v>#N/A</v>
      </c>
      <c r="D37" s="182" t="e">
        <f t="shared" ref="D37:E37" si="67">IF($D$1="Team",IF(AD36="","",AD36),"")</f>
        <v>#N/A</v>
      </c>
      <c r="E37" s="182" t="e">
        <f t="shared" si="67"/>
        <v>#N/A</v>
      </c>
      <c r="F37" s="1" t="s">
        <v>1878</v>
      </c>
      <c r="G37" s="1">
        <v>1</v>
      </c>
      <c r="J37" s="170"/>
      <c r="K37" s="170"/>
      <c r="L37" s="169" t="s">
        <v>131</v>
      </c>
      <c r="M37" s="1" t="s">
        <v>1879</v>
      </c>
      <c r="N37" s="182">
        <v>1.1499999999999999</v>
      </c>
      <c r="O37" s="169" t="s">
        <v>131</v>
      </c>
      <c r="P37" s="1" t="s">
        <v>1879</v>
      </c>
      <c r="Q37" s="182">
        <v>1.1499999999999999</v>
      </c>
      <c r="R37" s="169" t="s">
        <v>131</v>
      </c>
      <c r="S37" s="1" t="s">
        <v>1879</v>
      </c>
      <c r="T37" s="182">
        <v>1.1499999999999999</v>
      </c>
      <c r="U37" s="169" t="s">
        <v>131</v>
      </c>
      <c r="V37" s="1" t="s">
        <v>1879</v>
      </c>
      <c r="W37" s="182">
        <v>1.1499999999999999</v>
      </c>
      <c r="AE37" s="182"/>
      <c r="AH37" s="1" t="s">
        <v>1879</v>
      </c>
      <c r="AI37" s="1" t="s">
        <v>1879</v>
      </c>
      <c r="AJ37" s="1">
        <v>1</v>
      </c>
    </row>
    <row r="38" spans="1:36" ht="15.75" customHeight="1" x14ac:dyDescent="0.3">
      <c r="A38" s="205" t="e">
        <f t="shared" ref="A38:C38" si="68">IF($B$1="Solo",IF(L37="","",L37),IF($B$1="Duet",IF(O37="","",O37),IF($B$1="Mixed",IF(R37="","",R37),IF(U37="","",U37))))</f>
        <v>#N/A</v>
      </c>
      <c r="B38" s="182" t="e">
        <f t="shared" si="68"/>
        <v>#N/A</v>
      </c>
      <c r="C38" s="182" t="e">
        <f t="shared" si="68"/>
        <v>#N/A</v>
      </c>
      <c r="D38" s="182" t="e">
        <f t="shared" ref="D38:E38" si="69">IF($D$1="Team",IF(AD37="","",AD37),"")</f>
        <v>#N/A</v>
      </c>
      <c r="E38" s="182" t="e">
        <f t="shared" si="69"/>
        <v>#N/A</v>
      </c>
      <c r="F38" s="1" t="s">
        <v>1880</v>
      </c>
      <c r="G38" s="1">
        <v>1.25</v>
      </c>
      <c r="J38" s="170"/>
      <c r="K38" s="170"/>
      <c r="L38" s="169" t="s">
        <v>131</v>
      </c>
      <c r="M38" s="1" t="s">
        <v>1881</v>
      </c>
      <c r="N38" s="182">
        <v>2.4</v>
      </c>
      <c r="O38" s="169" t="s">
        <v>131</v>
      </c>
      <c r="P38" s="1" t="s">
        <v>1881</v>
      </c>
      <c r="Q38" s="182">
        <v>2.4</v>
      </c>
      <c r="R38" s="169" t="s">
        <v>131</v>
      </c>
      <c r="S38" s="1" t="s">
        <v>1881</v>
      </c>
      <c r="T38" s="182">
        <v>2.4</v>
      </c>
      <c r="U38" s="169" t="s">
        <v>131</v>
      </c>
      <c r="V38" s="1" t="s">
        <v>1881</v>
      </c>
      <c r="W38" s="182">
        <v>2.4</v>
      </c>
      <c r="AE38" s="182"/>
      <c r="AH38" s="1" t="s">
        <v>1881</v>
      </c>
      <c r="AI38" s="1" t="s">
        <v>1881</v>
      </c>
      <c r="AJ38" s="1">
        <v>1</v>
      </c>
    </row>
    <row r="39" spans="1:36" ht="15.75" customHeight="1" x14ac:dyDescent="0.3">
      <c r="A39" s="205" t="e">
        <f t="shared" ref="A39:C39" si="70">IF($B$1="Solo",IF(L38="","",L38),IF($B$1="Duet",IF(O38="","",O38),IF($B$1="Mixed",IF(R38="","",R38),IF(U38="","",U38))))</f>
        <v>#N/A</v>
      </c>
      <c r="B39" s="182" t="e">
        <f t="shared" si="70"/>
        <v>#N/A</v>
      </c>
      <c r="C39" s="182" t="e">
        <f t="shared" si="70"/>
        <v>#N/A</v>
      </c>
      <c r="D39" s="182" t="e">
        <f t="shared" ref="D39:E39" si="71">IF($D$1="Team",IF(AD38="","",AD38),"")</f>
        <v>#N/A</v>
      </c>
      <c r="E39" s="182" t="e">
        <f t="shared" si="71"/>
        <v>#N/A</v>
      </c>
      <c r="F39" s="1" t="s">
        <v>1882</v>
      </c>
      <c r="G39" s="1">
        <v>1.25</v>
      </c>
      <c r="J39" s="170"/>
      <c r="K39" s="170"/>
      <c r="L39" s="169" t="s">
        <v>131</v>
      </c>
      <c r="M39" s="1" t="s">
        <v>1883</v>
      </c>
      <c r="N39" s="182">
        <v>2.4500000000000002</v>
      </c>
      <c r="O39" s="169" t="s">
        <v>131</v>
      </c>
      <c r="P39" s="1" t="s">
        <v>1883</v>
      </c>
      <c r="Q39" s="182">
        <v>2.4500000000000002</v>
      </c>
      <c r="R39" s="169" t="s">
        <v>131</v>
      </c>
      <c r="S39" s="1" t="s">
        <v>1883</v>
      </c>
      <c r="T39" s="182">
        <v>2.4500000000000002</v>
      </c>
      <c r="U39" s="169" t="s">
        <v>131</v>
      </c>
      <c r="V39" s="1" t="s">
        <v>1883</v>
      </c>
      <c r="W39" s="182">
        <v>2.4500000000000002</v>
      </c>
      <c r="AE39" s="182"/>
      <c r="AH39" s="1" t="s">
        <v>1883</v>
      </c>
      <c r="AI39" s="1" t="s">
        <v>1883</v>
      </c>
      <c r="AJ39" s="1">
        <v>1</v>
      </c>
    </row>
    <row r="40" spans="1:36" ht="15.75" customHeight="1" x14ac:dyDescent="0.3">
      <c r="A40" s="205" t="e">
        <f t="shared" ref="A40:C40" si="72">IF($B$1="Solo",IF(L39="","",L39),IF($B$1="Duet",IF(O39="","",O39),IF($B$1="Mixed",IF(R39="","",R39),IF(U39="","",U39))))</f>
        <v>#N/A</v>
      </c>
      <c r="B40" s="182" t="e">
        <f t="shared" si="72"/>
        <v>#N/A</v>
      </c>
      <c r="C40" s="182" t="e">
        <f t="shared" si="72"/>
        <v>#N/A</v>
      </c>
      <c r="D40" s="182" t="e">
        <f t="shared" ref="D40:E40" si="73">IF($D$1="Team",IF(AD39="","",AD39),"")</f>
        <v>#N/A</v>
      </c>
      <c r="E40" s="182" t="e">
        <f t="shared" si="73"/>
        <v>#N/A</v>
      </c>
      <c r="F40" s="1" t="s">
        <v>1884</v>
      </c>
      <c r="G40" s="1">
        <v>1.5</v>
      </c>
      <c r="J40" s="170"/>
      <c r="K40" s="170"/>
      <c r="L40" s="169" t="s">
        <v>131</v>
      </c>
      <c r="M40" s="1" t="s">
        <v>1885</v>
      </c>
      <c r="N40" s="182">
        <v>1.55</v>
      </c>
      <c r="O40" s="169" t="s">
        <v>131</v>
      </c>
      <c r="P40" s="1" t="s">
        <v>1885</v>
      </c>
      <c r="Q40" s="182">
        <v>1.55</v>
      </c>
      <c r="R40" s="169" t="s">
        <v>131</v>
      </c>
      <c r="S40" s="1" t="s">
        <v>1885</v>
      </c>
      <c r="T40" s="182">
        <v>1.55</v>
      </c>
      <c r="U40" s="169" t="s">
        <v>131</v>
      </c>
      <c r="V40" s="1" t="s">
        <v>1885</v>
      </c>
      <c r="W40" s="182">
        <v>1.55</v>
      </c>
      <c r="AE40" s="182"/>
      <c r="AH40" s="1" t="s">
        <v>1885</v>
      </c>
      <c r="AI40" s="1" t="s">
        <v>1885</v>
      </c>
      <c r="AJ40" s="1">
        <v>1</v>
      </c>
    </row>
    <row r="41" spans="1:36" ht="15.75" customHeight="1" x14ac:dyDescent="0.3">
      <c r="A41" s="205" t="e">
        <f t="shared" ref="A41:C41" si="74">IF($B$1="Solo",IF(L40="","",L40),IF($B$1="Duet",IF(O40="","",O40),IF($B$1="Mixed",IF(R40="","",R40),IF(U40="","",U40))))</f>
        <v>#N/A</v>
      </c>
      <c r="B41" s="182" t="e">
        <f t="shared" si="74"/>
        <v>#N/A</v>
      </c>
      <c r="C41" s="182" t="e">
        <f t="shared" si="74"/>
        <v>#N/A</v>
      </c>
      <c r="D41" s="182" t="e">
        <f t="shared" ref="D41:E41" si="75">IF($D$1="Team",IF(AD40="","",AD40),"")</f>
        <v>#N/A</v>
      </c>
      <c r="E41" s="182" t="e">
        <f t="shared" si="75"/>
        <v>#N/A</v>
      </c>
      <c r="F41" s="1" t="s">
        <v>1886</v>
      </c>
      <c r="G41" s="1">
        <v>0.15</v>
      </c>
      <c r="J41" s="170"/>
      <c r="K41" s="170"/>
      <c r="L41" s="169" t="s">
        <v>131</v>
      </c>
      <c r="M41" s="1" t="s">
        <v>1887</v>
      </c>
      <c r="N41" s="182">
        <v>3.2</v>
      </c>
      <c r="O41" s="169" t="s">
        <v>131</v>
      </c>
      <c r="P41" s="1" t="s">
        <v>1887</v>
      </c>
      <c r="Q41" s="182">
        <v>3.2</v>
      </c>
      <c r="R41" s="169" t="s">
        <v>131</v>
      </c>
      <c r="S41" s="1" t="s">
        <v>1887</v>
      </c>
      <c r="T41" s="182">
        <v>3.2</v>
      </c>
      <c r="U41" s="169" t="s">
        <v>131</v>
      </c>
      <c r="V41" s="1" t="s">
        <v>1887</v>
      </c>
      <c r="W41" s="182">
        <v>3.2</v>
      </c>
      <c r="AE41" s="182"/>
      <c r="AH41" s="1" t="s">
        <v>1887</v>
      </c>
      <c r="AI41" s="1" t="s">
        <v>1887</v>
      </c>
      <c r="AJ41" s="1">
        <v>1</v>
      </c>
    </row>
    <row r="42" spans="1:36" ht="15.75" customHeight="1" x14ac:dyDescent="0.3">
      <c r="A42" s="205" t="e">
        <f t="shared" ref="A42:C42" si="76">IF($B$1="Solo",IF(L41="","",L41),IF($B$1="Duet",IF(O41="","",O41),IF($B$1="Mixed",IF(R41="","",R41),IF(U41="","",U41))))</f>
        <v>#N/A</v>
      </c>
      <c r="B42" s="182" t="e">
        <f t="shared" si="76"/>
        <v>#N/A</v>
      </c>
      <c r="C42" s="182" t="e">
        <f t="shared" si="76"/>
        <v>#N/A</v>
      </c>
      <c r="D42" s="182" t="e">
        <f t="shared" ref="D42:E42" si="77">IF($D$1="Team",IF(AD41="","",AD41),"")</f>
        <v>#N/A</v>
      </c>
      <c r="E42" s="182" t="e">
        <f t="shared" si="77"/>
        <v>#N/A</v>
      </c>
      <c r="F42" s="1" t="s">
        <v>1888</v>
      </c>
      <c r="G42" s="1">
        <v>0.22500000000000001</v>
      </c>
      <c r="J42" s="170"/>
      <c r="K42" s="170"/>
      <c r="L42" s="169" t="s">
        <v>131</v>
      </c>
      <c r="M42" s="1" t="s">
        <v>1889</v>
      </c>
      <c r="N42" s="182">
        <v>3.25</v>
      </c>
      <c r="O42" s="169" t="s">
        <v>131</v>
      </c>
      <c r="P42" s="1" t="s">
        <v>1889</v>
      </c>
      <c r="Q42" s="182">
        <v>3.25</v>
      </c>
      <c r="R42" s="169" t="s">
        <v>131</v>
      </c>
      <c r="S42" s="1" t="s">
        <v>1889</v>
      </c>
      <c r="T42" s="182">
        <v>3.25</v>
      </c>
      <c r="U42" s="169" t="s">
        <v>131</v>
      </c>
      <c r="V42" s="1" t="s">
        <v>1889</v>
      </c>
      <c r="W42" s="182">
        <v>3.25</v>
      </c>
      <c r="AH42" s="1" t="s">
        <v>1889</v>
      </c>
      <c r="AI42" s="1" t="s">
        <v>1889</v>
      </c>
      <c r="AJ42" s="1">
        <v>1</v>
      </c>
    </row>
    <row r="43" spans="1:36" ht="15.75" customHeight="1" x14ac:dyDescent="0.3">
      <c r="A43" s="205" t="e">
        <f t="shared" ref="A43:C43" si="78">IF($B$1="Solo",IF(L42="","",L42),IF($B$1="Duet",IF(O42="","",O42),IF($B$1="Mixed",IF(R42="","",R42),IF(U42="","",U42))))</f>
        <v>#N/A</v>
      </c>
      <c r="B43" s="182" t="e">
        <f t="shared" si="78"/>
        <v>#N/A</v>
      </c>
      <c r="C43" s="182" t="e">
        <f t="shared" si="78"/>
        <v>#N/A</v>
      </c>
      <c r="D43" s="182" t="e">
        <f t="shared" ref="D43:E43" si="79">IF($D$1="Team",IF(AD42="","",AD42),"")</f>
        <v>#N/A</v>
      </c>
      <c r="E43" s="182" t="e">
        <f t="shared" si="79"/>
        <v>#N/A</v>
      </c>
      <c r="F43" s="1" t="s">
        <v>1890</v>
      </c>
      <c r="G43" s="1">
        <v>0.25</v>
      </c>
      <c r="J43" s="170"/>
      <c r="K43" s="170"/>
      <c r="L43" s="169" t="s">
        <v>131</v>
      </c>
      <c r="M43" s="1" t="s">
        <v>1891</v>
      </c>
      <c r="N43" s="182">
        <v>1.95</v>
      </c>
      <c r="O43" s="169" t="s">
        <v>131</v>
      </c>
      <c r="P43" s="1" t="s">
        <v>1891</v>
      </c>
      <c r="Q43" s="182">
        <v>1.95</v>
      </c>
      <c r="R43" s="169" t="s">
        <v>131</v>
      </c>
      <c r="S43" s="1" t="s">
        <v>1891</v>
      </c>
      <c r="T43" s="182">
        <v>1.95</v>
      </c>
      <c r="U43" s="169" t="s">
        <v>131</v>
      </c>
      <c r="V43" s="1" t="s">
        <v>1891</v>
      </c>
      <c r="W43" s="182">
        <v>1.95</v>
      </c>
      <c r="AH43" s="1" t="s">
        <v>1891</v>
      </c>
      <c r="AI43" s="1" t="s">
        <v>1891</v>
      </c>
      <c r="AJ43" s="1">
        <v>1</v>
      </c>
    </row>
    <row r="44" spans="1:36" ht="15.75" customHeight="1" x14ac:dyDescent="0.3">
      <c r="A44" s="205" t="e">
        <f t="shared" ref="A44:C44" si="80">IF($B$1="Solo",IF(L43="","",L43),IF($B$1="Duet",IF(O43="","",O43),IF($B$1="Mixed",IF(R43="","",R43),IF(U43="","",U43))))</f>
        <v>#N/A</v>
      </c>
      <c r="B44" s="182" t="e">
        <f t="shared" si="80"/>
        <v>#N/A</v>
      </c>
      <c r="C44" s="182" t="e">
        <f t="shared" si="80"/>
        <v>#N/A</v>
      </c>
      <c r="D44" s="182" t="e">
        <f t="shared" ref="D44:E44" si="81">IF($D$1="Team",IF(AD43="","",AD43),"")</f>
        <v>#N/A</v>
      </c>
      <c r="E44" s="182" t="e">
        <f t="shared" si="81"/>
        <v>#N/A</v>
      </c>
      <c r="F44" s="1" t="s">
        <v>1892</v>
      </c>
      <c r="G44" s="1">
        <v>0.25</v>
      </c>
      <c r="J44" s="170"/>
      <c r="K44" s="170"/>
      <c r="L44" s="169" t="s">
        <v>131</v>
      </c>
      <c r="M44" s="1" t="s">
        <v>1893</v>
      </c>
      <c r="N44" s="182">
        <v>4</v>
      </c>
      <c r="O44" s="169" t="s">
        <v>131</v>
      </c>
      <c r="P44" s="1" t="s">
        <v>1893</v>
      </c>
      <c r="Q44" s="182">
        <v>4</v>
      </c>
      <c r="R44" s="169" t="s">
        <v>131</v>
      </c>
      <c r="S44" s="1" t="s">
        <v>1893</v>
      </c>
      <c r="T44" s="182">
        <v>4</v>
      </c>
      <c r="U44" s="169" t="s">
        <v>131</v>
      </c>
      <c r="V44" s="1" t="s">
        <v>1893</v>
      </c>
      <c r="W44" s="182">
        <v>4</v>
      </c>
      <c r="AH44" s="1" t="s">
        <v>1893</v>
      </c>
      <c r="AI44" s="1" t="s">
        <v>1893</v>
      </c>
      <c r="AJ44" s="1">
        <v>1</v>
      </c>
    </row>
    <row r="45" spans="1:36" ht="15.75" customHeight="1" x14ac:dyDescent="0.3">
      <c r="A45" s="205" t="e">
        <f t="shared" ref="A45:C45" si="82">IF($B$1="Solo",IF(L44="","",L44),IF($B$1="Duet",IF(O44="","",O44),IF($B$1="Mixed",IF(R44="","",R44),IF(U44="","",U44))))</f>
        <v>#N/A</v>
      </c>
      <c r="B45" s="182" t="e">
        <f t="shared" si="82"/>
        <v>#N/A</v>
      </c>
      <c r="C45" s="182" t="e">
        <f t="shared" si="82"/>
        <v>#N/A</v>
      </c>
      <c r="D45" s="182" t="e">
        <f t="shared" ref="D45:E45" si="83">IF($D$1="Team",IF(AD44="","",AD44),"")</f>
        <v>#N/A</v>
      </c>
      <c r="E45" s="182" t="e">
        <f t="shared" si="83"/>
        <v>#N/A</v>
      </c>
      <c r="F45" s="1" t="s">
        <v>1894</v>
      </c>
      <c r="G45" s="1">
        <v>0.32500000000000001</v>
      </c>
      <c r="J45" s="170"/>
      <c r="K45" s="170"/>
      <c r="L45" s="169" t="s">
        <v>131</v>
      </c>
      <c r="M45" s="1" t="s">
        <v>1895</v>
      </c>
      <c r="N45" s="182">
        <v>4.05</v>
      </c>
      <c r="O45" s="169" t="s">
        <v>131</v>
      </c>
      <c r="P45" s="1" t="s">
        <v>1895</v>
      </c>
      <c r="Q45" s="182">
        <v>4.05</v>
      </c>
      <c r="R45" s="169" t="s">
        <v>131</v>
      </c>
      <c r="S45" s="1" t="s">
        <v>1895</v>
      </c>
      <c r="T45" s="182">
        <v>4.05</v>
      </c>
      <c r="U45" s="169" t="s">
        <v>131</v>
      </c>
      <c r="V45" s="1" t="s">
        <v>1895</v>
      </c>
      <c r="W45" s="182">
        <v>4.05</v>
      </c>
      <c r="AH45" s="1" t="s">
        <v>1895</v>
      </c>
      <c r="AI45" s="1" t="s">
        <v>1895</v>
      </c>
      <c r="AJ45" s="1">
        <v>1</v>
      </c>
    </row>
    <row r="46" spans="1:36" ht="15.75" customHeight="1" x14ac:dyDescent="0.3">
      <c r="A46" s="205" t="e">
        <f t="shared" ref="A46:C46" si="84">IF($B$1="Solo",IF(L45="","",L45),IF($B$1="Duet",IF(O45="","",O45),IF($B$1="Mixed",IF(R45="","",R45),IF(U45="","",U45))))</f>
        <v>#N/A</v>
      </c>
      <c r="B46" s="182" t="e">
        <f t="shared" si="84"/>
        <v>#N/A</v>
      </c>
      <c r="C46" s="182" t="e">
        <f t="shared" si="84"/>
        <v>#N/A</v>
      </c>
      <c r="D46" s="182" t="e">
        <f t="shared" ref="D46:E46" si="85">IF($D$1="Team",IF(AD45="","",AD45),"")</f>
        <v>#N/A</v>
      </c>
      <c r="E46" s="182" t="e">
        <f t="shared" si="85"/>
        <v>#N/A</v>
      </c>
      <c r="F46" s="1" t="s">
        <v>1896</v>
      </c>
      <c r="G46" s="1">
        <v>0.32500000000000001</v>
      </c>
      <c r="J46" s="170"/>
      <c r="K46" s="170"/>
      <c r="L46" s="169" t="s">
        <v>131</v>
      </c>
      <c r="M46" s="1" t="s">
        <v>1897</v>
      </c>
      <c r="N46" s="182">
        <v>2.35</v>
      </c>
      <c r="O46" s="169" t="s">
        <v>131</v>
      </c>
      <c r="P46" s="1" t="s">
        <v>1897</v>
      </c>
      <c r="Q46" s="182">
        <v>2.35</v>
      </c>
      <c r="R46" s="169" t="s">
        <v>131</v>
      </c>
      <c r="S46" s="1" t="s">
        <v>1897</v>
      </c>
      <c r="T46" s="182">
        <v>2.35</v>
      </c>
      <c r="U46" s="169" t="s">
        <v>131</v>
      </c>
      <c r="V46" s="1" t="s">
        <v>1897</v>
      </c>
      <c r="W46" s="182">
        <v>2.35</v>
      </c>
      <c r="AH46" s="1" t="s">
        <v>1897</v>
      </c>
      <c r="AI46" s="1" t="s">
        <v>1897</v>
      </c>
      <c r="AJ46" s="1">
        <v>1</v>
      </c>
    </row>
    <row r="47" spans="1:36" ht="15.75" customHeight="1" x14ac:dyDescent="0.3">
      <c r="A47" s="205" t="e">
        <f t="shared" ref="A47:C47" si="86">IF($B$1="Solo",IF(L46="","",L46),IF($B$1="Duet",IF(O46="","",O46),IF($B$1="Mixed",IF(R46="","",R46),IF(U46="","",U46))))</f>
        <v>#N/A</v>
      </c>
      <c r="B47" s="182" t="e">
        <f t="shared" si="86"/>
        <v>#N/A</v>
      </c>
      <c r="C47" s="182" t="e">
        <f t="shared" si="86"/>
        <v>#N/A</v>
      </c>
      <c r="D47" s="182" t="e">
        <f t="shared" ref="D47:E47" si="87">IF($D$1="Team",IF(AD46="","",AD46),"")</f>
        <v>#N/A</v>
      </c>
      <c r="E47" s="182" t="e">
        <f t="shared" si="87"/>
        <v>#N/A</v>
      </c>
      <c r="F47" s="1" t="s">
        <v>1898</v>
      </c>
      <c r="G47" s="1">
        <v>0.32500000000000001</v>
      </c>
      <c r="J47" s="170"/>
      <c r="K47" s="170"/>
      <c r="L47" s="169" t="s">
        <v>131</v>
      </c>
      <c r="M47" s="1" t="s">
        <v>1899</v>
      </c>
      <c r="N47" s="182">
        <v>4.8</v>
      </c>
      <c r="O47" s="169" t="s">
        <v>131</v>
      </c>
      <c r="P47" s="1" t="s">
        <v>1899</v>
      </c>
      <c r="Q47" s="182">
        <v>4.8</v>
      </c>
      <c r="R47" s="169" t="s">
        <v>131</v>
      </c>
      <c r="S47" s="1" t="s">
        <v>1899</v>
      </c>
      <c r="T47" s="182">
        <v>4.8</v>
      </c>
      <c r="U47" s="169" t="s">
        <v>131</v>
      </c>
      <c r="V47" s="1" t="s">
        <v>1899</v>
      </c>
      <c r="W47" s="182">
        <v>4.8</v>
      </c>
      <c r="AH47" s="1" t="s">
        <v>1899</v>
      </c>
      <c r="AI47" s="1" t="s">
        <v>1899</v>
      </c>
      <c r="AJ47" s="1">
        <v>1</v>
      </c>
    </row>
    <row r="48" spans="1:36" ht="15.75" customHeight="1" x14ac:dyDescent="0.3">
      <c r="A48" s="205" t="e">
        <f t="shared" ref="A48:C48" si="88">IF($B$1="Solo",IF(L47="","",L47),IF($B$1="Duet",IF(O47="","",O47),IF($B$1="Mixed",IF(R47="","",R47),IF(U47="","",U47))))</f>
        <v>#N/A</v>
      </c>
      <c r="B48" s="182" t="e">
        <f t="shared" si="88"/>
        <v>#N/A</v>
      </c>
      <c r="C48" s="182" t="e">
        <f t="shared" si="88"/>
        <v>#N/A</v>
      </c>
      <c r="D48" s="182" t="e">
        <f t="shared" ref="D48:E48" si="89">IF($D$1="Team",IF(AD47="","",AD47),"")</f>
        <v>#N/A</v>
      </c>
      <c r="E48" s="182" t="e">
        <f t="shared" si="89"/>
        <v>#N/A</v>
      </c>
      <c r="F48" s="1" t="s">
        <v>1900</v>
      </c>
      <c r="G48" s="1">
        <v>0.32500000000000001</v>
      </c>
      <c r="J48" s="170"/>
      <c r="K48" s="170"/>
      <c r="L48" s="169" t="s">
        <v>131</v>
      </c>
      <c r="M48" s="1" t="s">
        <v>1901</v>
      </c>
      <c r="N48" s="182">
        <v>4.8499999999999996</v>
      </c>
      <c r="O48" s="169" t="s">
        <v>131</v>
      </c>
      <c r="P48" s="1" t="s">
        <v>1901</v>
      </c>
      <c r="Q48" s="182">
        <v>4.8499999999999996</v>
      </c>
      <c r="R48" s="169" t="s">
        <v>131</v>
      </c>
      <c r="S48" s="1" t="s">
        <v>1901</v>
      </c>
      <c r="T48" s="182">
        <v>4.8499999999999996</v>
      </c>
      <c r="U48" s="169" t="s">
        <v>131</v>
      </c>
      <c r="V48" s="1" t="s">
        <v>1901</v>
      </c>
      <c r="W48" s="182">
        <v>4.8499999999999996</v>
      </c>
      <c r="AH48" s="1" t="s">
        <v>1901</v>
      </c>
      <c r="AI48" s="1" t="s">
        <v>1901</v>
      </c>
      <c r="AJ48" s="1">
        <v>1</v>
      </c>
    </row>
    <row r="49" spans="1:36" ht="15.75" customHeight="1" x14ac:dyDescent="0.3">
      <c r="A49" s="205" t="e">
        <f t="shared" ref="A49:C49" si="90">IF($B$1="Solo",IF(L48="","",L48),IF($B$1="Duet",IF(O48="","",O48),IF($B$1="Mixed",IF(R48="","",R48),IF(U48="","",U48))))</f>
        <v>#N/A</v>
      </c>
      <c r="B49" s="182" t="e">
        <f t="shared" si="90"/>
        <v>#N/A</v>
      </c>
      <c r="C49" s="182" t="e">
        <f t="shared" si="90"/>
        <v>#N/A</v>
      </c>
      <c r="D49" s="182" t="e">
        <f t="shared" ref="D49:E49" si="91">IF($D$1="Team",IF(AD48="","",AD48),"")</f>
        <v>#N/A</v>
      </c>
      <c r="E49" s="182" t="e">
        <f t="shared" si="91"/>
        <v>#N/A</v>
      </c>
      <c r="F49" s="1" t="s">
        <v>1902</v>
      </c>
      <c r="G49" s="1">
        <v>0.4</v>
      </c>
      <c r="J49" s="170"/>
      <c r="K49" s="170"/>
      <c r="L49" s="169" t="s">
        <v>131</v>
      </c>
      <c r="M49" s="1" t="s">
        <v>1903</v>
      </c>
      <c r="N49" s="182">
        <v>2.75</v>
      </c>
      <c r="O49" s="169" t="s">
        <v>131</v>
      </c>
      <c r="P49" s="1" t="s">
        <v>1903</v>
      </c>
      <c r="Q49" s="182">
        <v>2.75</v>
      </c>
      <c r="R49" s="169" t="s">
        <v>131</v>
      </c>
      <c r="S49" s="1" t="s">
        <v>1903</v>
      </c>
      <c r="T49" s="182">
        <v>2.75</v>
      </c>
      <c r="U49" s="169" t="s">
        <v>131</v>
      </c>
      <c r="V49" s="1" t="s">
        <v>1903</v>
      </c>
      <c r="W49" s="182">
        <v>2.75</v>
      </c>
      <c r="AH49" s="1" t="s">
        <v>1903</v>
      </c>
      <c r="AI49" s="1" t="s">
        <v>1903</v>
      </c>
      <c r="AJ49" s="1">
        <v>1</v>
      </c>
    </row>
    <row r="50" spans="1:36" ht="15.75" customHeight="1" x14ac:dyDescent="0.3">
      <c r="A50" s="205" t="e">
        <f t="shared" ref="A50:C50" si="92">IF($B$1="Solo",IF(L49="","",L49),IF($B$1="Duet",IF(O49="","",O49),IF($B$1="Mixed",IF(R49="","",R49),IF(U49="","",U49))))</f>
        <v>#N/A</v>
      </c>
      <c r="B50" s="182" t="e">
        <f t="shared" si="92"/>
        <v>#N/A</v>
      </c>
      <c r="C50" s="182" t="e">
        <f t="shared" si="92"/>
        <v>#N/A</v>
      </c>
      <c r="D50" s="182" t="e">
        <f t="shared" ref="D50:E50" si="93">IF($D$1="Team",IF(AD49="","",AD49),"")</f>
        <v>#N/A</v>
      </c>
      <c r="E50" s="182" t="e">
        <f t="shared" si="93"/>
        <v>#N/A</v>
      </c>
      <c r="F50" s="1" t="s">
        <v>1904</v>
      </c>
      <c r="G50" s="1">
        <v>0.4</v>
      </c>
      <c r="J50" s="170"/>
      <c r="K50" s="170"/>
      <c r="L50" s="169" t="s">
        <v>131</v>
      </c>
      <c r="M50" s="1" t="s">
        <v>1905</v>
      </c>
      <c r="N50" s="182">
        <v>3.15</v>
      </c>
      <c r="O50" s="169" t="s">
        <v>131</v>
      </c>
      <c r="P50" s="1" t="s">
        <v>1905</v>
      </c>
      <c r="Q50" s="182">
        <v>3.15</v>
      </c>
      <c r="R50" s="169" t="s">
        <v>131</v>
      </c>
      <c r="S50" s="1" t="s">
        <v>1905</v>
      </c>
      <c r="T50" s="182">
        <v>3.15</v>
      </c>
      <c r="U50" s="169" t="s">
        <v>131</v>
      </c>
      <c r="V50" s="1" t="s">
        <v>1905</v>
      </c>
      <c r="W50" s="182">
        <v>3.15</v>
      </c>
      <c r="AH50" s="1" t="s">
        <v>1905</v>
      </c>
      <c r="AI50" s="1" t="s">
        <v>1905</v>
      </c>
      <c r="AJ50" s="1">
        <v>1</v>
      </c>
    </row>
    <row r="51" spans="1:36" ht="15.75" customHeight="1" x14ac:dyDescent="0.3">
      <c r="A51" s="205" t="e">
        <f t="shared" ref="A51:C51" si="94">IF($B$1="Solo",IF(L50="","",L50),IF($B$1="Duet",IF(O50="","",O50),IF($B$1="Mixed",IF(R50="","",R50),IF(U50="","",U50))))</f>
        <v>#N/A</v>
      </c>
      <c r="B51" s="182" t="e">
        <f t="shared" si="94"/>
        <v>#N/A</v>
      </c>
      <c r="C51" s="182" t="e">
        <f t="shared" si="94"/>
        <v>#N/A</v>
      </c>
      <c r="D51" s="182" t="e">
        <f t="shared" ref="D51:E51" si="95">IF($D$1="Team",IF(AD50="","",AD50),"")</f>
        <v>#N/A</v>
      </c>
      <c r="E51" s="182" t="e">
        <f t="shared" si="95"/>
        <v>#N/A</v>
      </c>
      <c r="F51" s="1" t="s">
        <v>1906</v>
      </c>
      <c r="G51" s="1">
        <v>0.4</v>
      </c>
      <c r="J51" s="170"/>
      <c r="K51" s="170"/>
      <c r="L51" s="169" t="s">
        <v>131</v>
      </c>
      <c r="M51" s="1" t="s">
        <v>1907</v>
      </c>
      <c r="N51" s="182">
        <v>3.55</v>
      </c>
      <c r="O51" s="169" t="s">
        <v>131</v>
      </c>
      <c r="P51" s="1" t="s">
        <v>1907</v>
      </c>
      <c r="Q51" s="182">
        <v>3.55</v>
      </c>
      <c r="R51" s="169" t="s">
        <v>131</v>
      </c>
      <c r="S51" s="1" t="s">
        <v>1907</v>
      </c>
      <c r="T51" s="182">
        <v>3.55</v>
      </c>
      <c r="U51" s="169" t="s">
        <v>131</v>
      </c>
      <c r="V51" s="1" t="s">
        <v>1907</v>
      </c>
      <c r="W51" s="182">
        <v>3.55</v>
      </c>
      <c r="AH51" s="1" t="s">
        <v>1907</v>
      </c>
      <c r="AI51" s="1" t="s">
        <v>1907</v>
      </c>
      <c r="AJ51" s="1">
        <v>1</v>
      </c>
    </row>
    <row r="52" spans="1:36" ht="15.75" customHeight="1" x14ac:dyDescent="0.3">
      <c r="A52" s="205" t="e">
        <f t="shared" ref="A52:C52" si="96">IF($B$1="Solo",IF(L51="","",L51),IF($B$1="Duet",IF(O51="","",O51),IF($B$1="Mixed",IF(R51="","",R51),IF(U51="","",U51))))</f>
        <v>#N/A</v>
      </c>
      <c r="B52" s="182" t="e">
        <f t="shared" si="96"/>
        <v>#N/A</v>
      </c>
      <c r="C52" s="182" t="e">
        <f t="shared" si="96"/>
        <v>#N/A</v>
      </c>
      <c r="D52" s="182" t="e">
        <f t="shared" ref="D52:E52" si="97">IF($D$1="Team",IF(AD51="","",AD51),"")</f>
        <v>#N/A</v>
      </c>
      <c r="E52" s="182" t="e">
        <f t="shared" si="97"/>
        <v>#N/A</v>
      </c>
      <c r="F52" s="1" t="s">
        <v>1908</v>
      </c>
      <c r="G52" s="1">
        <v>0.4</v>
      </c>
      <c r="J52" s="170"/>
      <c r="K52" s="170"/>
      <c r="L52" s="169" t="s">
        <v>131</v>
      </c>
      <c r="M52" s="1" t="s">
        <v>1909</v>
      </c>
      <c r="N52" s="182">
        <v>3.95</v>
      </c>
      <c r="O52" s="169" t="s">
        <v>131</v>
      </c>
      <c r="P52" s="1" t="s">
        <v>1909</v>
      </c>
      <c r="Q52" s="182">
        <v>3.95</v>
      </c>
      <c r="R52" s="169" t="s">
        <v>131</v>
      </c>
      <c r="S52" s="1" t="s">
        <v>1909</v>
      </c>
      <c r="T52" s="182">
        <v>3.95</v>
      </c>
      <c r="U52" s="169" t="s">
        <v>131</v>
      </c>
      <c r="V52" s="1" t="s">
        <v>1909</v>
      </c>
      <c r="W52" s="182">
        <v>3.95</v>
      </c>
      <c r="AH52" s="1" t="s">
        <v>1909</v>
      </c>
      <c r="AI52" s="1" t="s">
        <v>1909</v>
      </c>
      <c r="AJ52" s="1">
        <v>1</v>
      </c>
    </row>
    <row r="53" spans="1:36" ht="15.75" customHeight="1" x14ac:dyDescent="0.3">
      <c r="A53" s="205" t="e">
        <f t="shared" ref="A53:C53" si="98">IF($B$1="Solo",IF(L52="","",L52),IF($B$1="Duet",IF(O52="","",O52),IF($B$1="Mixed",IF(R52="","",R52),IF(U52="","",U52))))</f>
        <v>#N/A</v>
      </c>
      <c r="B53" s="182" t="e">
        <f t="shared" si="98"/>
        <v>#N/A</v>
      </c>
      <c r="C53" s="182" t="e">
        <f t="shared" si="98"/>
        <v>#N/A</v>
      </c>
      <c r="D53" s="182" t="e">
        <f t="shared" ref="D53:E53" si="99">IF($D$1="Team",IF(AD52="","",AD52),"")</f>
        <v>#N/A</v>
      </c>
      <c r="E53" s="182" t="e">
        <f t="shared" si="99"/>
        <v>#N/A</v>
      </c>
      <c r="F53" s="1" t="s">
        <v>1910</v>
      </c>
      <c r="G53" s="1">
        <v>0.4</v>
      </c>
      <c r="J53" s="170"/>
      <c r="K53" s="170"/>
      <c r="L53" s="169" t="s">
        <v>132</v>
      </c>
      <c r="M53" s="1" t="s">
        <v>1911</v>
      </c>
      <c r="N53" s="182">
        <v>0.1</v>
      </c>
      <c r="O53" s="169" t="s">
        <v>132</v>
      </c>
      <c r="P53" s="1" t="s">
        <v>1911</v>
      </c>
      <c r="Q53" s="182">
        <v>0.1</v>
      </c>
      <c r="R53" s="169" t="s">
        <v>132</v>
      </c>
      <c r="S53" s="1" t="s">
        <v>1911</v>
      </c>
      <c r="T53" s="182">
        <v>0.1</v>
      </c>
      <c r="U53" s="169" t="s">
        <v>132</v>
      </c>
      <c r="V53" s="1" t="s">
        <v>1911</v>
      </c>
      <c r="W53" s="182">
        <v>0.1</v>
      </c>
      <c r="AH53" s="1" t="s">
        <v>1911</v>
      </c>
      <c r="AI53" s="1" t="s">
        <v>1911</v>
      </c>
      <c r="AJ53" s="1">
        <v>1</v>
      </c>
    </row>
    <row r="54" spans="1:36" ht="15.75" customHeight="1" x14ac:dyDescent="0.3">
      <c r="A54" s="205" t="e">
        <f t="shared" ref="A54:C54" si="100">IF($B$1="Solo",IF(L53="","",L53),IF($B$1="Duet",IF(O53="","",O53),IF($B$1="Mixed",IF(R53="","",R53),IF(U53="","",U53))))</f>
        <v>#N/A</v>
      </c>
      <c r="B54" s="182" t="e">
        <f t="shared" si="100"/>
        <v>#N/A</v>
      </c>
      <c r="C54" s="182" t="e">
        <f t="shared" si="100"/>
        <v>#N/A</v>
      </c>
      <c r="D54" s="182" t="e">
        <f t="shared" ref="D54:E54" si="101">IF($D$1="Team",IF(AD53="","",AD53),"")</f>
        <v>#N/A</v>
      </c>
      <c r="E54" s="182" t="e">
        <f t="shared" si="101"/>
        <v>#N/A</v>
      </c>
      <c r="F54" s="1" t="s">
        <v>1912</v>
      </c>
      <c r="G54" s="1">
        <v>0.45</v>
      </c>
      <c r="J54" s="170"/>
      <c r="K54" s="170"/>
      <c r="L54" s="169" t="s">
        <v>132</v>
      </c>
      <c r="M54" s="1" t="s">
        <v>1913</v>
      </c>
      <c r="N54" s="182">
        <v>0.15</v>
      </c>
      <c r="O54" s="169" t="s">
        <v>132</v>
      </c>
      <c r="P54" s="1" t="s">
        <v>1913</v>
      </c>
      <c r="Q54" s="182">
        <v>0.15</v>
      </c>
      <c r="R54" s="169" t="s">
        <v>132</v>
      </c>
      <c r="S54" s="1" t="s">
        <v>1913</v>
      </c>
      <c r="T54" s="182">
        <v>0.15</v>
      </c>
      <c r="U54" s="169" t="s">
        <v>132</v>
      </c>
      <c r="V54" s="1" t="s">
        <v>1913</v>
      </c>
      <c r="W54" s="182">
        <v>0.15</v>
      </c>
      <c r="AH54" s="1" t="s">
        <v>1913</v>
      </c>
      <c r="AI54" s="1" t="s">
        <v>1913</v>
      </c>
      <c r="AJ54" s="1">
        <v>1</v>
      </c>
    </row>
    <row r="55" spans="1:36" ht="15.75" customHeight="1" x14ac:dyDescent="0.3">
      <c r="A55" s="205" t="e">
        <f t="shared" ref="A55:C55" si="102">IF($B$1="Solo",IF(L54="","",L54),IF($B$1="Duet",IF(O54="","",O54),IF($B$1="Mixed",IF(R54="","",R54),IF(U54="","",U54))))</f>
        <v>#N/A</v>
      </c>
      <c r="B55" s="182" t="e">
        <f t="shared" si="102"/>
        <v>#N/A</v>
      </c>
      <c r="C55" s="182" t="e">
        <f t="shared" si="102"/>
        <v>#N/A</v>
      </c>
      <c r="D55" s="182" t="e">
        <f t="shared" ref="D55:E55" si="103">IF($D$1="Team",IF(AD54="","",AD54),"")</f>
        <v>#N/A</v>
      </c>
      <c r="E55" s="182" t="e">
        <f t="shared" si="103"/>
        <v>#N/A</v>
      </c>
      <c r="F55" s="1" t="s">
        <v>1914</v>
      </c>
      <c r="G55" s="1">
        <v>0.45</v>
      </c>
      <c r="J55" s="170"/>
      <c r="K55" s="170"/>
      <c r="L55" s="169" t="s">
        <v>132</v>
      </c>
      <c r="M55" s="1" t="s">
        <v>1915</v>
      </c>
      <c r="N55" s="182">
        <v>0.2</v>
      </c>
      <c r="O55" s="169" t="s">
        <v>132</v>
      </c>
      <c r="P55" s="1" t="s">
        <v>1915</v>
      </c>
      <c r="Q55" s="182">
        <v>0.2</v>
      </c>
      <c r="R55" s="169" t="s">
        <v>132</v>
      </c>
      <c r="S55" s="1" t="s">
        <v>1915</v>
      </c>
      <c r="T55" s="182">
        <v>0.2</v>
      </c>
      <c r="U55" s="169" t="s">
        <v>132</v>
      </c>
      <c r="V55" s="1" t="s">
        <v>1915</v>
      </c>
      <c r="W55" s="182">
        <v>0.2</v>
      </c>
      <c r="AH55" s="1" t="s">
        <v>1915</v>
      </c>
      <c r="AI55" s="1" t="s">
        <v>1915</v>
      </c>
      <c r="AJ55" s="1">
        <v>1</v>
      </c>
    </row>
    <row r="56" spans="1:36" ht="15.75" customHeight="1" x14ac:dyDescent="0.3">
      <c r="A56" s="205" t="e">
        <f t="shared" ref="A56:C56" si="104">IF($B$1="Solo",IF(L55="","",L55),IF($B$1="Duet",IF(O55="","",O55),IF($B$1="Mixed",IF(R55="","",R55),IF(U55="","",U55))))</f>
        <v>#N/A</v>
      </c>
      <c r="B56" s="182" t="e">
        <f t="shared" si="104"/>
        <v>#N/A</v>
      </c>
      <c r="C56" s="182" t="e">
        <f t="shared" si="104"/>
        <v>#N/A</v>
      </c>
      <c r="D56" s="182" t="e">
        <f t="shared" ref="D56:E56" si="105">IF($D$1="Team",IF(AD55="","",AD55),"")</f>
        <v>#N/A</v>
      </c>
      <c r="E56" s="182" t="e">
        <f t="shared" si="105"/>
        <v>#N/A</v>
      </c>
      <c r="F56" s="1" t="s">
        <v>1916</v>
      </c>
      <c r="G56" s="1">
        <v>0.45</v>
      </c>
      <c r="J56" s="170"/>
      <c r="K56" s="170"/>
      <c r="L56" s="169" t="s">
        <v>132</v>
      </c>
      <c r="M56" s="1" t="s">
        <v>1917</v>
      </c>
      <c r="N56" s="182">
        <v>0.25</v>
      </c>
      <c r="O56" s="169" t="s">
        <v>132</v>
      </c>
      <c r="P56" s="1" t="s">
        <v>1917</v>
      </c>
      <c r="Q56" s="182">
        <v>0.25</v>
      </c>
      <c r="R56" s="169" t="s">
        <v>132</v>
      </c>
      <c r="S56" s="1" t="s">
        <v>1917</v>
      </c>
      <c r="T56" s="182">
        <v>0.25</v>
      </c>
      <c r="U56" s="169" t="s">
        <v>132</v>
      </c>
      <c r="V56" s="1" t="s">
        <v>1917</v>
      </c>
      <c r="W56" s="182">
        <v>0.25</v>
      </c>
      <c r="AH56" s="1" t="s">
        <v>1917</v>
      </c>
      <c r="AI56" s="1" t="s">
        <v>1917</v>
      </c>
      <c r="AJ56" s="1">
        <v>1</v>
      </c>
    </row>
    <row r="57" spans="1:36" ht="15.75" customHeight="1" x14ac:dyDescent="0.3">
      <c r="A57" s="205" t="e">
        <f t="shared" ref="A57:C57" si="106">IF($B$1="Solo",IF(L56="","",L56),IF($B$1="Duet",IF(O56="","",O56),IF($B$1="Mixed",IF(R56="","",R56),IF(U56="","",U56))))</f>
        <v>#N/A</v>
      </c>
      <c r="B57" s="182" t="e">
        <f t="shared" si="106"/>
        <v>#N/A</v>
      </c>
      <c r="C57" s="182" t="e">
        <f t="shared" si="106"/>
        <v>#N/A</v>
      </c>
      <c r="D57" s="182" t="e">
        <f t="shared" ref="D57:E57" si="107">IF($D$1="Team",IF(AD56="","",AD56),"")</f>
        <v>#N/A</v>
      </c>
      <c r="E57" s="182" t="e">
        <f t="shared" si="107"/>
        <v>#N/A</v>
      </c>
      <c r="F57" s="1" t="s">
        <v>1918</v>
      </c>
      <c r="G57" s="1">
        <v>0.45</v>
      </c>
      <c r="J57" s="170"/>
      <c r="K57" s="170"/>
      <c r="L57" s="169" t="s">
        <v>132</v>
      </c>
      <c r="M57" s="1" t="s">
        <v>1919</v>
      </c>
      <c r="N57" s="182">
        <v>0.25</v>
      </c>
      <c r="O57" s="169" t="s">
        <v>132</v>
      </c>
      <c r="P57" s="1" t="s">
        <v>1919</v>
      </c>
      <c r="Q57" s="182">
        <v>0.25</v>
      </c>
      <c r="R57" s="169" t="s">
        <v>132</v>
      </c>
      <c r="S57" s="1" t="s">
        <v>1919</v>
      </c>
      <c r="T57" s="182">
        <v>0.25</v>
      </c>
      <c r="U57" s="169" t="s">
        <v>132</v>
      </c>
      <c r="V57" s="1" t="s">
        <v>1919</v>
      </c>
      <c r="W57" s="182">
        <v>0.25</v>
      </c>
      <c r="AH57" s="1" t="s">
        <v>1919</v>
      </c>
      <c r="AI57" s="1" t="s">
        <v>1919</v>
      </c>
      <c r="AJ57" s="1">
        <v>1</v>
      </c>
    </row>
    <row r="58" spans="1:36" ht="15.75" customHeight="1" x14ac:dyDescent="0.3">
      <c r="A58" s="205" t="e">
        <f t="shared" ref="A58:C58" si="108">IF($B$1="Solo",IF(L57="","",L57),IF($B$1="Duet",IF(O57="","",O57),IF($B$1="Mixed",IF(R57="","",R57),IF(U57="","",U57))))</f>
        <v>#N/A</v>
      </c>
      <c r="B58" s="182" t="e">
        <f t="shared" si="108"/>
        <v>#N/A</v>
      </c>
      <c r="C58" s="182" t="e">
        <f t="shared" si="108"/>
        <v>#N/A</v>
      </c>
      <c r="D58" s="182" t="e">
        <f t="shared" ref="D58:E58" si="109">IF($D$1="Team",IF(AD57="","",AD57),"")</f>
        <v>#N/A</v>
      </c>
      <c r="E58" s="182" t="e">
        <f t="shared" si="109"/>
        <v>#N/A</v>
      </c>
      <c r="F58" s="1" t="s">
        <v>1920</v>
      </c>
      <c r="G58" s="1">
        <v>0.45</v>
      </c>
      <c r="J58" s="170"/>
      <c r="K58" s="170"/>
      <c r="L58" s="169" t="s">
        <v>132</v>
      </c>
      <c r="M58" s="1" t="s">
        <v>1363</v>
      </c>
      <c r="N58" s="182">
        <v>0.2</v>
      </c>
      <c r="O58" s="169" t="s">
        <v>132</v>
      </c>
      <c r="P58" s="1" t="s">
        <v>1363</v>
      </c>
      <c r="Q58" s="182">
        <v>0.2</v>
      </c>
      <c r="R58" s="169" t="s">
        <v>132</v>
      </c>
      <c r="S58" s="1" t="s">
        <v>1363</v>
      </c>
      <c r="T58" s="182">
        <v>0.2</v>
      </c>
      <c r="U58" s="169" t="s">
        <v>132</v>
      </c>
      <c r="V58" s="1" t="s">
        <v>1363</v>
      </c>
      <c r="W58" s="182">
        <v>0.2</v>
      </c>
      <c r="AH58" s="1" t="s">
        <v>1363</v>
      </c>
      <c r="AI58" s="1" t="s">
        <v>1363</v>
      </c>
      <c r="AJ58" s="1">
        <v>1</v>
      </c>
    </row>
    <row r="59" spans="1:36" ht="15.75" customHeight="1" x14ac:dyDescent="0.3">
      <c r="A59" s="205" t="e">
        <f t="shared" ref="A59:C59" si="110">IF($B$1="Solo",IF(L58="","",L58),IF($B$1="Duet",IF(O58="","",O58),IF($B$1="Mixed",IF(R58="","",R58),IF(U58="","",U58))))</f>
        <v>#N/A</v>
      </c>
      <c r="B59" s="182" t="e">
        <f t="shared" si="110"/>
        <v>#N/A</v>
      </c>
      <c r="C59" s="182" t="e">
        <f t="shared" si="110"/>
        <v>#N/A</v>
      </c>
      <c r="D59" s="182" t="e">
        <f t="shared" ref="D59:E59" si="111">IF($D$1="Team",IF(AD58="","",AD58),"")</f>
        <v>#N/A</v>
      </c>
      <c r="E59" s="182" t="e">
        <f t="shared" si="111"/>
        <v>#N/A</v>
      </c>
      <c r="F59" s="1" t="s">
        <v>1921</v>
      </c>
      <c r="G59" s="1">
        <v>0.55000000000000004</v>
      </c>
      <c r="J59" s="170"/>
      <c r="K59" s="170"/>
      <c r="L59" s="169" t="s">
        <v>132</v>
      </c>
      <c r="M59" s="1" t="s">
        <v>1922</v>
      </c>
      <c r="N59" s="182">
        <v>0.35</v>
      </c>
      <c r="O59" s="169" t="s">
        <v>132</v>
      </c>
      <c r="P59" s="1" t="s">
        <v>1922</v>
      </c>
      <c r="Q59" s="182">
        <v>0.35</v>
      </c>
      <c r="R59" s="169" t="s">
        <v>132</v>
      </c>
      <c r="S59" s="1" t="s">
        <v>1922</v>
      </c>
      <c r="T59" s="182">
        <v>0.35</v>
      </c>
      <c r="U59" s="169" t="s">
        <v>132</v>
      </c>
      <c r="V59" s="1" t="s">
        <v>1922</v>
      </c>
      <c r="W59" s="182">
        <v>0.35</v>
      </c>
      <c r="AH59" s="1" t="s">
        <v>1922</v>
      </c>
      <c r="AI59" s="1" t="s">
        <v>1922</v>
      </c>
      <c r="AJ59" s="1">
        <v>1</v>
      </c>
    </row>
    <row r="60" spans="1:36" ht="15.75" customHeight="1" x14ac:dyDescent="0.3">
      <c r="A60" s="205" t="e">
        <f t="shared" ref="A60:C60" si="112">IF($B$1="Solo",IF(L59="","",L59),IF($B$1="Duet",IF(O59="","",O59),IF($B$1="Mixed",IF(R59="","",R59),IF(U59="","",U59))))</f>
        <v>#N/A</v>
      </c>
      <c r="B60" s="182" t="e">
        <f t="shared" si="112"/>
        <v>#N/A</v>
      </c>
      <c r="C60" s="182" t="e">
        <f t="shared" si="112"/>
        <v>#N/A</v>
      </c>
      <c r="D60" s="182" t="e">
        <f t="shared" ref="D60:E60" si="113">IF($D$1="Team",IF(AD59="","",AD59),"")</f>
        <v>#N/A</v>
      </c>
      <c r="E60" s="182" t="e">
        <f t="shared" si="113"/>
        <v>#N/A</v>
      </c>
      <c r="F60" s="1" t="s">
        <v>1923</v>
      </c>
      <c r="G60" s="1">
        <v>0.55000000000000004</v>
      </c>
      <c r="J60" s="170"/>
      <c r="K60" s="170"/>
      <c r="L60" s="169" t="s">
        <v>132</v>
      </c>
      <c r="M60" s="1" t="s">
        <v>1924</v>
      </c>
      <c r="N60" s="182">
        <v>0.45</v>
      </c>
      <c r="O60" s="169" t="s">
        <v>132</v>
      </c>
      <c r="P60" s="1" t="s">
        <v>1924</v>
      </c>
      <c r="Q60" s="182">
        <v>0.45</v>
      </c>
      <c r="R60" s="169" t="s">
        <v>132</v>
      </c>
      <c r="S60" s="1" t="s">
        <v>1924</v>
      </c>
      <c r="T60" s="182">
        <v>0.45</v>
      </c>
      <c r="U60" s="169" t="s">
        <v>132</v>
      </c>
      <c r="V60" s="1" t="s">
        <v>1924</v>
      </c>
      <c r="W60" s="182">
        <v>0.45</v>
      </c>
      <c r="AH60" s="1" t="s">
        <v>1924</v>
      </c>
      <c r="AI60" s="1" t="s">
        <v>1924</v>
      </c>
      <c r="AJ60" s="1">
        <v>1</v>
      </c>
    </row>
    <row r="61" spans="1:36" ht="15.75" customHeight="1" x14ac:dyDescent="0.3">
      <c r="A61" s="205" t="e">
        <f t="shared" ref="A61:C61" si="114">IF($B$1="Solo",IF(L60="","",L60),IF($B$1="Duet",IF(O60="","",O60),IF($B$1="Mixed",IF(R60="","",R60),IF(U60="","",U60))))</f>
        <v>#N/A</v>
      </c>
      <c r="B61" s="182" t="e">
        <f t="shared" si="114"/>
        <v>#N/A</v>
      </c>
      <c r="C61" s="182" t="e">
        <f t="shared" si="114"/>
        <v>#N/A</v>
      </c>
      <c r="D61" s="182" t="e">
        <f t="shared" ref="D61:E61" si="115">IF($D$1="Team",IF(AD60="","",AD60),"")</f>
        <v>#N/A</v>
      </c>
      <c r="E61" s="182" t="e">
        <f t="shared" si="115"/>
        <v>#N/A</v>
      </c>
      <c r="F61" s="1" t="s">
        <v>1925</v>
      </c>
      <c r="G61" s="1">
        <v>0.55000000000000004</v>
      </c>
      <c r="J61" s="170"/>
      <c r="K61" s="170"/>
      <c r="L61" s="169" t="s">
        <v>132</v>
      </c>
      <c r="M61" s="1" t="s">
        <v>1926</v>
      </c>
      <c r="N61" s="182">
        <v>0.5</v>
      </c>
      <c r="O61" s="169" t="s">
        <v>132</v>
      </c>
      <c r="P61" s="1" t="s">
        <v>1926</v>
      </c>
      <c r="Q61" s="182">
        <v>0.5</v>
      </c>
      <c r="R61" s="169" t="s">
        <v>132</v>
      </c>
      <c r="S61" s="1" t="s">
        <v>1926</v>
      </c>
      <c r="T61" s="182">
        <v>0.5</v>
      </c>
      <c r="U61" s="169" t="s">
        <v>132</v>
      </c>
      <c r="V61" s="1" t="s">
        <v>1926</v>
      </c>
      <c r="W61" s="182">
        <v>0.5</v>
      </c>
      <c r="AH61" s="1" t="s">
        <v>1926</v>
      </c>
      <c r="AI61" s="1" t="s">
        <v>1926</v>
      </c>
      <c r="AJ61" s="1">
        <v>1</v>
      </c>
    </row>
    <row r="62" spans="1:36" ht="15.75" customHeight="1" x14ac:dyDescent="0.3">
      <c r="A62" s="205" t="e">
        <f t="shared" ref="A62:C62" si="116">IF($B$1="Solo",IF(L61="","",L61),IF($B$1="Duet",IF(O61="","",O61),IF($B$1="Mixed",IF(R61="","",R61),IF(U61="","",U61))))</f>
        <v>#N/A</v>
      </c>
      <c r="B62" s="182" t="e">
        <f t="shared" si="116"/>
        <v>#N/A</v>
      </c>
      <c r="C62" s="182" t="e">
        <f t="shared" si="116"/>
        <v>#N/A</v>
      </c>
      <c r="D62" s="182" t="e">
        <f t="shared" ref="D62:E62" si="117">IF($D$1="Team",IF(AD61="","",AD61),"")</f>
        <v>#N/A</v>
      </c>
      <c r="E62" s="182" t="e">
        <f t="shared" si="117"/>
        <v>#N/A</v>
      </c>
      <c r="F62" s="1" t="s">
        <v>1927</v>
      </c>
      <c r="G62" s="1">
        <v>0.75</v>
      </c>
      <c r="J62" s="170"/>
      <c r="K62" s="170"/>
      <c r="L62" s="169" t="s">
        <v>132</v>
      </c>
      <c r="M62" s="1" t="s">
        <v>1928</v>
      </c>
      <c r="N62" s="182">
        <v>0.55000000000000004</v>
      </c>
      <c r="O62" s="169" t="s">
        <v>132</v>
      </c>
      <c r="P62" s="1" t="s">
        <v>1928</v>
      </c>
      <c r="Q62" s="182">
        <v>0.55000000000000004</v>
      </c>
      <c r="R62" s="169" t="s">
        <v>132</v>
      </c>
      <c r="S62" s="1" t="s">
        <v>1928</v>
      </c>
      <c r="T62" s="182">
        <v>0.55000000000000004</v>
      </c>
      <c r="U62" s="169" t="s">
        <v>132</v>
      </c>
      <c r="V62" s="1" t="s">
        <v>1928</v>
      </c>
      <c r="W62" s="182">
        <v>0.55000000000000004</v>
      </c>
      <c r="AH62" s="1" t="s">
        <v>1928</v>
      </c>
      <c r="AI62" s="1" t="s">
        <v>1928</v>
      </c>
      <c r="AJ62" s="1">
        <v>1</v>
      </c>
    </row>
    <row r="63" spans="1:36" ht="15.75" customHeight="1" x14ac:dyDescent="0.3">
      <c r="A63" s="205" t="e">
        <f t="shared" ref="A63:C63" si="118">IF($B$1="Solo",IF(L62="","",L62),IF($B$1="Duet",IF(O62="","",O62),IF($B$1="Mixed",IF(R62="","",R62),IF(U62="","",U62))))</f>
        <v>#N/A</v>
      </c>
      <c r="B63" s="182" t="e">
        <f t="shared" si="118"/>
        <v>#N/A</v>
      </c>
      <c r="C63" s="182" t="e">
        <f t="shared" si="118"/>
        <v>#N/A</v>
      </c>
      <c r="D63" s="182" t="e">
        <f t="shared" ref="D63:E63" si="119">IF($D$1="Team",IF(AD62="","",AD62),"")</f>
        <v>#N/A</v>
      </c>
      <c r="E63" s="182" t="e">
        <f t="shared" si="119"/>
        <v>#N/A</v>
      </c>
      <c r="F63" s="1" t="s">
        <v>1929</v>
      </c>
      <c r="G63" s="1">
        <v>0.85</v>
      </c>
      <c r="J63" s="170"/>
      <c r="K63" s="170"/>
      <c r="L63" s="169" t="s">
        <v>132</v>
      </c>
      <c r="M63" s="1" t="s">
        <v>1930</v>
      </c>
      <c r="N63" s="182">
        <v>0.55000000000000004</v>
      </c>
      <c r="O63" s="169" t="s">
        <v>132</v>
      </c>
      <c r="P63" s="1" t="s">
        <v>1930</v>
      </c>
      <c r="Q63" s="182">
        <v>0.55000000000000004</v>
      </c>
      <c r="R63" s="169" t="s">
        <v>132</v>
      </c>
      <c r="S63" s="1" t="s">
        <v>1930</v>
      </c>
      <c r="T63" s="182">
        <v>0.55000000000000004</v>
      </c>
      <c r="U63" s="169" t="s">
        <v>132</v>
      </c>
      <c r="V63" s="1" t="s">
        <v>1930</v>
      </c>
      <c r="W63" s="182">
        <v>0.55000000000000004</v>
      </c>
      <c r="AH63" s="1" t="s">
        <v>1930</v>
      </c>
      <c r="AI63" s="1" t="s">
        <v>1930</v>
      </c>
      <c r="AJ63" s="1">
        <v>1</v>
      </c>
    </row>
    <row r="64" spans="1:36" ht="15.75" customHeight="1" x14ac:dyDescent="0.3">
      <c r="A64" s="205" t="e">
        <f t="shared" ref="A64:C64" si="120">IF($B$1="Solo",IF(L63="","",L63),IF($B$1="Duet",IF(O63="","",O63),IF($B$1="Mixed",IF(R63="","",R63),IF(U63="","",U63))))</f>
        <v>#N/A</v>
      </c>
      <c r="B64" s="182" t="e">
        <f t="shared" si="120"/>
        <v>#N/A</v>
      </c>
      <c r="C64" s="182" t="e">
        <f t="shared" si="120"/>
        <v>#N/A</v>
      </c>
      <c r="D64" s="182" t="e">
        <f t="shared" ref="D64:E64" si="121">IF($D$1="Team",IF(AD63="","",AD63),"")</f>
        <v>#N/A</v>
      </c>
      <c r="E64" s="182" t="e">
        <f t="shared" si="121"/>
        <v>#N/A</v>
      </c>
      <c r="F64" s="1" t="s">
        <v>1931</v>
      </c>
      <c r="G64" s="1">
        <v>1</v>
      </c>
      <c r="J64" s="170"/>
      <c r="K64" s="170"/>
      <c r="L64" s="169" t="s">
        <v>132</v>
      </c>
      <c r="M64" s="1" t="s">
        <v>1932</v>
      </c>
      <c r="N64" s="182">
        <v>0.55000000000000004</v>
      </c>
      <c r="O64" s="169" t="s">
        <v>132</v>
      </c>
      <c r="P64" s="1" t="s">
        <v>1932</v>
      </c>
      <c r="Q64" s="182">
        <v>0.55000000000000004</v>
      </c>
      <c r="R64" s="169" t="s">
        <v>132</v>
      </c>
      <c r="S64" s="1" t="s">
        <v>1932</v>
      </c>
      <c r="T64" s="182">
        <v>0.55000000000000004</v>
      </c>
      <c r="U64" s="169" t="s">
        <v>132</v>
      </c>
      <c r="V64" s="1" t="s">
        <v>1932</v>
      </c>
      <c r="W64" s="182">
        <v>0.55000000000000004</v>
      </c>
      <c r="AH64" s="1" t="s">
        <v>1932</v>
      </c>
      <c r="AI64" s="1" t="s">
        <v>1932</v>
      </c>
      <c r="AJ64" s="1">
        <v>1</v>
      </c>
    </row>
    <row r="65" spans="1:36" ht="15.75" customHeight="1" x14ac:dyDescent="0.3">
      <c r="A65" s="205" t="e">
        <f t="shared" ref="A65:C65" si="122">IF($B$1="Solo",IF(L64="","",L64),IF($B$1="Duet",IF(O64="","",O64),IF($B$1="Mixed",IF(R64="","",R64),IF(U64="","",U64))))</f>
        <v>#N/A</v>
      </c>
      <c r="B65" s="182" t="e">
        <f t="shared" si="122"/>
        <v>#N/A</v>
      </c>
      <c r="C65" s="182" t="e">
        <f t="shared" si="122"/>
        <v>#N/A</v>
      </c>
      <c r="D65" s="182" t="e">
        <f t="shared" ref="D65:E65" si="123">IF($D$1="Team",IF(AD64="","",AD64),"")</f>
        <v>#N/A</v>
      </c>
      <c r="E65" s="182" t="e">
        <f t="shared" si="123"/>
        <v>#N/A</v>
      </c>
      <c r="F65" s="1" t="s">
        <v>1933</v>
      </c>
      <c r="G65" s="1">
        <v>1</v>
      </c>
      <c r="J65" s="170"/>
      <c r="K65" s="170"/>
      <c r="L65" s="169" t="s">
        <v>132</v>
      </c>
      <c r="M65" s="1" t="s">
        <v>1934</v>
      </c>
      <c r="N65" s="182">
        <v>0.4</v>
      </c>
      <c r="O65" s="169" t="s">
        <v>132</v>
      </c>
      <c r="P65" s="1" t="s">
        <v>1934</v>
      </c>
      <c r="Q65" s="182">
        <v>0.4</v>
      </c>
      <c r="R65" s="169" t="s">
        <v>132</v>
      </c>
      <c r="S65" s="1" t="s">
        <v>1934</v>
      </c>
      <c r="T65" s="182">
        <v>0.4</v>
      </c>
      <c r="U65" s="169" t="s">
        <v>132</v>
      </c>
      <c r="V65" s="1" t="s">
        <v>1934</v>
      </c>
      <c r="W65" s="182">
        <v>0.4</v>
      </c>
      <c r="AH65" s="1" t="s">
        <v>1934</v>
      </c>
      <c r="AI65" s="1" t="s">
        <v>1934</v>
      </c>
      <c r="AJ65" s="1">
        <v>1</v>
      </c>
    </row>
    <row r="66" spans="1:36" ht="15.75" customHeight="1" x14ac:dyDescent="0.3">
      <c r="A66" s="205" t="e">
        <f t="shared" ref="A66:C66" si="124">IF($B$1="Solo",IF(L65="","",L65),IF($B$1="Duet",IF(O65="","",O65),IF($B$1="Mixed",IF(R65="","",R65),IF(U65="","",U65))))</f>
        <v>#N/A</v>
      </c>
      <c r="B66" s="182" t="e">
        <f t="shared" si="124"/>
        <v>#N/A</v>
      </c>
      <c r="C66" s="182" t="e">
        <f t="shared" si="124"/>
        <v>#N/A</v>
      </c>
      <c r="D66" s="182" t="e">
        <f t="shared" ref="D66:E66" si="125">IF($D$1="Team",IF(AD65="","",AD65),"")</f>
        <v>#N/A</v>
      </c>
      <c r="E66" s="182" t="e">
        <f t="shared" si="125"/>
        <v>#N/A</v>
      </c>
      <c r="F66" s="1" t="s">
        <v>1935</v>
      </c>
      <c r="G66" s="1">
        <v>0.05</v>
      </c>
      <c r="J66" s="170"/>
      <c r="K66" s="170"/>
      <c r="L66" s="169" t="s">
        <v>132</v>
      </c>
      <c r="M66" s="1" t="s">
        <v>1936</v>
      </c>
      <c r="N66" s="182">
        <v>0.75</v>
      </c>
      <c r="O66" s="169" t="s">
        <v>132</v>
      </c>
      <c r="P66" s="1" t="s">
        <v>1936</v>
      </c>
      <c r="Q66" s="182">
        <v>0.75</v>
      </c>
      <c r="R66" s="169" t="s">
        <v>132</v>
      </c>
      <c r="S66" s="1" t="s">
        <v>1936</v>
      </c>
      <c r="T66" s="182">
        <v>0.75</v>
      </c>
      <c r="U66" s="169" t="s">
        <v>132</v>
      </c>
      <c r="V66" s="1" t="s">
        <v>1936</v>
      </c>
      <c r="W66" s="182">
        <v>0.75</v>
      </c>
      <c r="AH66" s="1" t="s">
        <v>1936</v>
      </c>
      <c r="AI66" s="1" t="s">
        <v>1936</v>
      </c>
      <c r="AJ66" s="1">
        <v>1</v>
      </c>
    </row>
    <row r="67" spans="1:36" ht="15.75" customHeight="1" x14ac:dyDescent="0.3">
      <c r="A67" s="205" t="e">
        <f t="shared" ref="A67:C67" si="126">IF($B$1="Solo",IF(L66="","",L66),IF($B$1="Duet",IF(O66="","",O66),IF($B$1="Mixed",IF(R66="","",R66),IF(U66="","",U66))))</f>
        <v>#N/A</v>
      </c>
      <c r="B67" s="182" t="e">
        <f t="shared" si="126"/>
        <v>#N/A</v>
      </c>
      <c r="C67" s="182" t="e">
        <f t="shared" si="126"/>
        <v>#N/A</v>
      </c>
      <c r="D67" s="182" t="e">
        <f t="shared" ref="D67:E67" si="127">IF($D$1="Team",IF(AD66="","",AD66),"")</f>
        <v>#N/A</v>
      </c>
      <c r="E67" s="182" t="e">
        <f t="shared" si="127"/>
        <v>#N/A</v>
      </c>
      <c r="F67" s="1" t="s">
        <v>1937</v>
      </c>
      <c r="G67" s="1">
        <v>0.1</v>
      </c>
      <c r="J67" s="170"/>
      <c r="K67" s="170"/>
      <c r="L67" s="169" t="s">
        <v>132</v>
      </c>
      <c r="M67" s="1" t="s">
        <v>1938</v>
      </c>
      <c r="N67" s="182">
        <v>0.95</v>
      </c>
      <c r="O67" s="169" t="s">
        <v>132</v>
      </c>
      <c r="P67" s="1" t="s">
        <v>1938</v>
      </c>
      <c r="Q67" s="182">
        <v>0.95</v>
      </c>
      <c r="R67" s="169" t="s">
        <v>132</v>
      </c>
      <c r="S67" s="1" t="s">
        <v>1938</v>
      </c>
      <c r="T67" s="182">
        <v>0.95</v>
      </c>
      <c r="U67" s="169" t="s">
        <v>132</v>
      </c>
      <c r="V67" s="1" t="s">
        <v>1938</v>
      </c>
      <c r="W67" s="182">
        <v>0.95</v>
      </c>
      <c r="AH67" s="1" t="s">
        <v>1938</v>
      </c>
      <c r="AI67" s="1" t="s">
        <v>1938</v>
      </c>
      <c r="AJ67" s="1">
        <v>1</v>
      </c>
    </row>
    <row r="68" spans="1:36" ht="15.75" customHeight="1" x14ac:dyDescent="0.3">
      <c r="A68" s="205" t="e">
        <f t="shared" ref="A68:C68" si="128">IF($B$1="Solo",IF(L67="","",L67),IF($B$1="Duet",IF(O67="","",O67),IF($B$1="Mixed",IF(R67="","",R67),IF(U67="","",U67))))</f>
        <v>#N/A</v>
      </c>
      <c r="B68" s="182" t="e">
        <f t="shared" si="128"/>
        <v>#N/A</v>
      </c>
      <c r="C68" s="182" t="e">
        <f t="shared" si="128"/>
        <v>#N/A</v>
      </c>
      <c r="D68" s="182" t="e">
        <f t="shared" ref="D68:E68" si="129">IF($D$1="Team",IF(AD67="","",AD67),"")</f>
        <v>#N/A</v>
      </c>
      <c r="E68" s="182" t="e">
        <f t="shared" si="129"/>
        <v>#N/A</v>
      </c>
      <c r="F68" s="1" t="s">
        <v>1939</v>
      </c>
      <c r="G68" s="1">
        <v>0.1</v>
      </c>
      <c r="J68" s="170"/>
      <c r="K68" s="170"/>
      <c r="L68" s="169" t="s">
        <v>132</v>
      </c>
      <c r="M68" s="1" t="s">
        <v>1940</v>
      </c>
      <c r="N68" s="182">
        <v>1.05</v>
      </c>
      <c r="O68" s="169" t="s">
        <v>132</v>
      </c>
      <c r="P68" s="1" t="s">
        <v>1940</v>
      </c>
      <c r="Q68" s="182">
        <v>1.05</v>
      </c>
      <c r="R68" s="169" t="s">
        <v>132</v>
      </c>
      <c r="S68" s="1" t="s">
        <v>1940</v>
      </c>
      <c r="T68" s="182">
        <v>1.05</v>
      </c>
      <c r="U68" s="169" t="s">
        <v>132</v>
      </c>
      <c r="V68" s="1" t="s">
        <v>1940</v>
      </c>
      <c r="W68" s="182">
        <v>1.05</v>
      </c>
      <c r="AH68" s="1" t="s">
        <v>1940</v>
      </c>
      <c r="AI68" s="1" t="s">
        <v>1940</v>
      </c>
      <c r="AJ68" s="1">
        <v>1</v>
      </c>
    </row>
    <row r="69" spans="1:36" ht="15.75" customHeight="1" x14ac:dyDescent="0.3">
      <c r="A69" s="205" t="e">
        <f t="shared" ref="A69:C69" si="130">IF($B$1="Solo",IF(L68="","",L68),IF($B$1="Duet",IF(O68="","",O68),IF($B$1="Mixed",IF(R68="","",R68),IF(U68="","",U68))))</f>
        <v>#N/A</v>
      </c>
      <c r="B69" s="182" t="e">
        <f t="shared" si="130"/>
        <v>#N/A</v>
      </c>
      <c r="C69" s="182" t="e">
        <f t="shared" si="130"/>
        <v>#N/A</v>
      </c>
      <c r="D69" s="182" t="e">
        <f t="shared" ref="D69:E69" si="131">IF($D$1="Team",IF(AD68="","",AD68),"")</f>
        <v>#N/A</v>
      </c>
      <c r="E69" s="182" t="e">
        <f t="shared" si="131"/>
        <v>#N/A</v>
      </c>
      <c r="F69" s="1" t="s">
        <v>1941</v>
      </c>
      <c r="G69" s="1">
        <v>0.15</v>
      </c>
      <c r="J69" s="170"/>
      <c r="K69" s="170"/>
      <c r="L69" s="169" t="s">
        <v>132</v>
      </c>
      <c r="M69" s="1" t="s">
        <v>1942</v>
      </c>
      <c r="N69" s="182">
        <v>1.1499999999999999</v>
      </c>
      <c r="O69" s="169" t="s">
        <v>132</v>
      </c>
      <c r="P69" s="1" t="s">
        <v>1942</v>
      </c>
      <c r="Q69" s="182">
        <v>1.1499999999999999</v>
      </c>
      <c r="R69" s="169" t="s">
        <v>132</v>
      </c>
      <c r="S69" s="1" t="s">
        <v>1942</v>
      </c>
      <c r="T69" s="182">
        <v>1.1499999999999999</v>
      </c>
      <c r="U69" s="169" t="s">
        <v>132</v>
      </c>
      <c r="V69" s="1" t="s">
        <v>1942</v>
      </c>
      <c r="W69" s="182">
        <v>1.1499999999999999</v>
      </c>
      <c r="AH69" s="1" t="s">
        <v>1942</v>
      </c>
      <c r="AI69" s="1" t="s">
        <v>1942</v>
      </c>
      <c r="AJ69" s="1">
        <v>1</v>
      </c>
    </row>
    <row r="70" spans="1:36" ht="15.75" customHeight="1" x14ac:dyDescent="0.3">
      <c r="A70" s="205" t="e">
        <f t="shared" ref="A70:C70" si="132">IF($B$1="Solo",IF(L69="","",L69),IF($B$1="Duet",IF(O69="","",O69),IF($B$1="Mixed",IF(R69="","",R69),IF(U69="","",U69))))</f>
        <v>#N/A</v>
      </c>
      <c r="B70" s="182" t="e">
        <f t="shared" si="132"/>
        <v>#N/A</v>
      </c>
      <c r="C70" s="182" t="e">
        <f t="shared" si="132"/>
        <v>#N/A</v>
      </c>
      <c r="D70" s="182" t="e">
        <f t="shared" ref="D70:E70" si="133">IF($D$1="Team",IF(AD69="","",AD69),"")</f>
        <v>#N/A</v>
      </c>
      <c r="E70" s="182" t="e">
        <f t="shared" si="133"/>
        <v>#N/A</v>
      </c>
      <c r="F70" s="1" t="s">
        <v>1943</v>
      </c>
      <c r="G70" s="1">
        <v>0.15</v>
      </c>
      <c r="J70" s="170"/>
      <c r="K70" s="170"/>
      <c r="L70" s="169" t="s">
        <v>132</v>
      </c>
      <c r="M70" s="1" t="s">
        <v>1944</v>
      </c>
      <c r="N70" s="182">
        <v>0.6</v>
      </c>
      <c r="O70" s="169" t="s">
        <v>132</v>
      </c>
      <c r="P70" s="1" t="s">
        <v>1944</v>
      </c>
      <c r="Q70" s="182">
        <v>0.6</v>
      </c>
      <c r="R70" s="169" t="s">
        <v>132</v>
      </c>
      <c r="S70" s="1" t="s">
        <v>1944</v>
      </c>
      <c r="T70" s="182">
        <v>0.6</v>
      </c>
      <c r="U70" s="169" t="s">
        <v>132</v>
      </c>
      <c r="V70" s="1" t="s">
        <v>1944</v>
      </c>
      <c r="W70" s="182">
        <v>0.6</v>
      </c>
      <c r="AH70" s="1" t="s">
        <v>1944</v>
      </c>
      <c r="AI70" s="1" t="s">
        <v>1944</v>
      </c>
      <c r="AJ70" s="1">
        <v>1</v>
      </c>
    </row>
    <row r="71" spans="1:36" ht="15.75" customHeight="1" x14ac:dyDescent="0.3">
      <c r="A71" s="205" t="e">
        <f t="shared" ref="A71:C71" si="134">IF($B$1="Solo",IF(L70="","",L70),IF($B$1="Duet",IF(O70="","",O70),IF($B$1="Mixed",IF(R70="","",R70),IF(U70="","",U70))))</f>
        <v>#N/A</v>
      </c>
      <c r="B71" s="182" t="e">
        <f t="shared" si="134"/>
        <v>#N/A</v>
      </c>
      <c r="C71" s="182" t="e">
        <f t="shared" si="134"/>
        <v>#N/A</v>
      </c>
      <c r="D71" s="182" t="e">
        <f t="shared" ref="D71:E71" si="135">IF($D$1="Team",IF(AD70="","",AD70),"")</f>
        <v>#N/A</v>
      </c>
      <c r="E71" s="182" t="e">
        <f t="shared" si="135"/>
        <v>#N/A</v>
      </c>
      <c r="F71" s="1" t="s">
        <v>1945</v>
      </c>
      <c r="G71" s="1">
        <v>0.15</v>
      </c>
      <c r="J71" s="170"/>
      <c r="K71" s="170"/>
      <c r="L71" s="169" t="s">
        <v>132</v>
      </c>
      <c r="M71" s="1" t="s">
        <v>1946</v>
      </c>
      <c r="N71" s="182">
        <v>1.1499999999999999</v>
      </c>
      <c r="O71" s="169" t="s">
        <v>132</v>
      </c>
      <c r="P71" s="1" t="s">
        <v>1946</v>
      </c>
      <c r="Q71" s="182">
        <v>1.1499999999999999</v>
      </c>
      <c r="R71" s="169" t="s">
        <v>132</v>
      </c>
      <c r="S71" s="1" t="s">
        <v>1946</v>
      </c>
      <c r="T71" s="182">
        <v>1.1499999999999999</v>
      </c>
      <c r="U71" s="169" t="s">
        <v>132</v>
      </c>
      <c r="V71" s="1" t="s">
        <v>1946</v>
      </c>
      <c r="W71" s="182">
        <v>1.1499999999999999</v>
      </c>
      <c r="AH71" s="1" t="s">
        <v>1946</v>
      </c>
      <c r="AI71" s="1" t="s">
        <v>1946</v>
      </c>
      <c r="AJ71" s="1">
        <v>1</v>
      </c>
    </row>
    <row r="72" spans="1:36" ht="15.75" customHeight="1" x14ac:dyDescent="0.3">
      <c r="A72" s="205" t="e">
        <f t="shared" ref="A72:C72" si="136">IF($B$1="Solo",IF(L71="","",L71),IF($B$1="Duet",IF(O71="","",O71),IF($B$1="Mixed",IF(R71="","",R71),IF(U71="","",U71))))</f>
        <v>#N/A</v>
      </c>
      <c r="B72" s="182" t="e">
        <f t="shared" si="136"/>
        <v>#N/A</v>
      </c>
      <c r="C72" s="182" t="e">
        <f t="shared" si="136"/>
        <v>#N/A</v>
      </c>
      <c r="D72" s="182" t="e">
        <f t="shared" ref="D72:E72" si="137">IF($D$1="Team",IF(AD71="","",AD71),"")</f>
        <v>#N/A</v>
      </c>
      <c r="E72" s="182" t="e">
        <f t="shared" si="137"/>
        <v>#N/A</v>
      </c>
      <c r="F72" s="1" t="s">
        <v>1947</v>
      </c>
      <c r="G72" s="1">
        <v>0.2</v>
      </c>
      <c r="J72" s="170"/>
      <c r="K72" s="170"/>
      <c r="L72" s="169" t="s">
        <v>132</v>
      </c>
      <c r="M72" s="1" t="s">
        <v>1948</v>
      </c>
      <c r="N72" s="182">
        <v>1.45</v>
      </c>
      <c r="O72" s="169" t="s">
        <v>132</v>
      </c>
      <c r="P72" s="1" t="s">
        <v>1948</v>
      </c>
      <c r="Q72" s="182">
        <v>1.45</v>
      </c>
      <c r="R72" s="169" t="s">
        <v>132</v>
      </c>
      <c r="S72" s="1" t="s">
        <v>1948</v>
      </c>
      <c r="T72" s="182">
        <v>1.45</v>
      </c>
      <c r="U72" s="169" t="s">
        <v>132</v>
      </c>
      <c r="V72" s="1" t="s">
        <v>1948</v>
      </c>
      <c r="W72" s="182">
        <v>1.45</v>
      </c>
      <c r="AH72" s="1" t="s">
        <v>1948</v>
      </c>
      <c r="AI72" s="1" t="s">
        <v>1948</v>
      </c>
      <c r="AJ72" s="1">
        <v>1</v>
      </c>
    </row>
    <row r="73" spans="1:36" ht="15.75" customHeight="1" x14ac:dyDescent="0.3">
      <c r="A73" s="205" t="e">
        <f t="shared" ref="A73:C73" si="138">IF($B$1="Solo",IF(L72="","",L72),IF($B$1="Duet",IF(O72="","",O72),IF($B$1="Mixed",IF(R72="","",R72),IF(U72="","",U72))))</f>
        <v>#N/A</v>
      </c>
      <c r="B73" s="182" t="e">
        <f t="shared" si="138"/>
        <v>#N/A</v>
      </c>
      <c r="C73" s="182" t="e">
        <f t="shared" si="138"/>
        <v>#N/A</v>
      </c>
      <c r="D73" s="182" t="e">
        <f t="shared" ref="D73:E73" si="139">IF($D$1="Team",IF(AD72="","",AD72),"")</f>
        <v>#N/A</v>
      </c>
      <c r="E73" s="182" t="e">
        <f t="shared" si="139"/>
        <v>#N/A</v>
      </c>
      <c r="F73" s="1" t="s">
        <v>1949</v>
      </c>
      <c r="G73" s="1">
        <v>0.25</v>
      </c>
      <c r="J73" s="170"/>
      <c r="K73" s="170"/>
      <c r="L73" s="169" t="s">
        <v>132</v>
      </c>
      <c r="M73" s="1" t="s">
        <v>1950</v>
      </c>
      <c r="N73" s="182">
        <v>1.75</v>
      </c>
      <c r="O73" s="169" t="s">
        <v>132</v>
      </c>
      <c r="P73" s="1" t="s">
        <v>1950</v>
      </c>
      <c r="Q73" s="182">
        <v>1.75</v>
      </c>
      <c r="R73" s="169" t="s">
        <v>132</v>
      </c>
      <c r="S73" s="1" t="s">
        <v>1950</v>
      </c>
      <c r="T73" s="182">
        <v>1.75</v>
      </c>
      <c r="U73" s="169" t="s">
        <v>132</v>
      </c>
      <c r="V73" s="1" t="s">
        <v>1950</v>
      </c>
      <c r="W73" s="182">
        <v>1.75</v>
      </c>
      <c r="AH73" s="1" t="s">
        <v>1950</v>
      </c>
      <c r="AI73" s="1" t="s">
        <v>1950</v>
      </c>
      <c r="AJ73" s="1">
        <v>1</v>
      </c>
    </row>
    <row r="74" spans="1:36" ht="15.75" customHeight="1" x14ac:dyDescent="0.3">
      <c r="A74" s="205" t="e">
        <f t="shared" ref="A74:C74" si="140">IF($B$1="Solo",IF(L73="","",L73),IF($B$1="Duet",IF(O73="","",O73),IF($B$1="Mixed",IF(R73="","",R73),IF(U73="","",U73))))</f>
        <v>#N/A</v>
      </c>
      <c r="B74" s="182" t="e">
        <f t="shared" si="140"/>
        <v>#N/A</v>
      </c>
      <c r="C74" s="182" t="e">
        <f t="shared" si="140"/>
        <v>#N/A</v>
      </c>
      <c r="D74" s="182" t="e">
        <f t="shared" ref="D74:E74" si="141">IF($D$1="Team",IF(AD73="","",AD73),"")</f>
        <v>#N/A</v>
      </c>
      <c r="E74" s="182" t="e">
        <f t="shared" si="141"/>
        <v>#N/A</v>
      </c>
      <c r="F74" s="1" t="s">
        <v>1951</v>
      </c>
      <c r="G74" s="1">
        <v>0.5</v>
      </c>
      <c r="J74" s="170"/>
      <c r="K74" s="170"/>
      <c r="L74" s="169" t="s">
        <v>132</v>
      </c>
      <c r="M74" s="1" t="s">
        <v>1952</v>
      </c>
      <c r="N74" s="182">
        <v>0.8</v>
      </c>
      <c r="O74" s="169" t="s">
        <v>132</v>
      </c>
      <c r="P74" s="1" t="s">
        <v>1952</v>
      </c>
      <c r="Q74" s="182">
        <v>0.8</v>
      </c>
      <c r="R74" s="169" t="s">
        <v>132</v>
      </c>
      <c r="S74" s="1" t="s">
        <v>1952</v>
      </c>
      <c r="T74" s="182">
        <v>0.8</v>
      </c>
      <c r="U74" s="169" t="s">
        <v>132</v>
      </c>
      <c r="V74" s="1" t="s">
        <v>1952</v>
      </c>
      <c r="W74" s="182">
        <v>0.8</v>
      </c>
      <c r="AH74" s="1" t="s">
        <v>1952</v>
      </c>
      <c r="AI74" s="1" t="s">
        <v>1952</v>
      </c>
      <c r="AJ74" s="1">
        <v>1</v>
      </c>
    </row>
    <row r="75" spans="1:36" ht="15.75" customHeight="1" x14ac:dyDescent="0.3">
      <c r="A75" s="205" t="e">
        <f t="shared" ref="A75:C75" si="142">IF($B$1="Solo",IF(L74="","",L74),IF($B$1="Duet",IF(O74="","",O74),IF($B$1="Mixed",IF(R74="","",R74),IF(U74="","",U74))))</f>
        <v>#N/A</v>
      </c>
      <c r="B75" s="182" t="e">
        <f t="shared" si="142"/>
        <v>#N/A</v>
      </c>
      <c r="C75" s="182" t="e">
        <f t="shared" si="142"/>
        <v>#N/A</v>
      </c>
      <c r="D75" s="182" t="e">
        <f t="shared" ref="D75:E75" si="143">IF($D$1="Team",IF(AD74="","",AD74),"")</f>
        <v>#N/A</v>
      </c>
      <c r="E75" s="182" t="e">
        <f t="shared" si="143"/>
        <v>#N/A</v>
      </c>
      <c r="F75" s="1" t="s">
        <v>1953</v>
      </c>
      <c r="G75" s="1">
        <v>0.625</v>
      </c>
      <c r="J75" s="170"/>
      <c r="K75" s="170"/>
      <c r="L75" s="169" t="s">
        <v>132</v>
      </c>
      <c r="M75" s="1" t="s">
        <v>1954</v>
      </c>
      <c r="N75" s="182">
        <v>1.55</v>
      </c>
      <c r="O75" s="169" t="s">
        <v>132</v>
      </c>
      <c r="P75" s="1" t="s">
        <v>1954</v>
      </c>
      <c r="Q75" s="182">
        <v>1.55</v>
      </c>
      <c r="R75" s="169" t="s">
        <v>132</v>
      </c>
      <c r="S75" s="1" t="s">
        <v>1954</v>
      </c>
      <c r="T75" s="182">
        <v>1.55</v>
      </c>
      <c r="U75" s="169" t="s">
        <v>132</v>
      </c>
      <c r="V75" s="1" t="s">
        <v>1954</v>
      </c>
      <c r="W75" s="182">
        <v>1.55</v>
      </c>
      <c r="AH75" s="1" t="s">
        <v>1954</v>
      </c>
      <c r="AI75" s="1" t="s">
        <v>1954</v>
      </c>
      <c r="AJ75" s="1">
        <v>1</v>
      </c>
    </row>
    <row r="76" spans="1:36" ht="15.75" customHeight="1" x14ac:dyDescent="0.3">
      <c r="A76" s="205" t="e">
        <f t="shared" ref="A76:C76" si="144">IF($B$1="Solo",IF(L75="","",L75),IF($B$1="Duet",IF(O75="","",O75),IF($B$1="Mixed",IF(R75="","",R75),IF(U75="","",U75))))</f>
        <v>#N/A</v>
      </c>
      <c r="B76" s="182" t="e">
        <f t="shared" si="144"/>
        <v>#N/A</v>
      </c>
      <c r="C76" s="182" t="e">
        <f t="shared" si="144"/>
        <v>#N/A</v>
      </c>
      <c r="D76" s="182" t="e">
        <f t="shared" ref="D76:E76" si="145">IF($D$1="Team",IF(AD75="","",AD75),"")</f>
        <v>#N/A</v>
      </c>
      <c r="E76" s="182" t="e">
        <f t="shared" si="145"/>
        <v>#N/A</v>
      </c>
      <c r="F76" s="1" t="s">
        <v>1955</v>
      </c>
      <c r="G76" s="1">
        <v>0.625</v>
      </c>
      <c r="J76" s="170"/>
      <c r="K76" s="170"/>
      <c r="L76" s="169" t="s">
        <v>132</v>
      </c>
      <c r="M76" s="1" t="s">
        <v>1956</v>
      </c>
      <c r="N76" s="182">
        <v>1.95</v>
      </c>
      <c r="O76" s="169" t="s">
        <v>132</v>
      </c>
      <c r="P76" s="1" t="s">
        <v>1956</v>
      </c>
      <c r="Q76" s="182">
        <v>1.95</v>
      </c>
      <c r="R76" s="169" t="s">
        <v>132</v>
      </c>
      <c r="S76" s="1" t="s">
        <v>1956</v>
      </c>
      <c r="T76" s="182">
        <v>1.95</v>
      </c>
      <c r="U76" s="169" t="s">
        <v>132</v>
      </c>
      <c r="V76" s="1" t="s">
        <v>1956</v>
      </c>
      <c r="W76" s="182">
        <v>1.95</v>
      </c>
      <c r="AH76" s="1" t="s">
        <v>1956</v>
      </c>
      <c r="AI76" s="1" t="s">
        <v>1956</v>
      </c>
      <c r="AJ76" s="1">
        <v>1</v>
      </c>
    </row>
    <row r="77" spans="1:36" ht="15.75" customHeight="1" x14ac:dyDescent="0.3">
      <c r="A77" s="205" t="e">
        <f t="shared" ref="A77:C77" si="146">IF($B$1="Solo",IF(L76="","",L76),IF($B$1="Duet",IF(O76="","",O76),IF($B$1="Mixed",IF(R76="","",R76),IF(U76="","",U76))))</f>
        <v>#N/A</v>
      </c>
      <c r="B77" s="182" t="e">
        <f t="shared" si="146"/>
        <v>#N/A</v>
      </c>
      <c r="C77" s="182" t="e">
        <f t="shared" si="146"/>
        <v>#N/A</v>
      </c>
      <c r="D77" s="182" t="e">
        <f t="shared" ref="D77:E77" si="147">IF($D$1="Team",IF(AD76="","",AD76),"")</f>
        <v>#N/A</v>
      </c>
      <c r="E77" s="182" t="e">
        <f t="shared" si="147"/>
        <v>#N/A</v>
      </c>
      <c r="F77" s="1" t="s">
        <v>1957</v>
      </c>
      <c r="G77" s="1">
        <v>0.75</v>
      </c>
      <c r="J77" s="170"/>
      <c r="K77" s="170"/>
      <c r="L77" s="169" t="s">
        <v>132</v>
      </c>
      <c r="M77" s="1" t="s">
        <v>1958</v>
      </c>
      <c r="N77" s="182">
        <v>2.15</v>
      </c>
      <c r="O77" s="169" t="s">
        <v>132</v>
      </c>
      <c r="P77" s="1" t="s">
        <v>1958</v>
      </c>
      <c r="Q77" s="182">
        <v>2.15</v>
      </c>
      <c r="R77" s="169" t="s">
        <v>132</v>
      </c>
      <c r="S77" s="1" t="s">
        <v>1958</v>
      </c>
      <c r="T77" s="182">
        <v>2.15</v>
      </c>
      <c r="U77" s="169" t="s">
        <v>132</v>
      </c>
      <c r="V77" s="1" t="s">
        <v>1958</v>
      </c>
      <c r="W77" s="182">
        <v>2.15</v>
      </c>
      <c r="AH77" s="1" t="s">
        <v>1958</v>
      </c>
      <c r="AI77" s="1" t="s">
        <v>1958</v>
      </c>
      <c r="AJ77" s="1">
        <v>1</v>
      </c>
    </row>
    <row r="78" spans="1:36" ht="15.75" customHeight="1" x14ac:dyDescent="0.3">
      <c r="A78" s="205" t="e">
        <f t="shared" ref="A78:C78" si="148">IF($B$1="Solo",IF(L77="","",L77),IF($B$1="Duet",IF(O77="","",O77),IF($B$1="Mixed",IF(R77="","",R77),IF(U77="","",U77))))</f>
        <v>#N/A</v>
      </c>
      <c r="B78" s="182" t="e">
        <f t="shared" si="148"/>
        <v>#N/A</v>
      </c>
      <c r="C78" s="182" t="e">
        <f t="shared" si="148"/>
        <v>#N/A</v>
      </c>
      <c r="D78" s="182" t="e">
        <f t="shared" ref="D78:E78" si="149">IF($D$1="Team",IF(AD77="","",AD77),"")</f>
        <v>#N/A</v>
      </c>
      <c r="E78" s="182" t="e">
        <f t="shared" si="149"/>
        <v>#N/A</v>
      </c>
      <c r="J78" s="170"/>
      <c r="K78" s="170"/>
      <c r="L78" s="169" t="s">
        <v>132</v>
      </c>
      <c r="M78" s="1" t="s">
        <v>1959</v>
      </c>
      <c r="N78" s="182">
        <v>2.35</v>
      </c>
      <c r="O78" s="169" t="s">
        <v>132</v>
      </c>
      <c r="P78" s="1" t="s">
        <v>1959</v>
      </c>
      <c r="Q78" s="182">
        <v>2.35</v>
      </c>
      <c r="R78" s="169" t="s">
        <v>132</v>
      </c>
      <c r="S78" s="1" t="s">
        <v>1959</v>
      </c>
      <c r="T78" s="182">
        <v>2.35</v>
      </c>
      <c r="U78" s="169" t="s">
        <v>132</v>
      </c>
      <c r="V78" s="1" t="s">
        <v>1959</v>
      </c>
      <c r="W78" s="182">
        <v>2.35</v>
      </c>
      <c r="AH78" s="1" t="s">
        <v>1959</v>
      </c>
      <c r="AI78" s="1" t="s">
        <v>1959</v>
      </c>
      <c r="AJ78" s="1">
        <v>1</v>
      </c>
    </row>
    <row r="79" spans="1:36" ht="15.75" customHeight="1" x14ac:dyDescent="0.3">
      <c r="A79" s="205" t="e">
        <f t="shared" ref="A79:C79" si="150">IF($B$1="Solo",IF(L78="","",L78),IF($B$1="Duet",IF(O78="","",O78),IF($B$1="Mixed",IF(R78="","",R78),IF(U78="","",U78))))</f>
        <v>#N/A</v>
      </c>
      <c r="B79" s="182" t="e">
        <f t="shared" si="150"/>
        <v>#N/A</v>
      </c>
      <c r="C79" s="182" t="e">
        <f t="shared" si="150"/>
        <v>#N/A</v>
      </c>
      <c r="D79" s="182" t="e">
        <f t="shared" ref="D79:E79" si="151">IF($D$1="Team",IF(AD78="","",AD78),"")</f>
        <v>#N/A</v>
      </c>
      <c r="E79" s="182" t="e">
        <f t="shared" si="151"/>
        <v>#N/A</v>
      </c>
      <c r="J79" s="170"/>
      <c r="K79" s="170"/>
      <c r="L79" s="169" t="s">
        <v>132</v>
      </c>
      <c r="M79" s="1" t="s">
        <v>1960</v>
      </c>
      <c r="N79" s="182">
        <v>1.95</v>
      </c>
      <c r="O79" s="169" t="s">
        <v>132</v>
      </c>
      <c r="P79" s="1" t="s">
        <v>1960</v>
      </c>
      <c r="Q79" s="182">
        <v>1.95</v>
      </c>
      <c r="R79" s="169" t="s">
        <v>132</v>
      </c>
      <c r="S79" s="1" t="s">
        <v>1960</v>
      </c>
      <c r="T79" s="182">
        <v>1.95</v>
      </c>
      <c r="U79" s="169" t="s">
        <v>132</v>
      </c>
      <c r="V79" s="1" t="s">
        <v>1960</v>
      </c>
      <c r="W79" s="182">
        <v>1.95</v>
      </c>
      <c r="AH79" s="1" t="s">
        <v>1960</v>
      </c>
      <c r="AI79" s="1" t="s">
        <v>1960</v>
      </c>
      <c r="AJ79" s="1">
        <v>1</v>
      </c>
    </row>
    <row r="80" spans="1:36" ht="15.75" customHeight="1" x14ac:dyDescent="0.3">
      <c r="A80" s="205" t="e">
        <f t="shared" ref="A80:C80" si="152">IF($B$1="Solo",IF(L79="","",L79),IF($B$1="Duet",IF(O79="","",O79),IF($B$1="Mixed",IF(R79="","",R79),IF(U79="","",U79))))</f>
        <v>#N/A</v>
      </c>
      <c r="B80" s="182" t="e">
        <f t="shared" si="152"/>
        <v>#N/A</v>
      </c>
      <c r="C80" s="182" t="e">
        <f t="shared" si="152"/>
        <v>#N/A</v>
      </c>
      <c r="D80" s="182" t="e">
        <f t="shared" ref="D80:E80" si="153">IF($D$1="Team",IF(AD79="","",AD79),"")</f>
        <v>#N/A</v>
      </c>
      <c r="E80" s="182" t="e">
        <f t="shared" si="153"/>
        <v>#N/A</v>
      </c>
      <c r="J80" s="170"/>
      <c r="K80" s="170"/>
      <c r="L80" s="169" t="s">
        <v>132</v>
      </c>
      <c r="M80" s="1" t="s">
        <v>1961</v>
      </c>
      <c r="N80" s="182">
        <v>2.4500000000000002</v>
      </c>
      <c r="O80" s="169" t="s">
        <v>132</v>
      </c>
      <c r="P80" s="1" t="s">
        <v>1961</v>
      </c>
      <c r="Q80" s="182">
        <v>2.4500000000000002</v>
      </c>
      <c r="R80" s="169" t="s">
        <v>132</v>
      </c>
      <c r="S80" s="1" t="s">
        <v>1961</v>
      </c>
      <c r="T80" s="182">
        <v>2.4500000000000002</v>
      </c>
      <c r="U80" s="169" t="s">
        <v>132</v>
      </c>
      <c r="V80" s="1" t="s">
        <v>1961</v>
      </c>
      <c r="W80" s="182">
        <v>2.4500000000000002</v>
      </c>
      <c r="AH80" s="1" t="s">
        <v>1961</v>
      </c>
      <c r="AI80" s="1" t="s">
        <v>1961</v>
      </c>
      <c r="AJ80" s="1">
        <v>1</v>
      </c>
    </row>
    <row r="81" spans="1:36" ht="15.75" customHeight="1" x14ac:dyDescent="0.3">
      <c r="A81" s="205" t="e">
        <f t="shared" ref="A81:C81" si="154">IF($B$1="Solo",IF(L80="","",L80),IF($B$1="Duet",IF(O80="","",O80),IF($B$1="Mixed",IF(R80="","",R80),IF(U80="","",U80))))</f>
        <v>#N/A</v>
      </c>
      <c r="B81" s="182" t="e">
        <f t="shared" si="154"/>
        <v>#N/A</v>
      </c>
      <c r="C81" s="182" t="e">
        <f t="shared" si="154"/>
        <v>#N/A</v>
      </c>
      <c r="D81" s="182" t="e">
        <f t="shared" ref="D81:E81" si="155">IF($D$1="Team",IF(AD80="","",AD80),"")</f>
        <v>#N/A</v>
      </c>
      <c r="E81" s="182" t="e">
        <f t="shared" si="155"/>
        <v>#N/A</v>
      </c>
      <c r="J81" s="170"/>
      <c r="K81" s="170"/>
      <c r="L81" s="169" t="s">
        <v>132</v>
      </c>
      <c r="M81" s="1" t="s">
        <v>1962</v>
      </c>
      <c r="N81" s="182">
        <v>2.95</v>
      </c>
      <c r="O81" s="169" t="s">
        <v>132</v>
      </c>
      <c r="P81" s="1" t="s">
        <v>1962</v>
      </c>
      <c r="Q81" s="182">
        <v>2.95</v>
      </c>
      <c r="R81" s="169" t="s">
        <v>132</v>
      </c>
      <c r="S81" s="1" t="s">
        <v>1962</v>
      </c>
      <c r="T81" s="182">
        <v>2.95</v>
      </c>
      <c r="U81" s="169" t="s">
        <v>132</v>
      </c>
      <c r="V81" s="1" t="s">
        <v>1962</v>
      </c>
      <c r="W81" s="182">
        <v>2.95</v>
      </c>
      <c r="AH81" s="1" t="s">
        <v>1962</v>
      </c>
      <c r="AI81" s="1" t="s">
        <v>1962</v>
      </c>
      <c r="AJ81" s="1">
        <v>1</v>
      </c>
    </row>
    <row r="82" spans="1:36" ht="15.75" customHeight="1" x14ac:dyDescent="0.3">
      <c r="A82" s="205" t="e">
        <f t="shared" ref="A82:C82" si="156">IF($B$1="Solo",IF(L81="","",L81),IF($B$1="Duet",IF(O81="","",O81),IF($B$1="Mixed",IF(R81="","",R81),IF(U81="","",U81))))</f>
        <v>#N/A</v>
      </c>
      <c r="B82" s="182" t="e">
        <f t="shared" si="156"/>
        <v>#N/A</v>
      </c>
      <c r="C82" s="182" t="e">
        <f t="shared" si="156"/>
        <v>#N/A</v>
      </c>
      <c r="D82" s="182" t="e">
        <f t="shared" ref="D82:E82" si="157">IF($D$1="Team",IF(AD81="","",AD81),"")</f>
        <v>#N/A</v>
      </c>
      <c r="E82" s="182" t="e">
        <f t="shared" si="157"/>
        <v>#N/A</v>
      </c>
      <c r="J82" s="170"/>
      <c r="K82" s="170"/>
      <c r="L82" s="169" t="s">
        <v>132</v>
      </c>
      <c r="M82" s="1" t="s">
        <v>1963</v>
      </c>
      <c r="N82" s="182">
        <v>2.35</v>
      </c>
      <c r="O82" s="169" t="s">
        <v>132</v>
      </c>
      <c r="P82" s="1" t="s">
        <v>1963</v>
      </c>
      <c r="Q82" s="182">
        <v>2.35</v>
      </c>
      <c r="R82" s="169" t="s">
        <v>132</v>
      </c>
      <c r="S82" s="1" t="s">
        <v>1963</v>
      </c>
      <c r="T82" s="182">
        <v>2.35</v>
      </c>
      <c r="U82" s="169" t="s">
        <v>132</v>
      </c>
      <c r="V82" s="1" t="s">
        <v>1963</v>
      </c>
      <c r="W82" s="182">
        <v>2.35</v>
      </c>
      <c r="AH82" s="1" t="s">
        <v>1963</v>
      </c>
      <c r="AI82" s="1" t="s">
        <v>1963</v>
      </c>
      <c r="AJ82" s="1">
        <v>1</v>
      </c>
    </row>
    <row r="83" spans="1:36" ht="15.75" customHeight="1" x14ac:dyDescent="0.3">
      <c r="A83" s="205" t="e">
        <f t="shared" ref="A83:C83" si="158">IF($B$1="Solo",IF(L82="","",L82),IF($B$1="Duet",IF(O82="","",O82),IF($B$1="Mixed",IF(R82="","",R82),IF(U82="","",U82))))</f>
        <v>#N/A</v>
      </c>
      <c r="B83" s="182" t="e">
        <f t="shared" si="158"/>
        <v>#N/A</v>
      </c>
      <c r="C83" s="182" t="e">
        <f t="shared" si="158"/>
        <v>#N/A</v>
      </c>
      <c r="D83" s="182" t="e">
        <f t="shared" ref="D83:E83" si="159">IF($D$1="Team",IF(AD82="","",AD82),"")</f>
        <v>#N/A</v>
      </c>
      <c r="E83" s="182" t="e">
        <f t="shared" si="159"/>
        <v>#N/A</v>
      </c>
      <c r="J83" s="170"/>
      <c r="K83" s="170"/>
      <c r="L83" s="169" t="s">
        <v>132</v>
      </c>
      <c r="M83" s="1" t="s">
        <v>1964</v>
      </c>
      <c r="N83" s="182">
        <v>2.95</v>
      </c>
      <c r="O83" s="169" t="s">
        <v>132</v>
      </c>
      <c r="P83" s="1" t="s">
        <v>1964</v>
      </c>
      <c r="Q83" s="182">
        <v>2.95</v>
      </c>
      <c r="R83" s="169" t="s">
        <v>132</v>
      </c>
      <c r="S83" s="1" t="s">
        <v>1964</v>
      </c>
      <c r="T83" s="182">
        <v>2.95</v>
      </c>
      <c r="U83" s="169" t="s">
        <v>132</v>
      </c>
      <c r="V83" s="1" t="s">
        <v>1964</v>
      </c>
      <c r="W83" s="182">
        <v>2.95</v>
      </c>
      <c r="AH83" s="1" t="s">
        <v>1964</v>
      </c>
      <c r="AI83" s="1" t="s">
        <v>1964</v>
      </c>
      <c r="AJ83" s="1">
        <v>1</v>
      </c>
    </row>
    <row r="84" spans="1:36" ht="15.75" customHeight="1" x14ac:dyDescent="0.3">
      <c r="A84" s="205" t="e">
        <f t="shared" ref="A84:C84" si="160">IF($B$1="Solo",IF(L83="","",L83),IF($B$1="Duet",IF(O83="","",O83),IF($B$1="Mixed",IF(R83="","",R83),IF(U83="","",U83))))</f>
        <v>#N/A</v>
      </c>
      <c r="B84" s="182" t="e">
        <f t="shared" si="160"/>
        <v>#N/A</v>
      </c>
      <c r="C84" s="182" t="e">
        <f t="shared" si="160"/>
        <v>#N/A</v>
      </c>
      <c r="D84" s="182" t="e">
        <f t="shared" ref="D84:E84" si="161">IF($D$1="Team",IF(AD83="","",AD83),"")</f>
        <v>#N/A</v>
      </c>
      <c r="E84" s="182" t="e">
        <f t="shared" si="161"/>
        <v>#N/A</v>
      </c>
      <c r="J84" s="170"/>
      <c r="K84" s="170"/>
      <c r="L84" s="169" t="s">
        <v>132</v>
      </c>
      <c r="M84" s="1" t="s">
        <v>1965</v>
      </c>
      <c r="N84" s="182">
        <v>3.35</v>
      </c>
      <c r="O84" s="169" t="s">
        <v>132</v>
      </c>
      <c r="P84" s="1" t="s">
        <v>1965</v>
      </c>
      <c r="Q84" s="182">
        <v>3.35</v>
      </c>
      <c r="R84" s="169" t="s">
        <v>132</v>
      </c>
      <c r="S84" s="1" t="s">
        <v>1965</v>
      </c>
      <c r="T84" s="182">
        <v>3.35</v>
      </c>
      <c r="U84" s="169" t="s">
        <v>132</v>
      </c>
      <c r="V84" s="1" t="s">
        <v>1965</v>
      </c>
      <c r="W84" s="182">
        <v>3.35</v>
      </c>
      <c r="AH84" s="1" t="s">
        <v>1965</v>
      </c>
      <c r="AI84" s="1" t="s">
        <v>1965</v>
      </c>
      <c r="AJ84" s="1">
        <v>1</v>
      </c>
    </row>
    <row r="85" spans="1:36" ht="15.75" customHeight="1" x14ac:dyDescent="0.3">
      <c r="A85" s="205" t="e">
        <f t="shared" ref="A85:C85" si="162">IF($B$1="Solo",IF(L84="","",L84),IF($B$1="Duet",IF(O84="","",O84),IF($B$1="Mixed",IF(R84="","",R84),IF(U84="","",U84))))</f>
        <v>#N/A</v>
      </c>
      <c r="B85" s="182" t="e">
        <f t="shared" si="162"/>
        <v>#N/A</v>
      </c>
      <c r="C85" s="182" t="e">
        <f t="shared" si="162"/>
        <v>#N/A</v>
      </c>
      <c r="D85" s="182" t="e">
        <f t="shared" ref="D85:E85" si="163">IF($D$1="Team",IF(AD84="","",AD84),"")</f>
        <v>#N/A</v>
      </c>
      <c r="E85" s="182" t="e">
        <f t="shared" si="163"/>
        <v>#N/A</v>
      </c>
      <c r="J85" s="170"/>
      <c r="K85" s="170"/>
      <c r="L85" s="169" t="s">
        <v>132</v>
      </c>
      <c r="M85" s="1" t="s">
        <v>1966</v>
      </c>
      <c r="N85" s="182">
        <v>3.55</v>
      </c>
      <c r="O85" s="169" t="s">
        <v>132</v>
      </c>
      <c r="P85" s="1" t="s">
        <v>1966</v>
      </c>
      <c r="Q85" s="182">
        <v>3.55</v>
      </c>
      <c r="R85" s="169" t="s">
        <v>132</v>
      </c>
      <c r="S85" s="1" t="s">
        <v>1966</v>
      </c>
      <c r="T85" s="182">
        <v>3.55</v>
      </c>
      <c r="U85" s="169" t="s">
        <v>132</v>
      </c>
      <c r="V85" s="1" t="s">
        <v>1966</v>
      </c>
      <c r="W85" s="182">
        <v>3.55</v>
      </c>
      <c r="AH85" s="1" t="s">
        <v>1966</v>
      </c>
      <c r="AI85" s="1" t="s">
        <v>1966</v>
      </c>
      <c r="AJ85" s="1">
        <v>1</v>
      </c>
    </row>
    <row r="86" spans="1:36" ht="15.75" customHeight="1" x14ac:dyDescent="0.3">
      <c r="A86" s="205" t="e">
        <f t="shared" ref="A86:C86" si="164">IF($B$1="Solo",IF(L85="","",L85),IF($B$1="Duet",IF(O85="","",O85),IF($B$1="Mixed",IF(R85="","",R85),IF(U85="","",U85))))</f>
        <v>#N/A</v>
      </c>
      <c r="B86" s="182" t="e">
        <f t="shared" si="164"/>
        <v>#N/A</v>
      </c>
      <c r="C86" s="182" t="e">
        <f t="shared" si="164"/>
        <v>#N/A</v>
      </c>
      <c r="D86" s="182" t="e">
        <f t="shared" ref="D86:E86" si="165">IF($D$1="Team",IF(AD85="","",AD85),"")</f>
        <v>#N/A</v>
      </c>
      <c r="E86" s="182" t="e">
        <f t="shared" si="165"/>
        <v>#N/A</v>
      </c>
      <c r="J86" s="170"/>
      <c r="K86" s="170"/>
      <c r="L86" s="169" t="s">
        <v>132</v>
      </c>
      <c r="M86" s="1" t="s">
        <v>1967</v>
      </c>
      <c r="N86" s="182">
        <v>3.45</v>
      </c>
      <c r="O86" s="169" t="s">
        <v>132</v>
      </c>
      <c r="P86" s="1" t="s">
        <v>1967</v>
      </c>
      <c r="Q86" s="182">
        <v>3.45</v>
      </c>
      <c r="R86" s="169" t="s">
        <v>132</v>
      </c>
      <c r="S86" s="1" t="s">
        <v>1967</v>
      </c>
      <c r="T86" s="182">
        <v>3.45</v>
      </c>
      <c r="U86" s="169" t="s">
        <v>132</v>
      </c>
      <c r="V86" s="1" t="s">
        <v>1967</v>
      </c>
      <c r="W86" s="182">
        <v>3.45</v>
      </c>
      <c r="AH86" s="1" t="s">
        <v>1967</v>
      </c>
      <c r="AI86" s="1" t="s">
        <v>1967</v>
      </c>
      <c r="AJ86" s="1">
        <v>1</v>
      </c>
    </row>
    <row r="87" spans="1:36" ht="15.75" customHeight="1" x14ac:dyDescent="0.3">
      <c r="A87" s="205" t="e">
        <f t="shared" ref="A87:C87" si="166">IF($B$1="Solo",IF(L86="","",L86),IF($B$1="Duet",IF(O86="","",O86),IF($B$1="Mixed",IF(R86="","",R86),IF(U86="","",U86))))</f>
        <v>#N/A</v>
      </c>
      <c r="B87" s="182" t="e">
        <f t="shared" si="166"/>
        <v>#N/A</v>
      </c>
      <c r="C87" s="182" t="e">
        <f t="shared" si="166"/>
        <v>#N/A</v>
      </c>
      <c r="D87" s="182" t="e">
        <f t="shared" ref="D87:E87" si="167">IF($D$1="Team",IF(AD86="","",AD86),"")</f>
        <v>#N/A</v>
      </c>
      <c r="E87" s="182" t="e">
        <f t="shared" si="167"/>
        <v>#N/A</v>
      </c>
      <c r="J87" s="170"/>
      <c r="K87" s="170"/>
      <c r="L87" s="169" t="s">
        <v>132</v>
      </c>
      <c r="M87" s="1" t="s">
        <v>1968</v>
      </c>
      <c r="N87" s="182">
        <v>4.1500000000000004</v>
      </c>
      <c r="O87" s="169" t="s">
        <v>132</v>
      </c>
      <c r="P87" s="1" t="s">
        <v>1968</v>
      </c>
      <c r="Q87" s="182">
        <v>4.1500000000000004</v>
      </c>
      <c r="R87" s="169" t="s">
        <v>132</v>
      </c>
      <c r="S87" s="1" t="s">
        <v>1968</v>
      </c>
      <c r="T87" s="182">
        <v>4.1500000000000004</v>
      </c>
      <c r="U87" s="169" t="s">
        <v>132</v>
      </c>
      <c r="V87" s="1" t="s">
        <v>1968</v>
      </c>
      <c r="W87" s="182">
        <v>4.1500000000000004</v>
      </c>
      <c r="AH87" s="1" t="s">
        <v>1968</v>
      </c>
      <c r="AI87" s="1" t="s">
        <v>1968</v>
      </c>
      <c r="AJ87" s="1">
        <v>1</v>
      </c>
    </row>
    <row r="88" spans="1:36" ht="15.75" customHeight="1" x14ac:dyDescent="0.3">
      <c r="A88" s="205" t="e">
        <f t="shared" ref="A88:C88" si="168">IF($B$1="Solo",IF(L87="","",L87),IF($B$1="Duet",IF(O87="","",O87),IF($B$1="Mixed",IF(R87="","",R87),IF(U87="","",U87))))</f>
        <v>#N/A</v>
      </c>
      <c r="B88" s="182" t="e">
        <f t="shared" si="168"/>
        <v>#N/A</v>
      </c>
      <c r="C88" s="182" t="e">
        <f t="shared" si="168"/>
        <v>#N/A</v>
      </c>
      <c r="D88" s="182" t="e">
        <f t="shared" ref="D88:E88" si="169">IF($D$1="Team",IF(AD87="","",AD87),"")</f>
        <v>#N/A</v>
      </c>
      <c r="E88" s="182" t="e">
        <f t="shared" si="169"/>
        <v>#N/A</v>
      </c>
      <c r="J88" s="170"/>
      <c r="K88" s="170"/>
      <c r="L88" s="169" t="s">
        <v>132</v>
      </c>
      <c r="M88" s="1" t="s">
        <v>1969</v>
      </c>
      <c r="N88" s="182">
        <v>3.95</v>
      </c>
      <c r="O88" s="169" t="s">
        <v>132</v>
      </c>
      <c r="P88" s="1" t="s">
        <v>1969</v>
      </c>
      <c r="Q88" s="182">
        <v>3.95</v>
      </c>
      <c r="R88" s="169" t="s">
        <v>132</v>
      </c>
      <c r="S88" s="1" t="s">
        <v>1969</v>
      </c>
      <c r="T88" s="182">
        <v>3.95</v>
      </c>
      <c r="U88" s="169" t="s">
        <v>132</v>
      </c>
      <c r="V88" s="1" t="s">
        <v>1969</v>
      </c>
      <c r="W88" s="182">
        <v>3.95</v>
      </c>
      <c r="AH88" s="1" t="s">
        <v>1969</v>
      </c>
      <c r="AI88" s="1" t="s">
        <v>1969</v>
      </c>
      <c r="AJ88" s="1">
        <v>1</v>
      </c>
    </row>
    <row r="89" spans="1:36" ht="15.75" customHeight="1" x14ac:dyDescent="0.3">
      <c r="A89" s="205" t="e">
        <f t="shared" ref="A89:C89" si="170">IF($B$1="Solo",IF(L88="","",L88),IF($B$1="Duet",IF(O88="","",O88),IF($B$1="Mixed",IF(R88="","",R88),IF(U88="","",U88))))</f>
        <v>#N/A</v>
      </c>
      <c r="B89" s="182" t="e">
        <f t="shared" si="170"/>
        <v>#N/A</v>
      </c>
      <c r="C89" s="182" t="e">
        <f t="shared" si="170"/>
        <v>#N/A</v>
      </c>
      <c r="D89" s="182" t="e">
        <f t="shared" ref="D89:E89" si="171">IF($D$1="Team",IF(AD88="","",AD88),"")</f>
        <v>#N/A</v>
      </c>
      <c r="E89" s="182" t="e">
        <f t="shared" si="171"/>
        <v>#N/A</v>
      </c>
      <c r="J89" s="170"/>
      <c r="K89" s="170"/>
      <c r="L89" s="169" t="s">
        <v>132</v>
      </c>
      <c r="M89" s="1" t="s">
        <v>1970</v>
      </c>
      <c r="N89" s="182">
        <v>4.75</v>
      </c>
      <c r="O89" s="169" t="s">
        <v>132</v>
      </c>
      <c r="P89" s="1" t="s">
        <v>1970</v>
      </c>
      <c r="Q89" s="182">
        <v>4.75</v>
      </c>
      <c r="R89" s="169" t="s">
        <v>132</v>
      </c>
      <c r="S89" s="1" t="s">
        <v>1970</v>
      </c>
      <c r="T89" s="182">
        <v>4.75</v>
      </c>
      <c r="U89" s="169" t="s">
        <v>132</v>
      </c>
      <c r="V89" s="1" t="s">
        <v>1970</v>
      </c>
      <c r="W89" s="182">
        <v>4.75</v>
      </c>
      <c r="AH89" s="1" t="s">
        <v>1970</v>
      </c>
      <c r="AI89" s="1" t="s">
        <v>1970</v>
      </c>
      <c r="AJ89" s="1">
        <v>1</v>
      </c>
    </row>
    <row r="90" spans="1:36" ht="15.75" customHeight="1" x14ac:dyDescent="0.3">
      <c r="A90" s="205" t="e">
        <f t="shared" ref="A90:C90" si="172">IF($B$1="Solo",IF(L89="","",L89),IF($B$1="Duet",IF(O89="","",O89),IF($B$1="Mixed",IF(R89="","",R89),IF(U89="","",U89))))</f>
        <v>#N/A</v>
      </c>
      <c r="B90" s="182" t="e">
        <f t="shared" si="172"/>
        <v>#N/A</v>
      </c>
      <c r="C90" s="182" t="e">
        <f t="shared" si="172"/>
        <v>#N/A</v>
      </c>
      <c r="D90" s="182" t="e">
        <f t="shared" ref="D90:E90" si="173">IF($D$1="Team",IF(AD89="","",AD89),"")</f>
        <v>#N/A</v>
      </c>
      <c r="E90" s="182" t="e">
        <f t="shared" si="173"/>
        <v>#N/A</v>
      </c>
      <c r="J90" s="170"/>
      <c r="K90" s="170"/>
      <c r="L90" s="169" t="s">
        <v>132</v>
      </c>
      <c r="M90" s="1" t="s">
        <v>1971</v>
      </c>
      <c r="N90" s="182">
        <v>4.45</v>
      </c>
      <c r="O90" s="169" t="s">
        <v>132</v>
      </c>
      <c r="P90" s="1" t="s">
        <v>1971</v>
      </c>
      <c r="Q90" s="182">
        <v>4.45</v>
      </c>
      <c r="R90" s="169" t="s">
        <v>132</v>
      </c>
      <c r="S90" s="1" t="s">
        <v>1971</v>
      </c>
      <c r="T90" s="182">
        <v>4.45</v>
      </c>
      <c r="U90" s="169" t="s">
        <v>132</v>
      </c>
      <c r="V90" s="1" t="s">
        <v>1971</v>
      </c>
      <c r="W90" s="182">
        <v>4.45</v>
      </c>
      <c r="AH90" s="1" t="s">
        <v>1971</v>
      </c>
      <c r="AI90" s="1" t="s">
        <v>1971</v>
      </c>
      <c r="AJ90" s="1">
        <v>1</v>
      </c>
    </row>
    <row r="91" spans="1:36" ht="15.75" customHeight="1" x14ac:dyDescent="0.3">
      <c r="A91" s="205" t="e">
        <f t="shared" ref="A91:C91" si="174">IF($B$1="Solo",IF(L90="","",L90),IF($B$1="Duet",IF(O90="","",O90),IF($B$1="Mixed",IF(R90="","",R90),IF(U90="","",U90))))</f>
        <v>#N/A</v>
      </c>
      <c r="B91" s="182" t="e">
        <f t="shared" si="174"/>
        <v>#N/A</v>
      </c>
      <c r="C91" s="182" t="e">
        <f t="shared" si="174"/>
        <v>#N/A</v>
      </c>
      <c r="D91" s="182" t="e">
        <f t="shared" ref="D91:E91" si="175">IF($D$1="Team",IF(AD90="","",AD90),"")</f>
        <v>#N/A</v>
      </c>
      <c r="E91" s="182" t="e">
        <f t="shared" si="175"/>
        <v>#N/A</v>
      </c>
      <c r="J91" s="170"/>
      <c r="K91" s="170"/>
      <c r="L91" s="169" t="s">
        <v>132</v>
      </c>
      <c r="M91" s="1" t="s">
        <v>1972</v>
      </c>
      <c r="N91" s="182">
        <v>5.35</v>
      </c>
      <c r="O91" s="169" t="s">
        <v>132</v>
      </c>
      <c r="P91" s="1" t="s">
        <v>1972</v>
      </c>
      <c r="Q91" s="182">
        <v>5.35</v>
      </c>
      <c r="R91" s="169" t="s">
        <v>132</v>
      </c>
      <c r="S91" s="1" t="s">
        <v>1972</v>
      </c>
      <c r="T91" s="182">
        <v>5.35</v>
      </c>
      <c r="U91" s="169" t="s">
        <v>132</v>
      </c>
      <c r="V91" s="1" t="s">
        <v>1972</v>
      </c>
      <c r="W91" s="182">
        <v>5.35</v>
      </c>
      <c r="AH91" s="1" t="s">
        <v>1972</v>
      </c>
      <c r="AI91" s="1" t="s">
        <v>1972</v>
      </c>
      <c r="AJ91" s="1">
        <v>1</v>
      </c>
    </row>
    <row r="92" spans="1:36" ht="15.75" customHeight="1" x14ac:dyDescent="0.3">
      <c r="A92" s="205" t="e">
        <f t="shared" ref="A92:C92" si="176">IF($B$1="Solo",IF(L91="","",L91),IF($B$1="Duet",IF(O91="","",O91),IF($B$1="Mixed",IF(R91="","",R91),IF(U91="","",U91))))</f>
        <v>#N/A</v>
      </c>
      <c r="B92" s="182" t="e">
        <f t="shared" si="176"/>
        <v>#N/A</v>
      </c>
      <c r="C92" s="182" t="e">
        <f t="shared" si="176"/>
        <v>#N/A</v>
      </c>
      <c r="D92" s="182" t="e">
        <f t="shared" ref="D92:E92" si="177">IF($D$1="Team",IF(AD91="","",AD91),"")</f>
        <v>#N/A</v>
      </c>
      <c r="E92" s="182" t="e">
        <f t="shared" si="177"/>
        <v>#N/A</v>
      </c>
      <c r="J92" s="170"/>
      <c r="K92" s="170"/>
      <c r="L92" s="169" t="s">
        <v>132</v>
      </c>
      <c r="M92" s="1" t="s">
        <v>1973</v>
      </c>
      <c r="N92" s="182">
        <v>4.95</v>
      </c>
      <c r="O92" s="169" t="s">
        <v>132</v>
      </c>
      <c r="P92" s="1" t="s">
        <v>1973</v>
      </c>
      <c r="Q92" s="182">
        <v>4.95</v>
      </c>
      <c r="R92" s="169" t="s">
        <v>132</v>
      </c>
      <c r="S92" s="1" t="s">
        <v>1973</v>
      </c>
      <c r="T92" s="182">
        <v>4.95</v>
      </c>
      <c r="U92" s="169" t="s">
        <v>132</v>
      </c>
      <c r="V92" s="1" t="s">
        <v>1973</v>
      </c>
      <c r="W92" s="182">
        <v>4.95</v>
      </c>
      <c r="AH92" s="1" t="s">
        <v>1973</v>
      </c>
      <c r="AI92" s="1" t="s">
        <v>1973</v>
      </c>
      <c r="AJ92" s="1">
        <v>1</v>
      </c>
    </row>
    <row r="93" spans="1:36" ht="15.75" customHeight="1" x14ac:dyDescent="0.3">
      <c r="A93" s="205" t="e">
        <f t="shared" ref="A93:C93" si="178">IF($B$1="Solo",IF(L92="","",L92),IF($B$1="Duet",IF(O92="","",O92),IF($B$1="Mixed",IF(R92="","",R92),IF(U92="","",U92))))</f>
        <v>#N/A</v>
      </c>
      <c r="B93" s="182" t="e">
        <f t="shared" si="178"/>
        <v>#N/A</v>
      </c>
      <c r="C93" s="182" t="e">
        <f t="shared" si="178"/>
        <v>#N/A</v>
      </c>
      <c r="D93" s="182" t="e">
        <f t="shared" ref="D93:E93" si="179">IF($D$1="Team",IF(AD92="","",AD92),"")</f>
        <v>#N/A</v>
      </c>
      <c r="E93" s="182" t="e">
        <f t="shared" si="179"/>
        <v>#N/A</v>
      </c>
      <c r="J93" s="170"/>
      <c r="K93" s="170"/>
      <c r="L93" s="169" t="s">
        <v>132</v>
      </c>
      <c r="M93" s="1" t="s">
        <v>1974</v>
      </c>
      <c r="N93" s="182">
        <v>5.95</v>
      </c>
      <c r="O93" s="169" t="s">
        <v>132</v>
      </c>
      <c r="P93" s="1" t="s">
        <v>1974</v>
      </c>
      <c r="Q93" s="182">
        <v>5.95</v>
      </c>
      <c r="R93" s="169" t="s">
        <v>132</v>
      </c>
      <c r="S93" s="1" t="s">
        <v>1974</v>
      </c>
      <c r="T93" s="182">
        <v>5.95</v>
      </c>
      <c r="U93" s="169" t="s">
        <v>132</v>
      </c>
      <c r="V93" s="1" t="s">
        <v>1974</v>
      </c>
      <c r="W93" s="182">
        <v>5.95</v>
      </c>
      <c r="AH93" s="1" t="s">
        <v>1974</v>
      </c>
      <c r="AI93" s="1" t="s">
        <v>1974</v>
      </c>
      <c r="AJ93" s="1">
        <v>1</v>
      </c>
    </row>
    <row r="94" spans="1:36" ht="15.75" customHeight="1" x14ac:dyDescent="0.3">
      <c r="A94" s="205" t="e">
        <f t="shared" ref="A94:C94" si="180">IF($B$1="Solo",IF(L93="","",L93),IF($B$1="Duet",IF(O93="","",O93),IF($B$1="Mixed",IF(R93="","",R93),IF(U93="","",U93))))</f>
        <v>#N/A</v>
      </c>
      <c r="B94" s="182" t="e">
        <f t="shared" si="180"/>
        <v>#N/A</v>
      </c>
      <c r="C94" s="182" t="e">
        <f t="shared" si="180"/>
        <v>#N/A</v>
      </c>
      <c r="D94" s="182" t="e">
        <f t="shared" ref="D94:E94" si="181">IF($D$1="Team",IF(AD93="","",AD93),"")</f>
        <v>#N/A</v>
      </c>
      <c r="E94" s="182" t="e">
        <f t="shared" si="181"/>
        <v>#N/A</v>
      </c>
      <c r="J94" s="170"/>
      <c r="K94" s="170"/>
      <c r="L94" s="169" t="s">
        <v>9</v>
      </c>
      <c r="M94" s="1" t="s">
        <v>1975</v>
      </c>
      <c r="N94" s="182">
        <v>0.05</v>
      </c>
      <c r="O94" s="169" t="s">
        <v>9</v>
      </c>
      <c r="P94" s="1" t="s">
        <v>1975</v>
      </c>
      <c r="Q94" s="182">
        <v>0.05</v>
      </c>
      <c r="R94" s="169" t="s">
        <v>9</v>
      </c>
      <c r="S94" s="1" t="s">
        <v>1975</v>
      </c>
      <c r="T94" s="182">
        <v>0.05</v>
      </c>
      <c r="U94" s="169" t="s">
        <v>9</v>
      </c>
      <c r="V94" s="1" t="s">
        <v>1975</v>
      </c>
      <c r="W94" s="182">
        <v>0.05</v>
      </c>
      <c r="AH94" s="1" t="s">
        <v>1975</v>
      </c>
      <c r="AI94" s="1" t="s">
        <v>1975</v>
      </c>
      <c r="AJ94" s="1">
        <v>1</v>
      </c>
    </row>
    <row r="95" spans="1:36" ht="15.75" customHeight="1" x14ac:dyDescent="0.3">
      <c r="A95" s="205" t="e">
        <f t="shared" ref="A95:C95" si="182">IF($B$1="Solo",IF(L94="","",L94),IF($B$1="Duet",IF(O94="","",O94),IF($B$1="Mixed",IF(R94="","",R94),IF(U94="","",U94))))</f>
        <v>#N/A</v>
      </c>
      <c r="B95" s="182" t="e">
        <f t="shared" si="182"/>
        <v>#N/A</v>
      </c>
      <c r="C95" s="182" t="e">
        <f t="shared" si="182"/>
        <v>#N/A</v>
      </c>
      <c r="D95" s="182" t="e">
        <f t="shared" ref="D95:E95" si="183">IF($D$1="Team",IF(AD94="","",AD94),"")</f>
        <v>#N/A</v>
      </c>
      <c r="E95" s="182" t="e">
        <f t="shared" si="183"/>
        <v>#N/A</v>
      </c>
      <c r="J95" s="170"/>
      <c r="K95" s="170"/>
      <c r="L95" s="169" t="s">
        <v>9</v>
      </c>
      <c r="M95" s="1" t="s">
        <v>1976</v>
      </c>
      <c r="N95" s="182">
        <v>0.1</v>
      </c>
      <c r="O95" s="169" t="s">
        <v>9</v>
      </c>
      <c r="P95" s="1" t="s">
        <v>1976</v>
      </c>
      <c r="Q95" s="182">
        <v>0.1</v>
      </c>
      <c r="R95" s="169" t="s">
        <v>9</v>
      </c>
      <c r="S95" s="1" t="s">
        <v>1976</v>
      </c>
      <c r="T95" s="182">
        <v>0.1</v>
      </c>
      <c r="U95" s="169" t="s">
        <v>9</v>
      </c>
      <c r="V95" s="1" t="s">
        <v>1976</v>
      </c>
      <c r="W95" s="182">
        <v>0.1</v>
      </c>
      <c r="AH95" s="1" t="s">
        <v>1976</v>
      </c>
      <c r="AI95" s="1" t="s">
        <v>1976</v>
      </c>
      <c r="AJ95" s="1">
        <v>1</v>
      </c>
    </row>
    <row r="96" spans="1:36" ht="15.75" customHeight="1" x14ac:dyDescent="0.3">
      <c r="A96" s="205" t="e">
        <f t="shared" ref="A96:C96" si="184">IF($B$1="Solo",IF(L95="","",L95),IF($B$1="Duet",IF(O95="","",O95),IF($B$1="Mixed",IF(R95="","",R95),IF(U95="","",U95))))</f>
        <v>#N/A</v>
      </c>
      <c r="B96" s="182" t="e">
        <f t="shared" si="184"/>
        <v>#N/A</v>
      </c>
      <c r="C96" s="182" t="e">
        <f t="shared" si="184"/>
        <v>#N/A</v>
      </c>
      <c r="D96" s="182" t="e">
        <f t="shared" ref="D96:E96" si="185">IF($D$1="Team",IF(AD95="","",AD95),"")</f>
        <v>#N/A</v>
      </c>
      <c r="E96" s="182" t="e">
        <f t="shared" si="185"/>
        <v>#N/A</v>
      </c>
      <c r="J96" s="170"/>
      <c r="K96" s="170"/>
      <c r="L96" s="169" t="s">
        <v>9</v>
      </c>
      <c r="M96" s="1" t="s">
        <v>1977</v>
      </c>
      <c r="N96" s="182">
        <v>0.1</v>
      </c>
      <c r="O96" s="169" t="s">
        <v>9</v>
      </c>
      <c r="P96" s="1" t="s">
        <v>1977</v>
      </c>
      <c r="Q96" s="182">
        <v>0.1</v>
      </c>
      <c r="R96" s="169" t="s">
        <v>9</v>
      </c>
      <c r="S96" s="1" t="s">
        <v>1977</v>
      </c>
      <c r="T96" s="182">
        <v>0.1</v>
      </c>
      <c r="U96" s="169" t="s">
        <v>9</v>
      </c>
      <c r="V96" s="1" t="s">
        <v>1977</v>
      </c>
      <c r="W96" s="182">
        <v>0.1</v>
      </c>
      <c r="AH96" s="1" t="s">
        <v>1977</v>
      </c>
      <c r="AI96" s="1" t="s">
        <v>1977</v>
      </c>
      <c r="AJ96" s="1">
        <v>1</v>
      </c>
    </row>
    <row r="97" spans="1:36" ht="15.75" customHeight="1" x14ac:dyDescent="0.3">
      <c r="A97" s="205" t="e">
        <f t="shared" ref="A97:C97" si="186">IF($B$1="Solo",IF(L96="","",L96),IF($B$1="Duet",IF(O96="","",O96),IF($B$1="Mixed",IF(R96="","",R96),IF(U96="","",U96))))</f>
        <v>#N/A</v>
      </c>
      <c r="B97" s="182" t="e">
        <f t="shared" si="186"/>
        <v>#N/A</v>
      </c>
      <c r="C97" s="182" t="e">
        <f t="shared" si="186"/>
        <v>#N/A</v>
      </c>
      <c r="D97" s="182" t="e">
        <f t="shared" ref="D97:E97" si="187">IF($D$1="Team",IF(AD96="","",AD96),"")</f>
        <v>#N/A</v>
      </c>
      <c r="E97" s="182" t="e">
        <f t="shared" si="187"/>
        <v>#N/A</v>
      </c>
      <c r="J97" s="170"/>
      <c r="K97" s="170"/>
      <c r="L97" s="169" t="s">
        <v>9</v>
      </c>
      <c r="M97" s="1" t="s">
        <v>1978</v>
      </c>
      <c r="N97" s="182">
        <v>0.1</v>
      </c>
      <c r="O97" s="169" t="s">
        <v>9</v>
      </c>
      <c r="P97" s="1" t="s">
        <v>1978</v>
      </c>
      <c r="Q97" s="182">
        <v>0.1</v>
      </c>
      <c r="R97" s="169" t="s">
        <v>9</v>
      </c>
      <c r="S97" s="1" t="s">
        <v>1978</v>
      </c>
      <c r="T97" s="182">
        <v>0.1</v>
      </c>
      <c r="U97" s="169" t="s">
        <v>9</v>
      </c>
      <c r="V97" s="1" t="s">
        <v>1978</v>
      </c>
      <c r="W97" s="182">
        <v>0.1</v>
      </c>
      <c r="AH97" s="1" t="s">
        <v>1978</v>
      </c>
      <c r="AI97" s="1" t="s">
        <v>1978</v>
      </c>
      <c r="AJ97" s="1">
        <v>1</v>
      </c>
    </row>
    <row r="98" spans="1:36" ht="15.75" customHeight="1" x14ac:dyDescent="0.3">
      <c r="A98" s="205" t="e">
        <f t="shared" ref="A98:C98" si="188">IF($B$1="Solo",IF(L97="","",L97),IF($B$1="Duet",IF(O97="","",O97),IF($B$1="Mixed",IF(R97="","",R97),IF(U97="","",U97))))</f>
        <v>#N/A</v>
      </c>
      <c r="B98" s="182" t="e">
        <f t="shared" si="188"/>
        <v>#N/A</v>
      </c>
      <c r="C98" s="182" t="e">
        <f t="shared" si="188"/>
        <v>#N/A</v>
      </c>
      <c r="D98" s="182" t="e">
        <f t="shared" ref="D98:E98" si="189">IF($D$1="Team",IF(AD97="","",AD97),"")</f>
        <v>#N/A</v>
      </c>
      <c r="E98" s="182" t="e">
        <f t="shared" si="189"/>
        <v>#N/A</v>
      </c>
      <c r="J98" s="170"/>
      <c r="K98" s="170"/>
      <c r="L98" s="169" t="s">
        <v>9</v>
      </c>
      <c r="M98" s="1" t="s">
        <v>1979</v>
      </c>
      <c r="N98" s="182">
        <v>0.1</v>
      </c>
      <c r="O98" s="169" t="s">
        <v>9</v>
      </c>
      <c r="P98" s="1" t="s">
        <v>1979</v>
      </c>
      <c r="Q98" s="182">
        <v>0.1</v>
      </c>
      <c r="R98" s="169" t="s">
        <v>9</v>
      </c>
      <c r="S98" s="1" t="s">
        <v>1979</v>
      </c>
      <c r="T98" s="182">
        <v>0.1</v>
      </c>
      <c r="U98" s="169" t="s">
        <v>9</v>
      </c>
      <c r="V98" s="1" t="s">
        <v>1979</v>
      </c>
      <c r="W98" s="182">
        <v>0.1</v>
      </c>
      <c r="AH98" s="1" t="s">
        <v>1979</v>
      </c>
      <c r="AI98" s="1" t="s">
        <v>1979</v>
      </c>
      <c r="AJ98" s="1">
        <v>1</v>
      </c>
    </row>
    <row r="99" spans="1:36" ht="15.75" customHeight="1" x14ac:dyDescent="0.3">
      <c r="A99" s="205" t="e">
        <f t="shared" ref="A99:C99" si="190">IF($B$1="Solo",IF(L98="","",L98),IF($B$1="Duet",IF(O98="","",O98),IF($B$1="Mixed",IF(R98="","",R98),IF(U98="","",U98))))</f>
        <v>#N/A</v>
      </c>
      <c r="B99" s="182" t="e">
        <f t="shared" si="190"/>
        <v>#N/A</v>
      </c>
      <c r="C99" s="182" t="e">
        <f t="shared" si="190"/>
        <v>#N/A</v>
      </c>
      <c r="D99" s="182" t="e">
        <f t="shared" ref="D99:E99" si="191">IF($D$1="Team",IF(AD98="","",AD98),"")</f>
        <v>#N/A</v>
      </c>
      <c r="E99" s="182" t="e">
        <f t="shared" si="191"/>
        <v>#N/A</v>
      </c>
      <c r="J99" s="170"/>
      <c r="K99" s="170"/>
      <c r="L99" s="169" t="s">
        <v>9</v>
      </c>
      <c r="M99" s="1" t="s">
        <v>1980</v>
      </c>
      <c r="N99" s="182">
        <v>0.15</v>
      </c>
      <c r="O99" s="169" t="s">
        <v>9</v>
      </c>
      <c r="P99" s="1" t="s">
        <v>1980</v>
      </c>
      <c r="Q99" s="182">
        <v>0.15</v>
      </c>
      <c r="R99" s="169" t="s">
        <v>9</v>
      </c>
      <c r="S99" s="1" t="s">
        <v>1980</v>
      </c>
      <c r="T99" s="182">
        <v>0.15</v>
      </c>
      <c r="U99" s="169" t="s">
        <v>9</v>
      </c>
      <c r="V99" s="1" t="s">
        <v>1980</v>
      </c>
      <c r="W99" s="182">
        <v>0.15</v>
      </c>
      <c r="AH99" s="1" t="s">
        <v>1980</v>
      </c>
      <c r="AI99" s="1" t="s">
        <v>1980</v>
      </c>
      <c r="AJ99" s="1">
        <v>1</v>
      </c>
    </row>
    <row r="100" spans="1:36" ht="15.75" customHeight="1" x14ac:dyDescent="0.3">
      <c r="A100" s="205" t="e">
        <f t="shared" ref="A100:C100" si="192">IF($B$1="Solo",IF(L99="","",L99),IF($B$1="Duet",IF(O99="","",O99),IF($B$1="Mixed",IF(R99="","",R99),IF(U99="","",U99))))</f>
        <v>#N/A</v>
      </c>
      <c r="B100" s="182" t="e">
        <f t="shared" si="192"/>
        <v>#N/A</v>
      </c>
      <c r="C100" s="182" t="e">
        <f t="shared" si="192"/>
        <v>#N/A</v>
      </c>
      <c r="D100" s="182" t="e">
        <f t="shared" ref="D100:E100" si="193">IF($D$1="Team",IF(AD99="","",AD99),"")</f>
        <v>#N/A</v>
      </c>
      <c r="E100" s="182" t="e">
        <f t="shared" si="193"/>
        <v>#N/A</v>
      </c>
      <c r="J100" s="170"/>
      <c r="K100" s="170"/>
      <c r="L100" s="169" t="s">
        <v>9</v>
      </c>
      <c r="M100" s="1" t="s">
        <v>1981</v>
      </c>
      <c r="N100" s="182">
        <v>0.15</v>
      </c>
      <c r="O100" s="169" t="s">
        <v>9</v>
      </c>
      <c r="P100" s="1" t="s">
        <v>1981</v>
      </c>
      <c r="Q100" s="182">
        <v>0.15</v>
      </c>
      <c r="R100" s="169" t="s">
        <v>9</v>
      </c>
      <c r="S100" s="1" t="s">
        <v>1981</v>
      </c>
      <c r="T100" s="182">
        <v>0.15</v>
      </c>
      <c r="U100" s="169" t="s">
        <v>9</v>
      </c>
      <c r="V100" s="1" t="s">
        <v>1981</v>
      </c>
      <c r="W100" s="182">
        <v>0.15</v>
      </c>
      <c r="AH100" s="1" t="s">
        <v>1981</v>
      </c>
      <c r="AI100" s="1" t="s">
        <v>1981</v>
      </c>
      <c r="AJ100" s="1">
        <v>1</v>
      </c>
    </row>
    <row r="101" spans="1:36" ht="15.75" customHeight="1" x14ac:dyDescent="0.3">
      <c r="A101" s="205" t="e">
        <f t="shared" ref="A101:C101" si="194">IF($B$1="Solo",IF(L100="","",L100),IF($B$1="Duet",IF(O100="","",O100),IF($B$1="Mixed",IF(R100="","",R100),IF(U100="","",U100))))</f>
        <v>#N/A</v>
      </c>
      <c r="B101" s="182" t="e">
        <f t="shared" si="194"/>
        <v>#N/A</v>
      </c>
      <c r="C101" s="182" t="e">
        <f t="shared" si="194"/>
        <v>#N/A</v>
      </c>
      <c r="D101" s="182" t="e">
        <f t="shared" ref="D101:E101" si="195">IF($D$1="Team",IF(AD100="","",AD100),"")</f>
        <v>#N/A</v>
      </c>
      <c r="E101" s="182" t="e">
        <f t="shared" si="195"/>
        <v>#N/A</v>
      </c>
      <c r="J101" s="170"/>
      <c r="K101" s="170"/>
      <c r="L101" s="169" t="s">
        <v>9</v>
      </c>
      <c r="M101" s="1" t="s">
        <v>1982</v>
      </c>
      <c r="N101" s="182">
        <v>0.2</v>
      </c>
      <c r="O101" s="169" t="s">
        <v>9</v>
      </c>
      <c r="P101" s="1" t="s">
        <v>1982</v>
      </c>
      <c r="Q101" s="182">
        <v>0.2</v>
      </c>
      <c r="R101" s="169" t="s">
        <v>9</v>
      </c>
      <c r="S101" s="1" t="s">
        <v>1982</v>
      </c>
      <c r="T101" s="182">
        <v>0.2</v>
      </c>
      <c r="U101" s="169" t="s">
        <v>9</v>
      </c>
      <c r="V101" s="1" t="s">
        <v>1982</v>
      </c>
      <c r="W101" s="182">
        <v>0.2</v>
      </c>
      <c r="AH101" s="1" t="s">
        <v>1982</v>
      </c>
      <c r="AI101" s="1" t="s">
        <v>1982</v>
      </c>
      <c r="AJ101" s="1">
        <v>1</v>
      </c>
    </row>
    <row r="102" spans="1:36" ht="15.75" customHeight="1" x14ac:dyDescent="0.3">
      <c r="A102" s="205" t="e">
        <f t="shared" ref="A102:C102" si="196">IF($B$1="Solo",IF(L101="","",L101),IF($B$1="Duet",IF(O101="","",O101),IF($B$1="Mixed",IF(R101="","",R101),IF(U101="","",U101))))</f>
        <v>#N/A</v>
      </c>
      <c r="B102" s="182" t="e">
        <f t="shared" si="196"/>
        <v>#N/A</v>
      </c>
      <c r="C102" s="182" t="e">
        <f t="shared" si="196"/>
        <v>#N/A</v>
      </c>
      <c r="D102" s="182" t="e">
        <f t="shared" ref="D102:E102" si="197">IF($D$1="Team",IF(AD101="","",AD101),"")</f>
        <v>#N/A</v>
      </c>
      <c r="E102" s="182" t="e">
        <f t="shared" si="197"/>
        <v>#N/A</v>
      </c>
      <c r="J102" s="170"/>
      <c r="K102" s="170"/>
      <c r="L102" s="169" t="s">
        <v>9</v>
      </c>
      <c r="M102" s="1" t="s">
        <v>1983</v>
      </c>
      <c r="N102" s="182">
        <v>0.2</v>
      </c>
      <c r="O102" s="169" t="s">
        <v>9</v>
      </c>
      <c r="P102" s="1" t="s">
        <v>1983</v>
      </c>
      <c r="Q102" s="182">
        <v>0.2</v>
      </c>
      <c r="R102" s="169" t="s">
        <v>9</v>
      </c>
      <c r="S102" s="1" t="s">
        <v>1983</v>
      </c>
      <c r="T102" s="182">
        <v>0.2</v>
      </c>
      <c r="U102" s="169" t="s">
        <v>9</v>
      </c>
      <c r="V102" s="1" t="s">
        <v>1983</v>
      </c>
      <c r="W102" s="182">
        <v>0.2</v>
      </c>
      <c r="AH102" s="1" t="s">
        <v>1983</v>
      </c>
      <c r="AI102" s="1" t="s">
        <v>1983</v>
      </c>
      <c r="AJ102" s="1">
        <v>1</v>
      </c>
    </row>
    <row r="103" spans="1:36" ht="15.75" customHeight="1" x14ac:dyDescent="0.3">
      <c r="A103" s="205" t="e">
        <f t="shared" ref="A103:C103" si="198">IF($B$1="Solo",IF(L102="","",L102),IF($B$1="Duet",IF(O102="","",O102),IF($B$1="Mixed",IF(R102="","",R102),IF(U102="","",U102))))</f>
        <v>#N/A</v>
      </c>
      <c r="B103" s="182" t="e">
        <f t="shared" si="198"/>
        <v>#N/A</v>
      </c>
      <c r="C103" s="182" t="e">
        <f t="shared" si="198"/>
        <v>#N/A</v>
      </c>
      <c r="D103" s="182" t="e">
        <f t="shared" ref="D103:E103" si="199">IF($D$1="Team",IF(AD102="","",AD102),"")</f>
        <v>#N/A</v>
      </c>
      <c r="E103" s="182" t="e">
        <f t="shared" si="199"/>
        <v>#N/A</v>
      </c>
      <c r="J103" s="170"/>
      <c r="K103" s="170"/>
      <c r="L103" s="169" t="s">
        <v>9</v>
      </c>
      <c r="M103" s="1" t="s">
        <v>1984</v>
      </c>
      <c r="N103" s="182">
        <v>0.45</v>
      </c>
      <c r="O103" s="169" t="s">
        <v>9</v>
      </c>
      <c r="P103" s="1" t="s">
        <v>1984</v>
      </c>
      <c r="Q103" s="182">
        <v>0.45</v>
      </c>
      <c r="R103" s="169" t="s">
        <v>9</v>
      </c>
      <c r="S103" s="1" t="s">
        <v>1984</v>
      </c>
      <c r="T103" s="182">
        <v>0.45</v>
      </c>
      <c r="U103" s="169" t="s">
        <v>9</v>
      </c>
      <c r="V103" s="1" t="s">
        <v>1984</v>
      </c>
      <c r="W103" s="182">
        <v>0.45</v>
      </c>
      <c r="AH103" s="1" t="s">
        <v>1984</v>
      </c>
      <c r="AI103" s="1" t="s">
        <v>1984</v>
      </c>
      <c r="AJ103" s="1">
        <v>1</v>
      </c>
    </row>
    <row r="104" spans="1:36" ht="15.75" customHeight="1" x14ac:dyDescent="0.3">
      <c r="A104" s="205" t="e">
        <f t="shared" ref="A104:C104" si="200">IF($B$1="Solo",IF(L103="","",L103),IF($B$1="Duet",IF(O103="","",O103),IF($B$1="Mixed",IF(R103="","",R103),IF(U103="","",U103))))</f>
        <v>#N/A</v>
      </c>
      <c r="B104" s="182" t="e">
        <f t="shared" si="200"/>
        <v>#N/A</v>
      </c>
      <c r="C104" s="182" t="e">
        <f t="shared" si="200"/>
        <v>#N/A</v>
      </c>
      <c r="D104" s="182" t="e">
        <f t="shared" ref="D104:E104" si="201">IF($D$1="Team",IF(AD103="","",AD103),"")</f>
        <v>#N/A</v>
      </c>
      <c r="E104" s="182" t="e">
        <f t="shared" si="201"/>
        <v>#N/A</v>
      </c>
      <c r="J104" s="170"/>
      <c r="K104" s="170"/>
      <c r="L104" s="169" t="s">
        <v>9</v>
      </c>
      <c r="M104" s="1" t="s">
        <v>1985</v>
      </c>
      <c r="N104" s="182">
        <v>0.45</v>
      </c>
      <c r="O104" s="169" t="s">
        <v>9</v>
      </c>
      <c r="P104" s="1" t="s">
        <v>1985</v>
      </c>
      <c r="Q104" s="182">
        <v>0.45</v>
      </c>
      <c r="R104" s="169" t="s">
        <v>9</v>
      </c>
      <c r="S104" s="1" t="s">
        <v>1985</v>
      </c>
      <c r="T104" s="182">
        <v>0.45</v>
      </c>
      <c r="U104" s="169" t="s">
        <v>9</v>
      </c>
      <c r="V104" s="1" t="s">
        <v>1985</v>
      </c>
      <c r="W104" s="182">
        <v>0.45</v>
      </c>
      <c r="AH104" s="1" t="s">
        <v>1985</v>
      </c>
      <c r="AI104" s="1" t="s">
        <v>1985</v>
      </c>
      <c r="AJ104" s="1">
        <v>1</v>
      </c>
    </row>
    <row r="105" spans="1:36" ht="15.75" customHeight="1" x14ac:dyDescent="0.3">
      <c r="A105" s="205" t="e">
        <f t="shared" ref="A105:C105" si="202">IF($B$1="Solo",IF(L104="","",L104),IF($B$1="Duet",IF(O104="","",O104),IF($B$1="Mixed",IF(R104="","",R104),IF(U104="","",U104))))</f>
        <v>#N/A</v>
      </c>
      <c r="B105" s="182" t="e">
        <f t="shared" si="202"/>
        <v>#N/A</v>
      </c>
      <c r="C105" s="182" t="e">
        <f t="shared" si="202"/>
        <v>#N/A</v>
      </c>
      <c r="D105" s="182" t="e">
        <f t="shared" ref="D105:E105" si="203">IF($D$1="Team",IF(AD104="","",AD104),"")</f>
        <v>#N/A</v>
      </c>
      <c r="E105" s="182" t="e">
        <f t="shared" si="203"/>
        <v>#N/A</v>
      </c>
      <c r="J105" s="170"/>
      <c r="K105" s="170"/>
      <c r="L105" s="169" t="s">
        <v>9</v>
      </c>
      <c r="M105" s="1" t="s">
        <v>1986</v>
      </c>
      <c r="N105" s="182">
        <v>0.65</v>
      </c>
      <c r="O105" s="169" t="s">
        <v>9</v>
      </c>
      <c r="P105" s="1" t="s">
        <v>1986</v>
      </c>
      <c r="Q105" s="182">
        <v>0.65</v>
      </c>
      <c r="R105" s="169" t="s">
        <v>9</v>
      </c>
      <c r="S105" s="1" t="s">
        <v>1986</v>
      </c>
      <c r="T105" s="182">
        <v>0.65</v>
      </c>
      <c r="U105" s="169" t="s">
        <v>9</v>
      </c>
      <c r="V105" s="1" t="s">
        <v>1986</v>
      </c>
      <c r="W105" s="182">
        <v>0.65</v>
      </c>
      <c r="AH105" s="1" t="s">
        <v>1986</v>
      </c>
      <c r="AI105" s="1" t="s">
        <v>1986</v>
      </c>
      <c r="AJ105" s="1">
        <v>1</v>
      </c>
    </row>
    <row r="106" spans="1:36" ht="15.75" customHeight="1" x14ac:dyDescent="0.3">
      <c r="A106" s="205" t="e">
        <f t="shared" ref="A106:C106" si="204">IF($B$1="Solo",IF(L105="","",L105),IF($B$1="Duet",IF(O105="","",O105),IF($B$1="Mixed",IF(R105="","",R105),IF(U105="","",U105))))</f>
        <v>#N/A</v>
      </c>
      <c r="B106" s="182" t="e">
        <f t="shared" si="204"/>
        <v>#N/A</v>
      </c>
      <c r="C106" s="182" t="e">
        <f t="shared" si="204"/>
        <v>#N/A</v>
      </c>
      <c r="D106" s="182" t="e">
        <f t="shared" ref="D106:E106" si="205">IF($D$1="Team",IF(AD105="","",AD105),"")</f>
        <v>#N/A</v>
      </c>
      <c r="E106" s="182" t="e">
        <f t="shared" si="205"/>
        <v>#N/A</v>
      </c>
      <c r="J106" s="170"/>
      <c r="K106" s="170"/>
      <c r="L106" s="169" t="s">
        <v>9</v>
      </c>
      <c r="M106" s="1" t="s">
        <v>1987</v>
      </c>
      <c r="N106" s="182">
        <v>1.1499999999999999</v>
      </c>
      <c r="O106" s="169" t="s">
        <v>9</v>
      </c>
      <c r="P106" s="1" t="s">
        <v>1987</v>
      </c>
      <c r="Q106" s="182">
        <v>1.1499999999999999</v>
      </c>
      <c r="R106" s="169" t="s">
        <v>9</v>
      </c>
      <c r="S106" s="1" t="s">
        <v>1987</v>
      </c>
      <c r="T106" s="182">
        <v>1.1499999999999999</v>
      </c>
      <c r="U106" s="169" t="s">
        <v>9</v>
      </c>
      <c r="V106" s="1" t="s">
        <v>1987</v>
      </c>
      <c r="W106" s="182">
        <v>1.1499999999999999</v>
      </c>
      <c r="AH106" s="1" t="s">
        <v>1987</v>
      </c>
      <c r="AI106" s="1" t="s">
        <v>1987</v>
      </c>
      <c r="AJ106" s="1">
        <v>1</v>
      </c>
    </row>
    <row r="107" spans="1:36" ht="15.75" customHeight="1" x14ac:dyDescent="0.3">
      <c r="A107" s="205" t="e">
        <f t="shared" ref="A107:C107" si="206">IF($B$1="Solo",IF(L106="","",L106),IF($B$1="Duet",IF(O106="","",O106),IF($B$1="Mixed",IF(R106="","",R106),IF(U106="","",U106))))</f>
        <v>#N/A</v>
      </c>
      <c r="B107" s="182" t="e">
        <f t="shared" si="206"/>
        <v>#N/A</v>
      </c>
      <c r="C107" s="182" t="e">
        <f t="shared" si="206"/>
        <v>#N/A</v>
      </c>
      <c r="D107" s="182" t="e">
        <f t="shared" ref="D107:E107" si="207">IF($D$1="Team",IF(AD106="","",AD106),"")</f>
        <v>#N/A</v>
      </c>
      <c r="E107" s="182" t="e">
        <f t="shared" si="207"/>
        <v>#N/A</v>
      </c>
      <c r="J107" s="170"/>
      <c r="K107" s="170"/>
      <c r="L107" s="169" t="s">
        <v>9</v>
      </c>
      <c r="M107" s="1" t="s">
        <v>1988</v>
      </c>
      <c r="N107" s="182">
        <v>1.45</v>
      </c>
      <c r="O107" s="169" t="s">
        <v>9</v>
      </c>
      <c r="P107" s="1" t="s">
        <v>1988</v>
      </c>
      <c r="Q107" s="182">
        <v>1.45</v>
      </c>
      <c r="R107" s="169" t="s">
        <v>9</v>
      </c>
      <c r="S107" s="1" t="s">
        <v>1988</v>
      </c>
      <c r="T107" s="182">
        <v>1.45</v>
      </c>
      <c r="U107" s="169" t="s">
        <v>9</v>
      </c>
      <c r="V107" s="1" t="s">
        <v>1988</v>
      </c>
      <c r="W107" s="182">
        <v>1.45</v>
      </c>
      <c r="AH107" s="1" t="s">
        <v>1988</v>
      </c>
      <c r="AI107" s="1" t="s">
        <v>1988</v>
      </c>
      <c r="AJ107" s="1">
        <v>1</v>
      </c>
    </row>
    <row r="108" spans="1:36" ht="15.75" customHeight="1" x14ac:dyDescent="0.3">
      <c r="A108" s="205" t="e">
        <f t="shared" ref="A108:C108" si="208">IF($B$1="Solo",IF(L107="","",L107),IF($B$1="Duet",IF(O107="","",O107),IF($B$1="Mixed",IF(R107="","",R107),IF(U107="","",U107))))</f>
        <v>#N/A</v>
      </c>
      <c r="B108" s="182" t="e">
        <f t="shared" si="208"/>
        <v>#N/A</v>
      </c>
      <c r="C108" s="182" t="e">
        <f t="shared" si="208"/>
        <v>#N/A</v>
      </c>
      <c r="D108" s="182" t="e">
        <f t="shared" ref="D108:E108" si="209">IF($D$1="Team",IF(AD107="","",AD107),"")</f>
        <v>#N/A</v>
      </c>
      <c r="E108" s="182" t="e">
        <f t="shared" si="209"/>
        <v>#N/A</v>
      </c>
      <c r="J108" s="170"/>
      <c r="K108" s="170"/>
      <c r="L108" s="169" t="s">
        <v>9</v>
      </c>
      <c r="M108" s="1" t="s">
        <v>1989</v>
      </c>
      <c r="N108" s="182">
        <v>1.65</v>
      </c>
      <c r="O108" s="169" t="s">
        <v>9</v>
      </c>
      <c r="P108" s="1" t="s">
        <v>1989</v>
      </c>
      <c r="Q108" s="182">
        <v>1.65</v>
      </c>
      <c r="R108" s="169" t="s">
        <v>9</v>
      </c>
      <c r="S108" s="1" t="s">
        <v>1989</v>
      </c>
      <c r="T108" s="182">
        <v>1.65</v>
      </c>
      <c r="U108" s="169" t="s">
        <v>9</v>
      </c>
      <c r="V108" s="1" t="s">
        <v>1989</v>
      </c>
      <c r="W108" s="182">
        <v>1.65</v>
      </c>
      <c r="AH108" s="1" t="s">
        <v>1989</v>
      </c>
      <c r="AI108" s="1" t="s">
        <v>1989</v>
      </c>
      <c r="AJ108" s="1">
        <v>1</v>
      </c>
    </row>
    <row r="109" spans="1:36" ht="15.75" customHeight="1" x14ac:dyDescent="0.3">
      <c r="A109" s="205" t="e">
        <f t="shared" ref="A109:C109" si="210">IF($B$1="Solo",IF(L108="","",L108),IF($B$1="Duet",IF(O108="","",O108),IF($B$1="Mixed",IF(R108="","",R108),IF(U108="","",U108))))</f>
        <v>#N/A</v>
      </c>
      <c r="B109" s="182" t="e">
        <f t="shared" si="210"/>
        <v>#N/A</v>
      </c>
      <c r="C109" s="182" t="e">
        <f t="shared" si="210"/>
        <v>#N/A</v>
      </c>
      <c r="D109" s="182" t="e">
        <f t="shared" ref="D109:E109" si="211">IF($D$1="Team",IF(AD108="","",AD108),"")</f>
        <v>#N/A</v>
      </c>
      <c r="E109" s="182" t="e">
        <f t="shared" si="211"/>
        <v>#N/A</v>
      </c>
      <c r="J109" s="170"/>
      <c r="K109" s="170"/>
      <c r="L109" s="169" t="s">
        <v>133</v>
      </c>
      <c r="M109" s="1" t="s">
        <v>1990</v>
      </c>
      <c r="N109" s="182">
        <v>0.05</v>
      </c>
      <c r="O109" s="169" t="s">
        <v>133</v>
      </c>
      <c r="P109" s="1" t="s">
        <v>1990</v>
      </c>
      <c r="Q109" s="182">
        <v>0.05</v>
      </c>
      <c r="R109" s="169" t="s">
        <v>133</v>
      </c>
      <c r="S109" s="1" t="s">
        <v>1990</v>
      </c>
      <c r="T109" s="182">
        <v>0.05</v>
      </c>
      <c r="U109" s="169" t="s">
        <v>133</v>
      </c>
      <c r="V109" s="1" t="s">
        <v>1990</v>
      </c>
      <c r="W109" s="182">
        <v>0.05</v>
      </c>
      <c r="AH109" s="1" t="s">
        <v>1990</v>
      </c>
      <c r="AI109" s="1" t="s">
        <v>1990</v>
      </c>
      <c r="AJ109" s="1">
        <v>1</v>
      </c>
    </row>
    <row r="110" spans="1:36" ht="15.75" customHeight="1" x14ac:dyDescent="0.3">
      <c r="A110" s="205" t="e">
        <f t="shared" ref="A110:C110" si="212">IF($B$1="Solo",IF(L109="","",L109),IF($B$1="Duet",IF(O109="","",O109),IF($B$1="Mixed",IF(R109="","",R109),IF(U109="","",U109))))</f>
        <v>#N/A</v>
      </c>
      <c r="B110" s="182" t="e">
        <f t="shared" si="212"/>
        <v>#N/A</v>
      </c>
      <c r="C110" s="182" t="e">
        <f t="shared" si="212"/>
        <v>#N/A</v>
      </c>
      <c r="D110" s="182" t="e">
        <f t="shared" ref="D110:E110" si="213">IF($D$1="Team",IF(AD109="","",AD109),"")</f>
        <v>#N/A</v>
      </c>
      <c r="E110" s="182" t="e">
        <f t="shared" si="213"/>
        <v>#N/A</v>
      </c>
      <c r="J110" s="170"/>
      <c r="K110" s="170"/>
      <c r="L110" s="169" t="s">
        <v>133</v>
      </c>
      <c r="M110" s="1" t="s">
        <v>1991</v>
      </c>
      <c r="N110" s="182">
        <v>0.1</v>
      </c>
      <c r="O110" s="169" t="s">
        <v>133</v>
      </c>
      <c r="P110" s="1" t="s">
        <v>1991</v>
      </c>
      <c r="Q110" s="182">
        <v>0.1</v>
      </c>
      <c r="R110" s="169" t="s">
        <v>133</v>
      </c>
      <c r="S110" s="1" t="s">
        <v>1991</v>
      </c>
      <c r="T110" s="182">
        <v>0.1</v>
      </c>
      <c r="U110" s="169" t="s">
        <v>133</v>
      </c>
      <c r="V110" s="1" t="s">
        <v>1991</v>
      </c>
      <c r="W110" s="182">
        <v>0.1</v>
      </c>
      <c r="AH110" s="1" t="s">
        <v>1991</v>
      </c>
      <c r="AI110" s="1" t="s">
        <v>1991</v>
      </c>
      <c r="AJ110" s="1">
        <v>1</v>
      </c>
    </row>
    <row r="111" spans="1:36" ht="15.75" customHeight="1" x14ac:dyDescent="0.3">
      <c r="A111" s="205" t="e">
        <f t="shared" ref="A111:C111" si="214">IF($B$1="Solo",IF(L110="","",L110),IF($B$1="Duet",IF(O110="","",O110),IF($B$1="Mixed",IF(R110="","",R110),IF(U110="","",U110))))</f>
        <v>#N/A</v>
      </c>
      <c r="B111" s="182" t="e">
        <f t="shared" si="214"/>
        <v>#N/A</v>
      </c>
      <c r="C111" s="182" t="e">
        <f t="shared" si="214"/>
        <v>#N/A</v>
      </c>
      <c r="D111" s="182" t="e">
        <f t="shared" ref="D111:E111" si="215">IF($D$1="Team",IF(AD110="","",AD110),"")</f>
        <v>#N/A</v>
      </c>
      <c r="E111" s="182" t="e">
        <f t="shared" si="215"/>
        <v>#N/A</v>
      </c>
      <c r="J111" s="170"/>
      <c r="K111" s="170"/>
      <c r="L111" s="169" t="s">
        <v>133</v>
      </c>
      <c r="M111" s="1" t="s">
        <v>1992</v>
      </c>
      <c r="N111" s="182">
        <v>0.1</v>
      </c>
      <c r="O111" s="169" t="s">
        <v>133</v>
      </c>
      <c r="P111" s="1" t="s">
        <v>1992</v>
      </c>
      <c r="Q111" s="182">
        <v>0.1</v>
      </c>
      <c r="R111" s="169" t="s">
        <v>133</v>
      </c>
      <c r="S111" s="1" t="s">
        <v>1992</v>
      </c>
      <c r="T111" s="182">
        <v>0.1</v>
      </c>
      <c r="U111" s="169" t="s">
        <v>133</v>
      </c>
      <c r="V111" s="1" t="s">
        <v>1992</v>
      </c>
      <c r="W111" s="182">
        <v>0.1</v>
      </c>
      <c r="AH111" s="1" t="s">
        <v>1992</v>
      </c>
      <c r="AI111" s="1" t="s">
        <v>1992</v>
      </c>
      <c r="AJ111" s="1">
        <v>1</v>
      </c>
    </row>
    <row r="112" spans="1:36" ht="15.75" customHeight="1" x14ac:dyDescent="0.3">
      <c r="A112" s="205" t="e">
        <f t="shared" ref="A112:C112" si="216">IF($B$1="Solo",IF(L111="","",L111),IF($B$1="Duet",IF(O111="","",O111),IF($B$1="Mixed",IF(R111="","",R111),IF(U111="","",U111))))</f>
        <v>#N/A</v>
      </c>
      <c r="B112" s="182" t="e">
        <f t="shared" si="216"/>
        <v>#N/A</v>
      </c>
      <c r="C112" s="182" t="e">
        <f t="shared" si="216"/>
        <v>#N/A</v>
      </c>
      <c r="D112" s="182" t="e">
        <f t="shared" ref="D112:E112" si="217">IF($D$1="Team",IF(AD111="","",AD111),"")</f>
        <v>#N/A</v>
      </c>
      <c r="E112" s="182" t="e">
        <f t="shared" si="217"/>
        <v>#N/A</v>
      </c>
      <c r="J112" s="170"/>
      <c r="K112" s="170"/>
      <c r="L112" s="169" t="s">
        <v>133</v>
      </c>
      <c r="M112" s="1" t="s">
        <v>1993</v>
      </c>
      <c r="N112" s="182">
        <v>0.1</v>
      </c>
      <c r="O112" s="169" t="s">
        <v>133</v>
      </c>
      <c r="P112" s="1" t="s">
        <v>1993</v>
      </c>
      <c r="Q112" s="182">
        <v>0.1</v>
      </c>
      <c r="R112" s="169" t="s">
        <v>133</v>
      </c>
      <c r="S112" s="1" t="s">
        <v>1993</v>
      </c>
      <c r="T112" s="182">
        <v>0.1</v>
      </c>
      <c r="U112" s="169" t="s">
        <v>133</v>
      </c>
      <c r="V112" s="1" t="s">
        <v>1993</v>
      </c>
      <c r="W112" s="182">
        <v>0.1</v>
      </c>
      <c r="AH112" s="1" t="s">
        <v>1993</v>
      </c>
      <c r="AI112" s="1" t="s">
        <v>1993</v>
      </c>
      <c r="AJ112" s="1">
        <v>1</v>
      </c>
    </row>
    <row r="113" spans="1:36" ht="15.75" customHeight="1" x14ac:dyDescent="0.3">
      <c r="A113" s="205" t="e">
        <f t="shared" ref="A113:C113" si="218">IF($B$1="Solo",IF(L112="","",L112),IF($B$1="Duet",IF(O112="","",O112),IF($B$1="Mixed",IF(R112="","",R112),IF(U112="","",U112))))</f>
        <v>#N/A</v>
      </c>
      <c r="B113" s="182" t="e">
        <f t="shared" si="218"/>
        <v>#N/A</v>
      </c>
      <c r="C113" s="182" t="e">
        <f t="shared" si="218"/>
        <v>#N/A</v>
      </c>
      <c r="D113" s="182" t="e">
        <f t="shared" ref="D113:E113" si="219">IF($D$1="Team",IF(AD112="","",AD112),"")</f>
        <v>#N/A</v>
      </c>
      <c r="E113" s="182" t="e">
        <f t="shared" si="219"/>
        <v>#N/A</v>
      </c>
      <c r="J113" s="170"/>
      <c r="K113" s="170"/>
      <c r="L113" s="169" t="s">
        <v>133</v>
      </c>
      <c r="M113" s="1" t="s">
        <v>1994</v>
      </c>
      <c r="N113" s="182">
        <v>0.2</v>
      </c>
      <c r="O113" s="169" t="s">
        <v>133</v>
      </c>
      <c r="P113" s="1" t="s">
        <v>1994</v>
      </c>
      <c r="Q113" s="182">
        <v>0.2</v>
      </c>
      <c r="R113" s="169" t="s">
        <v>133</v>
      </c>
      <c r="S113" s="1" t="s">
        <v>1994</v>
      </c>
      <c r="T113" s="182">
        <v>0.2</v>
      </c>
      <c r="U113" s="169" t="s">
        <v>133</v>
      </c>
      <c r="V113" s="1" t="s">
        <v>1994</v>
      </c>
      <c r="W113" s="182">
        <v>0.2</v>
      </c>
      <c r="AH113" s="1" t="s">
        <v>1994</v>
      </c>
      <c r="AI113" s="1" t="s">
        <v>1994</v>
      </c>
      <c r="AJ113" s="1">
        <v>1</v>
      </c>
    </row>
    <row r="114" spans="1:36" ht="15.75" customHeight="1" x14ac:dyDescent="0.3">
      <c r="A114" s="205" t="e">
        <f t="shared" ref="A114:C114" si="220">IF($B$1="Solo",IF(L113="","",L113),IF($B$1="Duet",IF(O113="","",O113),IF($B$1="Mixed",IF(R113="","",R113),IF(U113="","",U113))))</f>
        <v>#N/A</v>
      </c>
      <c r="B114" s="182" t="e">
        <f t="shared" si="220"/>
        <v>#N/A</v>
      </c>
      <c r="C114" s="182" t="e">
        <f t="shared" si="220"/>
        <v>#N/A</v>
      </c>
      <c r="D114" s="182" t="e">
        <f t="shared" ref="D114:E114" si="221">IF($D$1="Team",IF(AD113="","",AD113),"")</f>
        <v>#N/A</v>
      </c>
      <c r="E114" s="182" t="e">
        <f t="shared" si="221"/>
        <v>#N/A</v>
      </c>
      <c r="J114" s="170"/>
      <c r="K114" s="170"/>
      <c r="L114" s="169" t="s">
        <v>133</v>
      </c>
      <c r="M114" s="1" t="s">
        <v>1995</v>
      </c>
      <c r="N114" s="182">
        <v>0.2</v>
      </c>
      <c r="O114" s="169" t="s">
        <v>133</v>
      </c>
      <c r="P114" s="1" t="s">
        <v>1995</v>
      </c>
      <c r="Q114" s="182">
        <v>0.2</v>
      </c>
      <c r="R114" s="169" t="s">
        <v>133</v>
      </c>
      <c r="S114" s="1" t="s">
        <v>1995</v>
      </c>
      <c r="T114" s="182">
        <v>0.2</v>
      </c>
      <c r="U114" s="169" t="s">
        <v>133</v>
      </c>
      <c r="V114" s="1" t="s">
        <v>1995</v>
      </c>
      <c r="W114" s="182">
        <v>0.2</v>
      </c>
      <c r="AH114" s="1" t="s">
        <v>1995</v>
      </c>
      <c r="AI114" s="1" t="s">
        <v>1995</v>
      </c>
      <c r="AJ114" s="1">
        <v>1</v>
      </c>
    </row>
    <row r="115" spans="1:36" ht="15.75" customHeight="1" x14ac:dyDescent="0.3">
      <c r="A115" s="205" t="e">
        <f t="shared" ref="A115:C115" si="222">IF($B$1="Solo",IF(L114="","",L114),IF($B$1="Duet",IF(O114="","",O114),IF($B$1="Mixed",IF(R114="","",R114),IF(U114="","",U114))))</f>
        <v>#N/A</v>
      </c>
      <c r="B115" s="182" t="e">
        <f t="shared" si="222"/>
        <v>#N/A</v>
      </c>
      <c r="C115" s="182" t="e">
        <f t="shared" si="222"/>
        <v>#N/A</v>
      </c>
      <c r="D115" s="182" t="e">
        <f t="shared" ref="D115:E115" si="223">IF($D$1="Team",IF(AD114="","",AD114),"")</f>
        <v>#N/A</v>
      </c>
      <c r="E115" s="182" t="e">
        <f t="shared" si="223"/>
        <v>#N/A</v>
      </c>
      <c r="J115" s="170"/>
      <c r="K115" s="170"/>
      <c r="L115" s="169" t="s">
        <v>133</v>
      </c>
      <c r="M115" s="1" t="s">
        <v>1996</v>
      </c>
      <c r="N115" s="182">
        <v>0.2</v>
      </c>
      <c r="O115" s="169" t="s">
        <v>133</v>
      </c>
      <c r="P115" s="1" t="s">
        <v>1996</v>
      </c>
      <c r="Q115" s="182">
        <v>0.2</v>
      </c>
      <c r="R115" s="169" t="s">
        <v>133</v>
      </c>
      <c r="S115" s="1" t="s">
        <v>1996</v>
      </c>
      <c r="T115" s="182">
        <v>0.2</v>
      </c>
      <c r="U115" s="169" t="s">
        <v>133</v>
      </c>
      <c r="V115" s="1" t="s">
        <v>1996</v>
      </c>
      <c r="W115" s="182">
        <v>0.2</v>
      </c>
      <c r="AH115" s="1" t="s">
        <v>1996</v>
      </c>
      <c r="AI115" s="1" t="s">
        <v>1996</v>
      </c>
      <c r="AJ115" s="1">
        <v>1</v>
      </c>
    </row>
    <row r="116" spans="1:36" ht="15.75" customHeight="1" x14ac:dyDescent="0.3">
      <c r="A116" s="205" t="e">
        <f t="shared" ref="A116:C116" si="224">IF($B$1="Solo",IF(L115="","",L115),IF($B$1="Duet",IF(O115="","",O115),IF($B$1="Mixed",IF(R115="","",R115),IF(U115="","",U115))))</f>
        <v>#N/A</v>
      </c>
      <c r="B116" s="182" t="e">
        <f t="shared" si="224"/>
        <v>#N/A</v>
      </c>
      <c r="C116" s="182" t="e">
        <f t="shared" si="224"/>
        <v>#N/A</v>
      </c>
      <c r="D116" s="182" t="e">
        <f t="shared" ref="D116:E116" si="225">IF($D$1="Team",IF(AD115="","",AD115),"")</f>
        <v>#N/A</v>
      </c>
      <c r="E116" s="182" t="e">
        <f t="shared" si="225"/>
        <v>#N/A</v>
      </c>
      <c r="J116" s="170"/>
      <c r="K116" s="170"/>
      <c r="L116" s="169" t="s">
        <v>133</v>
      </c>
      <c r="M116" s="1" t="s">
        <v>1997</v>
      </c>
      <c r="N116" s="182">
        <v>0.3</v>
      </c>
      <c r="O116" s="169" t="s">
        <v>133</v>
      </c>
      <c r="P116" s="1" t="s">
        <v>1997</v>
      </c>
      <c r="Q116" s="182">
        <v>0.3</v>
      </c>
      <c r="R116" s="169" t="s">
        <v>133</v>
      </c>
      <c r="S116" s="1" t="s">
        <v>1997</v>
      </c>
      <c r="T116" s="182">
        <v>0.3</v>
      </c>
      <c r="U116" s="169" t="s">
        <v>133</v>
      </c>
      <c r="V116" s="1" t="s">
        <v>1997</v>
      </c>
      <c r="W116" s="182">
        <v>0.3</v>
      </c>
      <c r="AH116" s="1" t="s">
        <v>1997</v>
      </c>
      <c r="AI116" s="1" t="s">
        <v>1997</v>
      </c>
      <c r="AJ116" s="1">
        <v>1</v>
      </c>
    </row>
    <row r="117" spans="1:36" ht="15.75" customHeight="1" x14ac:dyDescent="0.3">
      <c r="A117" s="205" t="e">
        <f t="shared" ref="A117:C117" si="226">IF($B$1="Solo",IF(L116="","",L116),IF($B$1="Duet",IF(O116="","",O116),IF($B$1="Mixed",IF(R116="","",R116),IF(U116="","",U116))))</f>
        <v>#N/A</v>
      </c>
      <c r="B117" s="182" t="e">
        <f t="shared" si="226"/>
        <v>#N/A</v>
      </c>
      <c r="C117" s="182" t="e">
        <f t="shared" si="226"/>
        <v>#N/A</v>
      </c>
      <c r="D117" s="182" t="e">
        <f t="shared" ref="D117:E117" si="227">IF($D$1="Team",IF(AD116="","",AD116),"")</f>
        <v>#N/A</v>
      </c>
      <c r="E117" s="182" t="e">
        <f t="shared" si="227"/>
        <v>#N/A</v>
      </c>
      <c r="J117" s="170"/>
      <c r="K117" s="170"/>
      <c r="L117" s="169" t="s">
        <v>133</v>
      </c>
      <c r="M117" s="1" t="s">
        <v>1998</v>
      </c>
      <c r="N117" s="182">
        <v>0.3</v>
      </c>
      <c r="O117" s="169" t="s">
        <v>133</v>
      </c>
      <c r="P117" s="1" t="s">
        <v>1998</v>
      </c>
      <c r="Q117" s="182">
        <v>0.3</v>
      </c>
      <c r="R117" s="169" t="s">
        <v>133</v>
      </c>
      <c r="S117" s="1" t="s">
        <v>1998</v>
      </c>
      <c r="T117" s="182">
        <v>0.3</v>
      </c>
      <c r="U117" s="169" t="s">
        <v>133</v>
      </c>
      <c r="V117" s="1" t="s">
        <v>1998</v>
      </c>
      <c r="W117" s="182">
        <v>0.3</v>
      </c>
      <c r="AH117" s="1" t="s">
        <v>1998</v>
      </c>
      <c r="AI117" s="1" t="s">
        <v>1998</v>
      </c>
      <c r="AJ117" s="1">
        <v>1</v>
      </c>
    </row>
    <row r="118" spans="1:36" ht="15.75" customHeight="1" x14ac:dyDescent="0.3">
      <c r="A118" s="205" t="e">
        <f t="shared" ref="A118:C118" si="228">IF($B$1="Solo",IF(L117="","",L117),IF($B$1="Duet",IF(O117="","",O117),IF($B$1="Mixed",IF(R117="","",R117),IF(U117="","",U117))))</f>
        <v>#N/A</v>
      </c>
      <c r="B118" s="182" t="e">
        <f t="shared" si="228"/>
        <v>#N/A</v>
      </c>
      <c r="C118" s="182" t="e">
        <f t="shared" si="228"/>
        <v>#N/A</v>
      </c>
      <c r="D118" s="182" t="e">
        <f t="shared" ref="D118:E118" si="229">IF($D$1="Team",IF(AD117="","",AD117),"")</f>
        <v>#N/A</v>
      </c>
      <c r="E118" s="182" t="e">
        <f t="shared" si="229"/>
        <v>#N/A</v>
      </c>
      <c r="J118" s="170"/>
      <c r="K118" s="170"/>
      <c r="L118" s="169" t="s">
        <v>133</v>
      </c>
      <c r="M118" s="1" t="s">
        <v>1999</v>
      </c>
      <c r="N118" s="182">
        <v>0.3</v>
      </c>
      <c r="O118" s="169" t="s">
        <v>133</v>
      </c>
      <c r="P118" s="1" t="s">
        <v>1999</v>
      </c>
      <c r="Q118" s="182">
        <v>0.3</v>
      </c>
      <c r="R118" s="169" t="s">
        <v>133</v>
      </c>
      <c r="S118" s="1" t="s">
        <v>1999</v>
      </c>
      <c r="T118" s="182">
        <v>0.3</v>
      </c>
      <c r="U118" s="169" t="s">
        <v>133</v>
      </c>
      <c r="V118" s="1" t="s">
        <v>1999</v>
      </c>
      <c r="W118" s="182">
        <v>0.3</v>
      </c>
      <c r="AH118" s="1" t="s">
        <v>1999</v>
      </c>
      <c r="AI118" s="1" t="s">
        <v>1999</v>
      </c>
      <c r="AJ118" s="1">
        <v>1</v>
      </c>
    </row>
    <row r="119" spans="1:36" ht="15.75" customHeight="1" x14ac:dyDescent="0.3">
      <c r="A119" s="205" t="e">
        <f t="shared" ref="A119:C119" si="230">IF($B$1="Solo",IF(L118="","",L118),IF($B$1="Duet",IF(O118="","",O118),IF($B$1="Mixed",IF(R118="","",R118),IF(U118="","",U118))))</f>
        <v>#N/A</v>
      </c>
      <c r="B119" s="182" t="e">
        <f t="shared" si="230"/>
        <v>#N/A</v>
      </c>
      <c r="C119" s="182" t="e">
        <f t="shared" si="230"/>
        <v>#N/A</v>
      </c>
      <c r="D119" s="182" t="e">
        <f t="shared" ref="D119:E119" si="231">IF($D$1="Team",IF(AD118="","",AD118),"")</f>
        <v>#N/A</v>
      </c>
      <c r="E119" s="182" t="e">
        <f t="shared" si="231"/>
        <v>#N/A</v>
      </c>
      <c r="J119" s="170"/>
      <c r="K119" s="170"/>
      <c r="L119" s="169" t="s">
        <v>133</v>
      </c>
      <c r="M119" s="1" t="s">
        <v>2000</v>
      </c>
      <c r="N119" s="182">
        <v>0.4</v>
      </c>
      <c r="O119" s="169" t="s">
        <v>133</v>
      </c>
      <c r="P119" s="1" t="s">
        <v>2000</v>
      </c>
      <c r="Q119" s="182">
        <v>0.4</v>
      </c>
      <c r="R119" s="169" t="s">
        <v>133</v>
      </c>
      <c r="S119" s="1" t="s">
        <v>2000</v>
      </c>
      <c r="T119" s="182">
        <v>0.4</v>
      </c>
      <c r="U119" s="169" t="s">
        <v>133</v>
      </c>
      <c r="V119" s="1" t="s">
        <v>2000</v>
      </c>
      <c r="W119" s="182">
        <v>0.4</v>
      </c>
      <c r="AH119" s="1" t="s">
        <v>2000</v>
      </c>
      <c r="AI119" s="1" t="s">
        <v>2000</v>
      </c>
      <c r="AJ119" s="1">
        <v>1</v>
      </c>
    </row>
    <row r="120" spans="1:36" ht="15.75" customHeight="1" x14ac:dyDescent="0.3">
      <c r="A120" s="205" t="e">
        <f t="shared" ref="A120:C120" si="232">IF($B$1="Solo",IF(L119="","",L119),IF($B$1="Duet",IF(O119="","",O119),IF($B$1="Mixed",IF(R119="","",R119),IF(U119="","",U119))))</f>
        <v>#N/A</v>
      </c>
      <c r="B120" s="182" t="e">
        <f t="shared" si="232"/>
        <v>#N/A</v>
      </c>
      <c r="C120" s="182" t="e">
        <f t="shared" si="232"/>
        <v>#N/A</v>
      </c>
      <c r="D120" s="182" t="e">
        <f t="shared" ref="D120:E120" si="233">IF($D$1="Team",IF(AD119="","",AD119),"")</f>
        <v>#N/A</v>
      </c>
      <c r="E120" s="182" t="e">
        <f t="shared" si="233"/>
        <v>#N/A</v>
      </c>
      <c r="J120" s="170"/>
      <c r="K120" s="170"/>
      <c r="L120" s="169" t="s">
        <v>133</v>
      </c>
      <c r="M120" s="1" t="s">
        <v>2001</v>
      </c>
      <c r="N120" s="182">
        <v>0.4</v>
      </c>
      <c r="O120" s="169" t="s">
        <v>133</v>
      </c>
      <c r="P120" s="1" t="s">
        <v>2001</v>
      </c>
      <c r="Q120" s="182">
        <v>0.4</v>
      </c>
      <c r="R120" s="169" t="s">
        <v>133</v>
      </c>
      <c r="S120" s="1" t="s">
        <v>2001</v>
      </c>
      <c r="T120" s="182">
        <v>0.4</v>
      </c>
      <c r="U120" s="169" t="s">
        <v>133</v>
      </c>
      <c r="V120" s="1" t="s">
        <v>2001</v>
      </c>
      <c r="W120" s="182">
        <v>0.4</v>
      </c>
      <c r="AH120" s="1" t="s">
        <v>2001</v>
      </c>
      <c r="AI120" s="1" t="s">
        <v>2001</v>
      </c>
      <c r="AJ120" s="1">
        <v>1</v>
      </c>
    </row>
    <row r="121" spans="1:36" ht="15.75" customHeight="1" x14ac:dyDescent="0.3">
      <c r="A121" s="205" t="e">
        <f t="shared" ref="A121:C121" si="234">IF($B$1="Solo",IF(L120="","",L120),IF($B$1="Duet",IF(O120="","",O120),IF($B$1="Mixed",IF(R120="","",R120),IF(U120="","",U120))))</f>
        <v>#N/A</v>
      </c>
      <c r="B121" s="182" t="e">
        <f t="shared" si="234"/>
        <v>#N/A</v>
      </c>
      <c r="C121" s="182" t="e">
        <f t="shared" si="234"/>
        <v>#N/A</v>
      </c>
      <c r="D121" s="182" t="e">
        <f t="shared" ref="D121:E121" si="235">IF($D$1="Team",IF(AD120="","",AD120),"")</f>
        <v>#N/A</v>
      </c>
      <c r="E121" s="182" t="e">
        <f t="shared" si="235"/>
        <v>#N/A</v>
      </c>
      <c r="J121" s="170"/>
      <c r="K121" s="170"/>
      <c r="L121" s="169" t="s">
        <v>133</v>
      </c>
      <c r="M121" s="1" t="s">
        <v>2002</v>
      </c>
      <c r="N121" s="182">
        <v>0.4</v>
      </c>
      <c r="O121" s="169" t="s">
        <v>133</v>
      </c>
      <c r="P121" s="1" t="s">
        <v>2002</v>
      </c>
      <c r="Q121" s="182">
        <v>0.4</v>
      </c>
      <c r="R121" s="169" t="s">
        <v>133</v>
      </c>
      <c r="S121" s="1" t="s">
        <v>2002</v>
      </c>
      <c r="T121" s="182">
        <v>0.4</v>
      </c>
      <c r="U121" s="169" t="s">
        <v>133</v>
      </c>
      <c r="V121" s="1" t="s">
        <v>2002</v>
      </c>
      <c r="W121" s="182">
        <v>0.4</v>
      </c>
      <c r="AH121" s="1" t="s">
        <v>2002</v>
      </c>
      <c r="AI121" s="1" t="s">
        <v>2002</v>
      </c>
      <c r="AJ121" s="1">
        <v>1</v>
      </c>
    </row>
    <row r="122" spans="1:36" ht="15.75" customHeight="1" x14ac:dyDescent="0.3">
      <c r="A122" s="205" t="e">
        <f t="shared" ref="A122:C122" si="236">IF($B$1="Solo",IF(L121="","",L121),IF($B$1="Duet",IF(O121="","",O121),IF($B$1="Mixed",IF(R121="","",R121),IF(U121="","",U121))))</f>
        <v>#N/A</v>
      </c>
      <c r="B122" s="182" t="e">
        <f t="shared" si="236"/>
        <v>#N/A</v>
      </c>
      <c r="C122" s="182" t="e">
        <f t="shared" si="236"/>
        <v>#N/A</v>
      </c>
      <c r="D122" s="182" t="e">
        <f t="shared" ref="D122:E122" si="237">IF($D$1="Team",IF(AD121="","",AD121),"")</f>
        <v>#N/A</v>
      </c>
      <c r="E122" s="182" t="e">
        <f t="shared" si="237"/>
        <v>#N/A</v>
      </c>
      <c r="J122" s="170"/>
      <c r="K122" s="170"/>
      <c r="L122" s="169" t="s">
        <v>133</v>
      </c>
      <c r="M122" s="1" t="s">
        <v>2003</v>
      </c>
      <c r="N122" s="182">
        <v>0.4</v>
      </c>
      <c r="O122" s="169" t="s">
        <v>133</v>
      </c>
      <c r="P122" s="1" t="s">
        <v>2003</v>
      </c>
      <c r="Q122" s="182">
        <v>0.4</v>
      </c>
      <c r="R122" s="169" t="s">
        <v>133</v>
      </c>
      <c r="S122" s="1" t="s">
        <v>2003</v>
      </c>
      <c r="T122" s="182">
        <v>0.4</v>
      </c>
      <c r="U122" s="169" t="s">
        <v>133</v>
      </c>
      <c r="V122" s="1" t="s">
        <v>2003</v>
      </c>
      <c r="W122" s="182">
        <v>0.4</v>
      </c>
      <c r="AH122" s="1" t="s">
        <v>2003</v>
      </c>
      <c r="AI122" s="1" t="s">
        <v>2003</v>
      </c>
      <c r="AJ122" s="1">
        <v>1</v>
      </c>
    </row>
    <row r="123" spans="1:36" ht="15.75" customHeight="1" x14ac:dyDescent="0.3">
      <c r="A123" s="205" t="e">
        <f t="shared" ref="A123:C123" si="238">IF($B$1="Solo",IF(L122="","",L122),IF($B$1="Duet",IF(O122="","",O122),IF($B$1="Mixed",IF(R122="","",R122),IF(U122="","",U122))))</f>
        <v>#N/A</v>
      </c>
      <c r="B123" s="182" t="e">
        <f t="shared" si="238"/>
        <v>#N/A</v>
      </c>
      <c r="C123" s="182" t="e">
        <f t="shared" si="238"/>
        <v>#N/A</v>
      </c>
      <c r="D123" s="182" t="e">
        <f t="shared" ref="D123:E123" si="239">IF($D$1="Team",IF(AD122="","",AD122),"")</f>
        <v>#N/A</v>
      </c>
      <c r="E123" s="182" t="e">
        <f t="shared" si="239"/>
        <v>#N/A</v>
      </c>
      <c r="J123" s="170"/>
      <c r="K123" s="170"/>
      <c r="L123" s="169" t="s">
        <v>133</v>
      </c>
      <c r="M123" s="1" t="s">
        <v>2004</v>
      </c>
      <c r="N123" s="182">
        <v>0.4</v>
      </c>
      <c r="O123" s="169" t="s">
        <v>133</v>
      </c>
      <c r="P123" s="1" t="s">
        <v>2004</v>
      </c>
      <c r="Q123" s="182">
        <v>0.4</v>
      </c>
      <c r="R123" s="169" t="s">
        <v>133</v>
      </c>
      <c r="S123" s="1" t="s">
        <v>2004</v>
      </c>
      <c r="T123" s="182">
        <v>0.4</v>
      </c>
      <c r="U123" s="169" t="s">
        <v>133</v>
      </c>
      <c r="V123" s="1" t="s">
        <v>2004</v>
      </c>
      <c r="W123" s="182">
        <v>0.4</v>
      </c>
      <c r="AH123" s="1" t="s">
        <v>2004</v>
      </c>
      <c r="AI123" s="1" t="s">
        <v>2004</v>
      </c>
      <c r="AJ123" s="1">
        <v>1</v>
      </c>
    </row>
    <row r="124" spans="1:36" ht="15.75" customHeight="1" x14ac:dyDescent="0.3">
      <c r="A124" s="205" t="e">
        <f t="shared" ref="A124:C124" si="240">IF($B$1="Solo",IF(L123="","",L123),IF($B$1="Duet",IF(O123="","",O123),IF($B$1="Mixed",IF(R123="","",R123),IF(U123="","",U123))))</f>
        <v>#N/A</v>
      </c>
      <c r="B124" s="182" t="e">
        <f t="shared" si="240"/>
        <v>#N/A</v>
      </c>
      <c r="C124" s="182" t="e">
        <f t="shared" si="240"/>
        <v>#N/A</v>
      </c>
      <c r="D124" s="182" t="e">
        <f t="shared" ref="D124:E124" si="241">IF($D$1="Team",IF(AD123="","",AD123),"")</f>
        <v>#N/A</v>
      </c>
      <c r="E124" s="182" t="e">
        <f t="shared" si="241"/>
        <v>#N/A</v>
      </c>
      <c r="J124" s="170"/>
      <c r="K124" s="170"/>
      <c r="L124" s="169" t="s">
        <v>133</v>
      </c>
      <c r="M124" s="1" t="s">
        <v>2005</v>
      </c>
      <c r="N124" s="182">
        <v>0.4</v>
      </c>
      <c r="O124" s="169" t="s">
        <v>133</v>
      </c>
      <c r="P124" s="1" t="s">
        <v>2005</v>
      </c>
      <c r="Q124" s="182">
        <v>0.4</v>
      </c>
      <c r="R124" s="169" t="s">
        <v>133</v>
      </c>
      <c r="S124" s="1" t="s">
        <v>2005</v>
      </c>
      <c r="T124" s="182">
        <v>0.4</v>
      </c>
      <c r="U124" s="169" t="s">
        <v>133</v>
      </c>
      <c r="V124" s="1" t="s">
        <v>2005</v>
      </c>
      <c r="W124" s="182">
        <v>0.4</v>
      </c>
      <c r="AH124" s="1" t="s">
        <v>2005</v>
      </c>
      <c r="AI124" s="1" t="s">
        <v>2005</v>
      </c>
      <c r="AJ124" s="1">
        <v>1</v>
      </c>
    </row>
    <row r="125" spans="1:36" ht="15.75" customHeight="1" x14ac:dyDescent="0.3">
      <c r="A125" s="205" t="e">
        <f t="shared" ref="A125:C125" si="242">IF($B$1="Solo",IF(L124="","",L124),IF($B$1="Duet",IF(O124="","",O124),IF($B$1="Mixed",IF(R124="","",R124),IF(U124="","",U124))))</f>
        <v>#N/A</v>
      </c>
      <c r="B125" s="182" t="e">
        <f t="shared" si="242"/>
        <v>#N/A</v>
      </c>
      <c r="C125" s="182" t="e">
        <f t="shared" si="242"/>
        <v>#N/A</v>
      </c>
      <c r="D125" s="182" t="e">
        <f t="shared" ref="D125:E125" si="243">IF($D$1="Team",IF(AD124="","",AD124),"")</f>
        <v>#N/A</v>
      </c>
      <c r="E125" s="182" t="e">
        <f t="shared" si="243"/>
        <v>#N/A</v>
      </c>
      <c r="J125" s="170"/>
      <c r="K125" s="170"/>
      <c r="L125" s="169" t="s">
        <v>133</v>
      </c>
      <c r="M125" s="1" t="s">
        <v>2006</v>
      </c>
      <c r="N125" s="182">
        <v>0.5</v>
      </c>
      <c r="O125" s="169" t="s">
        <v>133</v>
      </c>
      <c r="P125" s="1" t="s">
        <v>2006</v>
      </c>
      <c r="Q125" s="182">
        <v>0.5</v>
      </c>
      <c r="R125" s="169" t="s">
        <v>133</v>
      </c>
      <c r="S125" s="1" t="s">
        <v>2006</v>
      </c>
      <c r="T125" s="182">
        <v>0.5</v>
      </c>
      <c r="U125" s="169" t="s">
        <v>133</v>
      </c>
      <c r="V125" s="1" t="s">
        <v>2006</v>
      </c>
      <c r="W125" s="182">
        <v>0.5</v>
      </c>
      <c r="AH125" s="1" t="s">
        <v>2006</v>
      </c>
      <c r="AI125" s="1" t="s">
        <v>2006</v>
      </c>
      <c r="AJ125" s="1">
        <v>1</v>
      </c>
    </row>
    <row r="126" spans="1:36" ht="15.75" customHeight="1" x14ac:dyDescent="0.3">
      <c r="A126" s="205" t="e">
        <f t="shared" ref="A126:C126" si="244">IF($B$1="Solo",IF(L125="","",L125),IF($B$1="Duet",IF(O125="","",O125),IF($B$1="Mixed",IF(R125="","",R125),IF(U125="","",U125))))</f>
        <v>#N/A</v>
      </c>
      <c r="B126" s="182" t="e">
        <f t="shared" si="244"/>
        <v>#N/A</v>
      </c>
      <c r="C126" s="182" t="e">
        <f t="shared" si="244"/>
        <v>#N/A</v>
      </c>
      <c r="D126" s="182" t="e">
        <f t="shared" ref="D126:E126" si="245">IF($D$1="Team",IF(AD125="","",AD125),"")</f>
        <v>#N/A</v>
      </c>
      <c r="E126" s="182" t="e">
        <f t="shared" si="245"/>
        <v>#N/A</v>
      </c>
      <c r="J126" s="170"/>
      <c r="K126" s="170"/>
      <c r="L126" s="169" t="s">
        <v>133</v>
      </c>
      <c r="M126" s="1" t="s">
        <v>2007</v>
      </c>
      <c r="N126" s="182">
        <v>0.5</v>
      </c>
      <c r="O126" s="169" t="s">
        <v>133</v>
      </c>
      <c r="P126" s="1" t="s">
        <v>2007</v>
      </c>
      <c r="Q126" s="182">
        <v>0.5</v>
      </c>
      <c r="R126" s="169" t="s">
        <v>133</v>
      </c>
      <c r="S126" s="1" t="s">
        <v>2007</v>
      </c>
      <c r="T126" s="182">
        <v>0.5</v>
      </c>
      <c r="U126" s="169" t="s">
        <v>133</v>
      </c>
      <c r="V126" s="1" t="s">
        <v>2007</v>
      </c>
      <c r="W126" s="182">
        <v>0.5</v>
      </c>
      <c r="AH126" s="1" t="s">
        <v>2007</v>
      </c>
      <c r="AI126" s="1" t="s">
        <v>2007</v>
      </c>
      <c r="AJ126" s="1">
        <v>1</v>
      </c>
    </row>
    <row r="127" spans="1:36" ht="15.75" customHeight="1" x14ac:dyDescent="0.3">
      <c r="A127" s="205" t="e">
        <f t="shared" ref="A127:C127" si="246">IF($B$1="Solo",IF(L126="","",L126),IF($B$1="Duet",IF(O126="","",O126),IF($B$1="Mixed",IF(R126="","",R126),IF(U126="","",U126))))</f>
        <v>#N/A</v>
      </c>
      <c r="B127" s="182" t="e">
        <f t="shared" si="246"/>
        <v>#N/A</v>
      </c>
      <c r="C127" s="182" t="e">
        <f t="shared" si="246"/>
        <v>#N/A</v>
      </c>
      <c r="D127" s="182" t="e">
        <f t="shared" ref="D127:E127" si="247">IF($D$1="Team",IF(AD126="","",AD126),"")</f>
        <v>#N/A</v>
      </c>
      <c r="E127" s="182" t="e">
        <f t="shared" si="247"/>
        <v>#N/A</v>
      </c>
      <c r="J127" s="170"/>
      <c r="K127" s="170"/>
      <c r="L127" s="169" t="s">
        <v>133</v>
      </c>
      <c r="M127" s="1" t="s">
        <v>2008</v>
      </c>
      <c r="N127" s="182">
        <v>0.5</v>
      </c>
      <c r="O127" s="169" t="s">
        <v>133</v>
      </c>
      <c r="P127" s="1" t="s">
        <v>2008</v>
      </c>
      <c r="Q127" s="182">
        <v>0.5</v>
      </c>
      <c r="R127" s="169" t="s">
        <v>133</v>
      </c>
      <c r="S127" s="1" t="s">
        <v>2008</v>
      </c>
      <c r="T127" s="182">
        <v>0.5</v>
      </c>
      <c r="U127" s="169" t="s">
        <v>133</v>
      </c>
      <c r="V127" s="1" t="s">
        <v>2008</v>
      </c>
      <c r="W127" s="182">
        <v>0.5</v>
      </c>
      <c r="AH127" s="1" t="s">
        <v>2008</v>
      </c>
      <c r="AI127" s="1" t="s">
        <v>2008</v>
      </c>
      <c r="AJ127" s="1">
        <v>1</v>
      </c>
    </row>
    <row r="128" spans="1:36" ht="15.75" customHeight="1" x14ac:dyDescent="0.3">
      <c r="A128" s="205" t="e">
        <f t="shared" ref="A128:C128" si="248">IF($B$1="Solo",IF(L127="","",L127),IF($B$1="Duet",IF(O127="","",O127),IF($B$1="Mixed",IF(R127="","",R127),IF(U127="","",U127))))</f>
        <v>#N/A</v>
      </c>
      <c r="B128" s="182" t="e">
        <f t="shared" si="248"/>
        <v>#N/A</v>
      </c>
      <c r="C128" s="182" t="e">
        <f t="shared" si="248"/>
        <v>#N/A</v>
      </c>
      <c r="D128" s="182" t="e">
        <f t="shared" ref="D128:E128" si="249">IF($D$1="Team",IF(AD127="","",AD127),"")</f>
        <v>#N/A</v>
      </c>
      <c r="E128" s="182" t="e">
        <f t="shared" si="249"/>
        <v>#N/A</v>
      </c>
      <c r="J128" s="170"/>
      <c r="K128" s="170"/>
      <c r="L128" s="169" t="s">
        <v>133</v>
      </c>
      <c r="M128" s="1" t="s">
        <v>2009</v>
      </c>
      <c r="N128" s="182">
        <v>0.65</v>
      </c>
      <c r="O128" s="169" t="s">
        <v>133</v>
      </c>
      <c r="P128" s="1" t="s">
        <v>2009</v>
      </c>
      <c r="Q128" s="182">
        <v>0.65</v>
      </c>
      <c r="R128" s="169" t="s">
        <v>133</v>
      </c>
      <c r="S128" s="1" t="s">
        <v>2009</v>
      </c>
      <c r="T128" s="182">
        <v>0.65</v>
      </c>
      <c r="U128" s="169" t="s">
        <v>133</v>
      </c>
      <c r="V128" s="1" t="s">
        <v>2009</v>
      </c>
      <c r="W128" s="182">
        <v>0.65</v>
      </c>
      <c r="AH128" s="1" t="s">
        <v>2009</v>
      </c>
      <c r="AI128" s="1" t="s">
        <v>2009</v>
      </c>
      <c r="AJ128" s="1">
        <v>1</v>
      </c>
    </row>
    <row r="129" spans="1:36" ht="15.75" customHeight="1" x14ac:dyDescent="0.3">
      <c r="A129" s="205" t="e">
        <f t="shared" ref="A129:C129" si="250">IF($B$1="Solo",IF(L128="","",L128),IF($B$1="Duet",IF(O128="","",O128),IF($B$1="Mixed",IF(R128="","",R128),IF(U128="","",U128))))</f>
        <v>#N/A</v>
      </c>
      <c r="B129" s="182" t="e">
        <f t="shared" si="250"/>
        <v>#N/A</v>
      </c>
      <c r="C129" s="182" t="e">
        <f t="shared" si="250"/>
        <v>#N/A</v>
      </c>
      <c r="D129" s="182" t="e">
        <f t="shared" ref="D129:E129" si="251">IF($D$1="Team",IF(AD128="","",AD128),"")</f>
        <v>#N/A</v>
      </c>
      <c r="E129" s="182" t="e">
        <f t="shared" si="251"/>
        <v>#N/A</v>
      </c>
      <c r="J129" s="170"/>
      <c r="K129" s="170"/>
      <c r="L129" s="169" t="s">
        <v>133</v>
      </c>
      <c r="M129" s="1" t="s">
        <v>2010</v>
      </c>
      <c r="N129" s="182">
        <v>0.65</v>
      </c>
      <c r="O129" s="169" t="s">
        <v>133</v>
      </c>
      <c r="P129" s="1" t="s">
        <v>2010</v>
      </c>
      <c r="Q129" s="182">
        <v>0.65</v>
      </c>
      <c r="R129" s="169" t="s">
        <v>133</v>
      </c>
      <c r="S129" s="1" t="s">
        <v>2010</v>
      </c>
      <c r="T129" s="182">
        <v>0.65</v>
      </c>
      <c r="U129" s="169" t="s">
        <v>133</v>
      </c>
      <c r="V129" s="1" t="s">
        <v>2010</v>
      </c>
      <c r="W129" s="182">
        <v>0.65</v>
      </c>
      <c r="AH129" s="1" t="s">
        <v>2010</v>
      </c>
      <c r="AI129" s="1" t="s">
        <v>2010</v>
      </c>
      <c r="AJ129" s="1">
        <v>1</v>
      </c>
    </row>
    <row r="130" spans="1:36" ht="15.75" customHeight="1" x14ac:dyDescent="0.3">
      <c r="A130" s="205" t="e">
        <f t="shared" ref="A130:C130" si="252">IF($B$1="Solo",IF(L129="","",L129),IF($B$1="Duet",IF(O129="","",O129),IF($B$1="Mixed",IF(R129="","",R129),IF(U129="","",U129))))</f>
        <v>#N/A</v>
      </c>
      <c r="B130" s="182" t="e">
        <f t="shared" si="252"/>
        <v>#N/A</v>
      </c>
      <c r="C130" s="182" t="e">
        <f t="shared" si="252"/>
        <v>#N/A</v>
      </c>
      <c r="D130" s="182" t="e">
        <f t="shared" ref="D130:E130" si="253">IF($D$1="Team",IF(AD129="","",AD129),"")</f>
        <v>#N/A</v>
      </c>
      <c r="E130" s="182" t="e">
        <f t="shared" si="253"/>
        <v>#N/A</v>
      </c>
      <c r="J130" s="170"/>
      <c r="K130" s="170"/>
      <c r="L130" s="169" t="s">
        <v>133</v>
      </c>
      <c r="M130" s="1" t="s">
        <v>2011</v>
      </c>
      <c r="N130" s="182">
        <v>0.65</v>
      </c>
      <c r="O130" s="169" t="s">
        <v>133</v>
      </c>
      <c r="P130" s="1" t="s">
        <v>2011</v>
      </c>
      <c r="Q130" s="182">
        <v>0.65</v>
      </c>
      <c r="R130" s="169" t="s">
        <v>133</v>
      </c>
      <c r="S130" s="1" t="s">
        <v>2011</v>
      </c>
      <c r="T130" s="182">
        <v>0.65</v>
      </c>
      <c r="U130" s="169" t="s">
        <v>133</v>
      </c>
      <c r="V130" s="1" t="s">
        <v>2011</v>
      </c>
      <c r="W130" s="182">
        <v>0.65</v>
      </c>
      <c r="AH130" s="1" t="s">
        <v>2011</v>
      </c>
      <c r="AI130" s="1" t="s">
        <v>2011</v>
      </c>
      <c r="AJ130" s="1">
        <v>1</v>
      </c>
    </row>
    <row r="131" spans="1:36" ht="15.75" customHeight="1" x14ac:dyDescent="0.3">
      <c r="A131" s="205" t="e">
        <f t="shared" ref="A131:C131" si="254">IF($B$1="Solo",IF(L130="","",L130),IF($B$1="Duet",IF(O130="","",O130),IF($B$1="Mixed",IF(R130="","",R130),IF(U130="","",U130))))</f>
        <v>#N/A</v>
      </c>
      <c r="B131" s="182" t="e">
        <f t="shared" si="254"/>
        <v>#N/A</v>
      </c>
      <c r="C131" s="182" t="e">
        <f t="shared" si="254"/>
        <v>#N/A</v>
      </c>
      <c r="D131" s="182" t="e">
        <f t="shared" ref="D131:E131" si="255">IF($D$1="Team",IF(AD130="","",AD130),"")</f>
        <v>#N/A</v>
      </c>
      <c r="E131" s="182" t="e">
        <f t="shared" si="255"/>
        <v>#N/A</v>
      </c>
      <c r="J131" s="170"/>
      <c r="K131" s="170"/>
      <c r="L131" s="169" t="s">
        <v>133</v>
      </c>
      <c r="M131" s="1" t="s">
        <v>2012</v>
      </c>
      <c r="N131" s="182">
        <v>0.65</v>
      </c>
      <c r="O131" s="169" t="s">
        <v>133</v>
      </c>
      <c r="P131" s="1" t="s">
        <v>2012</v>
      </c>
      <c r="Q131" s="182">
        <v>0.65</v>
      </c>
      <c r="R131" s="169" t="s">
        <v>133</v>
      </c>
      <c r="S131" s="1" t="s">
        <v>2012</v>
      </c>
      <c r="T131" s="182">
        <v>0.65</v>
      </c>
      <c r="U131" s="169" t="s">
        <v>133</v>
      </c>
      <c r="V131" s="1" t="s">
        <v>2012</v>
      </c>
      <c r="W131" s="182">
        <v>0.65</v>
      </c>
      <c r="AH131" s="1" t="s">
        <v>2012</v>
      </c>
      <c r="AI131" s="1" t="s">
        <v>2012</v>
      </c>
      <c r="AJ131" s="1">
        <v>1</v>
      </c>
    </row>
    <row r="132" spans="1:36" ht="15.75" customHeight="1" x14ac:dyDescent="0.3">
      <c r="A132" s="205" t="e">
        <f t="shared" ref="A132:C132" si="256">IF($B$1="Solo",IF(L131="","",L131),IF($B$1="Duet",IF(O131="","",O131),IF($B$1="Mixed",IF(R131="","",R131),IF(U131="","",U131))))</f>
        <v>#N/A</v>
      </c>
      <c r="B132" s="182" t="e">
        <f t="shared" si="256"/>
        <v>#N/A</v>
      </c>
      <c r="C132" s="182" t="e">
        <f t="shared" si="256"/>
        <v>#N/A</v>
      </c>
      <c r="D132" s="182" t="e">
        <f t="shared" ref="D132:E132" si="257">IF($D$1="Team",IF(AD131="","",AD131),"")</f>
        <v>#N/A</v>
      </c>
      <c r="E132" s="182" t="e">
        <f t="shared" si="257"/>
        <v>#N/A</v>
      </c>
      <c r="J132" s="170"/>
      <c r="K132" s="170"/>
      <c r="L132" s="169" t="s">
        <v>133</v>
      </c>
      <c r="M132" s="1" t="s">
        <v>2013</v>
      </c>
      <c r="N132" s="182">
        <v>0.75</v>
      </c>
      <c r="O132" s="169" t="s">
        <v>133</v>
      </c>
      <c r="P132" s="1" t="s">
        <v>2013</v>
      </c>
      <c r="Q132" s="182">
        <v>0.75</v>
      </c>
      <c r="R132" s="169" t="s">
        <v>133</v>
      </c>
      <c r="S132" s="1" t="s">
        <v>2013</v>
      </c>
      <c r="T132" s="182">
        <v>0.75</v>
      </c>
      <c r="U132" s="169" t="s">
        <v>133</v>
      </c>
      <c r="V132" s="1" t="s">
        <v>2013</v>
      </c>
      <c r="W132" s="182">
        <v>0.75</v>
      </c>
      <c r="AH132" s="1" t="s">
        <v>2013</v>
      </c>
      <c r="AI132" s="1" t="s">
        <v>2013</v>
      </c>
      <c r="AJ132" s="1">
        <v>1</v>
      </c>
    </row>
    <row r="133" spans="1:36" ht="15.75" customHeight="1" x14ac:dyDescent="0.3">
      <c r="A133" s="205" t="e">
        <f t="shared" ref="A133:C133" si="258">IF($B$1="Solo",IF(L132="","",L132),IF($B$1="Duet",IF(O132="","",O132),IF($B$1="Mixed",IF(R132="","",R132),IF(U132="","",U132))))</f>
        <v>#N/A</v>
      </c>
      <c r="B133" s="182" t="e">
        <f t="shared" si="258"/>
        <v>#N/A</v>
      </c>
      <c r="C133" s="182" t="e">
        <f t="shared" si="258"/>
        <v>#N/A</v>
      </c>
      <c r="D133" s="182" t="e">
        <f t="shared" ref="D133:E133" si="259">IF($D$1="Team",IF(AD132="","",AD132),"")</f>
        <v>#N/A</v>
      </c>
      <c r="E133" s="182" t="e">
        <f t="shared" si="259"/>
        <v>#N/A</v>
      </c>
      <c r="J133" s="170"/>
      <c r="K133" s="170"/>
      <c r="L133" s="169" t="s">
        <v>133</v>
      </c>
      <c r="M133" s="1" t="s">
        <v>2014</v>
      </c>
      <c r="N133" s="182">
        <v>0.9</v>
      </c>
      <c r="O133" s="169" t="s">
        <v>133</v>
      </c>
      <c r="P133" s="1" t="s">
        <v>2014</v>
      </c>
      <c r="Q133" s="182">
        <v>0.9</v>
      </c>
      <c r="R133" s="169" t="s">
        <v>133</v>
      </c>
      <c r="S133" s="1" t="s">
        <v>2014</v>
      </c>
      <c r="T133" s="182">
        <v>0.9</v>
      </c>
      <c r="U133" s="169" t="s">
        <v>133</v>
      </c>
      <c r="V133" s="1" t="s">
        <v>2014</v>
      </c>
      <c r="W133" s="182">
        <v>0.9</v>
      </c>
      <c r="AH133" s="1" t="s">
        <v>2014</v>
      </c>
      <c r="AI133" s="1" t="s">
        <v>2014</v>
      </c>
      <c r="AJ133" s="1">
        <v>1</v>
      </c>
    </row>
    <row r="134" spans="1:36" ht="15.75" customHeight="1" x14ac:dyDescent="0.3">
      <c r="A134" s="205" t="e">
        <f t="shared" ref="A134:C134" si="260">IF($B$1="Solo",IF(L133="","",L133),IF($B$1="Duet",IF(O133="","",O133),IF($B$1="Mixed",IF(R133="","",R133),IF(U133="","",U133))))</f>
        <v>#N/A</v>
      </c>
      <c r="B134" s="182" t="e">
        <f t="shared" si="260"/>
        <v>#N/A</v>
      </c>
      <c r="C134" s="182" t="e">
        <f t="shared" si="260"/>
        <v>#N/A</v>
      </c>
      <c r="D134" s="182" t="e">
        <f t="shared" ref="D134:E134" si="261">IF($D$1="Team",IF(AD133="","",AD133),"")</f>
        <v>#N/A</v>
      </c>
      <c r="E134" s="182" t="e">
        <f t="shared" si="261"/>
        <v>#N/A</v>
      </c>
      <c r="J134" s="170"/>
      <c r="K134" s="170"/>
      <c r="L134" s="169" t="s">
        <v>133</v>
      </c>
      <c r="M134" s="1" t="s">
        <v>2015</v>
      </c>
      <c r="N134" s="182">
        <v>0.9</v>
      </c>
      <c r="O134" s="169" t="s">
        <v>133</v>
      </c>
      <c r="P134" s="1" t="s">
        <v>2015</v>
      </c>
      <c r="Q134" s="182">
        <v>0.9</v>
      </c>
      <c r="R134" s="169" t="s">
        <v>133</v>
      </c>
      <c r="S134" s="1" t="s">
        <v>2015</v>
      </c>
      <c r="T134" s="182">
        <v>0.9</v>
      </c>
      <c r="U134" s="169" t="s">
        <v>133</v>
      </c>
      <c r="V134" s="1" t="s">
        <v>2015</v>
      </c>
      <c r="W134" s="182">
        <v>0.9</v>
      </c>
      <c r="AH134" s="1" t="s">
        <v>2015</v>
      </c>
      <c r="AI134" s="1" t="s">
        <v>2015</v>
      </c>
      <c r="AJ134" s="1">
        <v>1</v>
      </c>
    </row>
    <row r="135" spans="1:36" ht="15.75" customHeight="1" x14ac:dyDescent="0.3">
      <c r="A135" s="205" t="e">
        <f t="shared" ref="A135:C135" si="262">IF($B$1="Solo",IF(L134="","",L134),IF($B$1="Duet",IF(O134="","",O134),IF($B$1="Mixed",IF(R134="","",R134),IF(U134="","",U134))))</f>
        <v>#N/A</v>
      </c>
      <c r="B135" s="182" t="e">
        <f t="shared" si="262"/>
        <v>#N/A</v>
      </c>
      <c r="C135" s="182" t="e">
        <f t="shared" si="262"/>
        <v>#N/A</v>
      </c>
      <c r="D135" s="182" t="e">
        <f t="shared" ref="D135:E135" si="263">IF($D$1="Team",IF(AD134="","",AD134),"")</f>
        <v>#N/A</v>
      </c>
      <c r="E135" s="182" t="e">
        <f t="shared" si="263"/>
        <v>#N/A</v>
      </c>
      <c r="J135" s="170"/>
      <c r="K135" s="170"/>
      <c r="L135" s="169" t="s">
        <v>133</v>
      </c>
      <c r="M135" s="1" t="s">
        <v>2016</v>
      </c>
      <c r="N135" s="182">
        <v>1</v>
      </c>
      <c r="O135" s="169" t="s">
        <v>133</v>
      </c>
      <c r="P135" s="1" t="s">
        <v>2016</v>
      </c>
      <c r="Q135" s="182">
        <v>1</v>
      </c>
      <c r="R135" s="169" t="s">
        <v>133</v>
      </c>
      <c r="S135" s="1" t="s">
        <v>2016</v>
      </c>
      <c r="T135" s="182">
        <v>1</v>
      </c>
      <c r="U135" s="169" t="s">
        <v>133</v>
      </c>
      <c r="V135" s="1" t="s">
        <v>2016</v>
      </c>
      <c r="W135" s="182">
        <v>1</v>
      </c>
      <c r="AH135" s="1" t="s">
        <v>2016</v>
      </c>
      <c r="AI135" s="1" t="s">
        <v>2016</v>
      </c>
      <c r="AJ135" s="1">
        <v>1</v>
      </c>
    </row>
    <row r="136" spans="1:36" ht="15.75" customHeight="1" x14ac:dyDescent="0.3">
      <c r="A136" s="205" t="e">
        <f t="shared" ref="A136:C136" si="264">IF($B$1="Solo",IF(L135="","",L135),IF($B$1="Duet",IF(O135="","",O135),IF($B$1="Mixed",IF(R135="","",R135),IF(U135="","",U135))))</f>
        <v>#N/A</v>
      </c>
      <c r="B136" s="182" t="e">
        <f t="shared" si="264"/>
        <v>#N/A</v>
      </c>
      <c r="C136" s="182" t="e">
        <f t="shared" si="264"/>
        <v>#N/A</v>
      </c>
      <c r="D136" s="182" t="e">
        <f t="shared" ref="D136:E136" si="265">IF($D$1="Team",IF(AD135="","",AD135),"")</f>
        <v>#N/A</v>
      </c>
      <c r="E136" s="182" t="e">
        <f t="shared" si="265"/>
        <v>#N/A</v>
      </c>
      <c r="J136" s="170"/>
      <c r="K136" s="170"/>
      <c r="L136" s="169" t="s">
        <v>133</v>
      </c>
      <c r="M136" s="1" t="s">
        <v>2017</v>
      </c>
      <c r="N136" s="182">
        <v>1.3</v>
      </c>
      <c r="O136" s="169" t="s">
        <v>133</v>
      </c>
      <c r="P136" s="1" t="s">
        <v>2017</v>
      </c>
      <c r="Q136" s="182">
        <v>1.3</v>
      </c>
      <c r="R136" s="169" t="s">
        <v>133</v>
      </c>
      <c r="S136" s="1" t="s">
        <v>2017</v>
      </c>
      <c r="T136" s="182">
        <v>1.3</v>
      </c>
      <c r="U136" s="169" t="s">
        <v>133</v>
      </c>
      <c r="V136" s="1" t="s">
        <v>2017</v>
      </c>
      <c r="W136" s="182">
        <v>1.3</v>
      </c>
      <c r="AH136" s="1" t="s">
        <v>2017</v>
      </c>
      <c r="AI136" s="1" t="s">
        <v>2017</v>
      </c>
      <c r="AJ136" s="1">
        <v>1</v>
      </c>
    </row>
    <row r="137" spans="1:36" ht="15.75" customHeight="1" x14ac:dyDescent="0.3">
      <c r="A137" s="205" t="e">
        <f t="shared" ref="A137:C137" si="266">IF($B$1="Solo",IF(L136="","",L136),IF($B$1="Duet",IF(O136="","",O136),IF($B$1="Mixed",IF(R136="","",R136),IF(U136="","",U136))))</f>
        <v>#N/A</v>
      </c>
      <c r="B137" s="182" t="e">
        <f t="shared" si="266"/>
        <v>#N/A</v>
      </c>
      <c r="C137" s="182" t="e">
        <f t="shared" si="266"/>
        <v>#N/A</v>
      </c>
      <c r="D137" s="182" t="e">
        <f t="shared" ref="D137:E137" si="267">IF($D$1="Team",IF(AD136="","",AD136),"")</f>
        <v>#N/A</v>
      </c>
      <c r="E137" s="182" t="e">
        <f t="shared" si="267"/>
        <v>#N/A</v>
      </c>
      <c r="J137" s="170"/>
      <c r="K137" s="170"/>
      <c r="N137" s="182"/>
      <c r="O137" s="169" t="s">
        <v>20</v>
      </c>
      <c r="P137" s="1" t="s">
        <v>1862</v>
      </c>
      <c r="Q137" s="182">
        <v>0.1</v>
      </c>
      <c r="R137" s="169" t="s">
        <v>20</v>
      </c>
      <c r="S137" s="1" t="s">
        <v>1862</v>
      </c>
      <c r="T137" s="182">
        <v>0.1</v>
      </c>
      <c r="U137" s="169" t="s">
        <v>20</v>
      </c>
      <c r="V137" s="1" t="s">
        <v>1862</v>
      </c>
      <c r="W137" s="182">
        <v>0.1</v>
      </c>
      <c r="AH137" s="1" t="s">
        <v>1862</v>
      </c>
      <c r="AI137" s="1" t="s">
        <v>1862</v>
      </c>
      <c r="AJ137" s="1">
        <v>1</v>
      </c>
    </row>
    <row r="138" spans="1:36" ht="15.75" customHeight="1" x14ac:dyDescent="0.3">
      <c r="A138" s="205" t="e">
        <f t="shared" ref="A138:C138" si="268">IF($B$1="Solo",IF(L137="","",L137),IF($B$1="Duet",IF(O137="","",O137),IF($B$1="Mixed",IF(R137="","",R137),IF(U137="","",U137))))</f>
        <v>#N/A</v>
      </c>
      <c r="B138" s="182" t="e">
        <f t="shared" si="268"/>
        <v>#N/A</v>
      </c>
      <c r="C138" s="182" t="e">
        <f t="shared" si="268"/>
        <v>#N/A</v>
      </c>
      <c r="D138" s="182" t="e">
        <f t="shared" ref="D138:E138" si="269">IF($D$1="Team",IF(AD137="","",AD137),"")</f>
        <v>#N/A</v>
      </c>
      <c r="E138" s="182" t="e">
        <f t="shared" si="269"/>
        <v>#N/A</v>
      </c>
      <c r="J138" s="170"/>
      <c r="K138" s="170"/>
      <c r="N138" s="182"/>
      <c r="O138" s="169" t="s">
        <v>20</v>
      </c>
      <c r="P138" s="1" t="s">
        <v>1864</v>
      </c>
      <c r="Q138" s="182">
        <v>0.2</v>
      </c>
      <c r="R138" s="169" t="s">
        <v>20</v>
      </c>
      <c r="S138" s="1" t="s">
        <v>1864</v>
      </c>
      <c r="T138" s="182">
        <v>0.2</v>
      </c>
      <c r="U138" s="169" t="s">
        <v>20</v>
      </c>
      <c r="V138" s="1" t="s">
        <v>2018</v>
      </c>
      <c r="W138" s="182">
        <v>0.2</v>
      </c>
      <c r="AH138" s="1" t="s">
        <v>2018</v>
      </c>
      <c r="AI138" s="1" t="s">
        <v>1862</v>
      </c>
      <c r="AJ138" s="1">
        <v>1</v>
      </c>
    </row>
    <row r="139" spans="1:36" ht="15.75" customHeight="1" x14ac:dyDescent="0.3">
      <c r="A139" s="205" t="e">
        <f t="shared" ref="A139:C139" si="270">IF($B$1="Solo",IF(L138="","",L138),IF($B$1="Duet",IF(O138="","",O138),IF($B$1="Mixed",IF(R138="","",R138),IF(U138="","",U138))))</f>
        <v>#N/A</v>
      </c>
      <c r="B139" s="182" t="e">
        <f t="shared" si="270"/>
        <v>#N/A</v>
      </c>
      <c r="C139" s="182" t="e">
        <f t="shared" si="270"/>
        <v>#N/A</v>
      </c>
      <c r="D139" s="182" t="e">
        <f t="shared" ref="D139:E139" si="271">IF($D$1="Team",IF(AD138="","",AD138),"")</f>
        <v>#N/A</v>
      </c>
      <c r="E139" s="182" t="e">
        <f t="shared" si="271"/>
        <v>#N/A</v>
      </c>
      <c r="J139" s="170"/>
      <c r="K139" s="170"/>
      <c r="N139" s="182"/>
      <c r="O139" s="169" t="s">
        <v>20</v>
      </c>
      <c r="P139" s="1" t="s">
        <v>1866</v>
      </c>
      <c r="Q139" s="182">
        <v>0.2</v>
      </c>
      <c r="R139" s="169" t="s">
        <v>20</v>
      </c>
      <c r="S139" s="1" t="s">
        <v>1866</v>
      </c>
      <c r="T139" s="182">
        <v>0.2</v>
      </c>
      <c r="U139" s="169" t="s">
        <v>20</v>
      </c>
      <c r="V139" s="1" t="s">
        <v>1864</v>
      </c>
      <c r="W139" s="182">
        <v>0.2</v>
      </c>
      <c r="AH139" s="1" t="s">
        <v>1864</v>
      </c>
      <c r="AI139" s="1" t="s">
        <v>1864</v>
      </c>
      <c r="AJ139" s="1">
        <v>1</v>
      </c>
    </row>
    <row r="140" spans="1:36" ht="15.75" customHeight="1" x14ac:dyDescent="0.3">
      <c r="A140" s="205" t="e">
        <f t="shared" ref="A140:C140" si="272">IF($B$1="Solo",IF(L139="","",L139),IF($B$1="Duet",IF(O139="","",O139),IF($B$1="Mixed",IF(R139="","",R139),IF(U139="","",U139))))</f>
        <v>#N/A</v>
      </c>
      <c r="B140" s="182" t="e">
        <f t="shared" si="272"/>
        <v>#N/A</v>
      </c>
      <c r="C140" s="182" t="e">
        <f t="shared" si="272"/>
        <v>#N/A</v>
      </c>
      <c r="D140" s="182" t="e">
        <f t="shared" ref="D140:E140" si="273">IF($D$1="Team",IF(AD139="","",AD139),"")</f>
        <v>#N/A</v>
      </c>
      <c r="E140" s="182" t="e">
        <f t="shared" si="273"/>
        <v>#N/A</v>
      </c>
      <c r="J140" s="170"/>
      <c r="K140" s="170"/>
      <c r="N140" s="182"/>
      <c r="O140" s="169" t="s">
        <v>20</v>
      </c>
      <c r="P140" s="1" t="s">
        <v>1868</v>
      </c>
      <c r="Q140" s="182">
        <v>0.3</v>
      </c>
      <c r="R140" s="169" t="s">
        <v>20</v>
      </c>
      <c r="S140" s="1" t="s">
        <v>1868</v>
      </c>
      <c r="T140" s="182">
        <v>0.3</v>
      </c>
      <c r="U140" s="169" t="s">
        <v>20</v>
      </c>
      <c r="V140" s="1" t="s">
        <v>2019</v>
      </c>
      <c r="W140" s="182">
        <v>0.3</v>
      </c>
      <c r="AH140" s="1" t="s">
        <v>2019</v>
      </c>
      <c r="AI140" s="1" t="s">
        <v>1864</v>
      </c>
      <c r="AJ140" s="1">
        <v>1</v>
      </c>
    </row>
    <row r="141" spans="1:36" ht="15.75" customHeight="1" x14ac:dyDescent="0.3">
      <c r="A141" s="205" t="e">
        <f t="shared" ref="A141:C141" si="274">IF($B$1="Solo",IF(L140="","",L140),IF($B$1="Duet",IF(O140="","",O140),IF($B$1="Mixed",IF(R140="","",R140),IF(U140="","",U140))))</f>
        <v>#N/A</v>
      </c>
      <c r="B141" s="182" t="e">
        <f t="shared" si="274"/>
        <v>#N/A</v>
      </c>
      <c r="C141" s="182" t="e">
        <f t="shared" si="274"/>
        <v>#N/A</v>
      </c>
      <c r="D141" s="182" t="e">
        <f t="shared" ref="D141:E141" si="275">IF($D$1="Team",IF(AD140="","",AD140),"")</f>
        <v>#N/A</v>
      </c>
      <c r="E141" s="182" t="e">
        <f t="shared" si="275"/>
        <v>#N/A</v>
      </c>
      <c r="J141" s="170"/>
      <c r="K141" s="170"/>
      <c r="N141" s="182"/>
      <c r="O141" s="169" t="s">
        <v>20</v>
      </c>
      <c r="P141" s="1" t="s">
        <v>1870</v>
      </c>
      <c r="Q141" s="182">
        <v>0.3</v>
      </c>
      <c r="R141" s="169" t="s">
        <v>20</v>
      </c>
      <c r="S141" s="1" t="s">
        <v>1870</v>
      </c>
      <c r="T141" s="182">
        <v>0.3</v>
      </c>
      <c r="U141" s="169" t="s">
        <v>20</v>
      </c>
      <c r="V141" s="1" t="s">
        <v>1866</v>
      </c>
      <c r="W141" s="182">
        <v>0.2</v>
      </c>
      <c r="AH141" s="1" t="s">
        <v>1866</v>
      </c>
      <c r="AI141" s="1" t="s">
        <v>1866</v>
      </c>
      <c r="AJ141" s="1">
        <v>1</v>
      </c>
    </row>
    <row r="142" spans="1:36" ht="15.75" customHeight="1" x14ac:dyDescent="0.3">
      <c r="A142" s="205" t="e">
        <f t="shared" ref="A142:C142" si="276">IF($B$1="Solo",IF(L141="","",L141),IF($B$1="Duet",IF(O141="","",O141),IF($B$1="Mixed",IF(R141="","",R141),IF(U141="","",U141))))</f>
        <v>#N/A</v>
      </c>
      <c r="B142" s="182" t="e">
        <f t="shared" si="276"/>
        <v>#N/A</v>
      </c>
      <c r="C142" s="182" t="e">
        <f t="shared" si="276"/>
        <v>#N/A</v>
      </c>
      <c r="D142" s="182" t="e">
        <f t="shared" ref="D142:E142" si="277">IF($D$1="Team",IF(AD141="","",AD141),"")</f>
        <v>#N/A</v>
      </c>
      <c r="E142" s="182" t="e">
        <f t="shared" si="277"/>
        <v>#N/A</v>
      </c>
      <c r="J142" s="170"/>
      <c r="K142" s="170"/>
      <c r="N142" s="182"/>
      <c r="O142" s="169" t="s">
        <v>20</v>
      </c>
      <c r="P142" s="1" t="s">
        <v>1872</v>
      </c>
      <c r="Q142" s="182">
        <v>0.3</v>
      </c>
      <c r="R142" s="169" t="s">
        <v>20</v>
      </c>
      <c r="S142" s="1" t="s">
        <v>1872</v>
      </c>
      <c r="T142" s="182">
        <v>0.3</v>
      </c>
      <c r="U142" s="169" t="s">
        <v>20</v>
      </c>
      <c r="V142" s="1" t="s">
        <v>2020</v>
      </c>
      <c r="W142" s="182">
        <v>0.3</v>
      </c>
      <c r="AH142" s="1" t="s">
        <v>2020</v>
      </c>
      <c r="AI142" s="1" t="s">
        <v>1866</v>
      </c>
      <c r="AJ142" s="1">
        <v>1</v>
      </c>
    </row>
    <row r="143" spans="1:36" ht="15.75" customHeight="1" x14ac:dyDescent="0.3">
      <c r="A143" s="205" t="e">
        <f t="shared" ref="A143:C143" si="278">IF($B$1="Solo",IF(L142="","",L142),IF($B$1="Duet",IF(O142="","",O142),IF($B$1="Mixed",IF(R142="","",R142),IF(U142="","",U142))))</f>
        <v>#N/A</v>
      </c>
      <c r="B143" s="182" t="e">
        <f t="shared" si="278"/>
        <v>#N/A</v>
      </c>
      <c r="C143" s="182" t="e">
        <f t="shared" si="278"/>
        <v>#N/A</v>
      </c>
      <c r="D143" s="182" t="e">
        <f t="shared" ref="D143:E143" si="279">IF($D$1="Team",IF(AD142="","",AD142),"")</f>
        <v>#N/A</v>
      </c>
      <c r="E143" s="182" t="e">
        <f t="shared" si="279"/>
        <v>#N/A</v>
      </c>
      <c r="J143" s="170"/>
      <c r="K143" s="170"/>
      <c r="N143" s="182"/>
      <c r="O143" s="169" t="s">
        <v>20</v>
      </c>
      <c r="P143" s="1" t="s">
        <v>1874</v>
      </c>
      <c r="Q143" s="182">
        <v>0.4</v>
      </c>
      <c r="R143" s="169" t="s">
        <v>20</v>
      </c>
      <c r="S143" s="1" t="s">
        <v>1874</v>
      </c>
      <c r="T143" s="182">
        <v>0.4</v>
      </c>
      <c r="U143" s="169" t="s">
        <v>20</v>
      </c>
      <c r="V143" s="1" t="s">
        <v>1868</v>
      </c>
      <c r="W143" s="182">
        <v>0.3</v>
      </c>
      <c r="AH143" s="1" t="s">
        <v>1868</v>
      </c>
      <c r="AI143" s="1" t="s">
        <v>1868</v>
      </c>
      <c r="AJ143" s="1">
        <v>1</v>
      </c>
    </row>
    <row r="144" spans="1:36" ht="15.75" customHeight="1" x14ac:dyDescent="0.3">
      <c r="A144" s="205" t="e">
        <f t="shared" ref="A144:C144" si="280">IF($B$1="Solo",IF(L143="","",L143),IF($B$1="Duet",IF(O143="","",O143),IF($B$1="Mixed",IF(R143="","",R143),IF(U143="","",U143))))</f>
        <v>#N/A</v>
      </c>
      <c r="B144" s="182" t="e">
        <f t="shared" si="280"/>
        <v>#N/A</v>
      </c>
      <c r="C144" s="182" t="e">
        <f t="shared" si="280"/>
        <v>#N/A</v>
      </c>
      <c r="D144" s="182" t="e">
        <f t="shared" ref="D144:E144" si="281">IF($D$1="Team",IF(AD143="","",AD143),"")</f>
        <v>#N/A</v>
      </c>
      <c r="E144" s="182" t="e">
        <f t="shared" si="281"/>
        <v>#N/A</v>
      </c>
      <c r="J144" s="170"/>
      <c r="K144" s="170"/>
      <c r="N144" s="182"/>
      <c r="O144" s="169" t="s">
        <v>20</v>
      </c>
      <c r="P144" s="1" t="s">
        <v>1876</v>
      </c>
      <c r="Q144" s="182">
        <v>0.5</v>
      </c>
      <c r="R144" s="169" t="s">
        <v>20</v>
      </c>
      <c r="S144" s="1" t="s">
        <v>1876</v>
      </c>
      <c r="T144" s="182">
        <v>0.5</v>
      </c>
      <c r="U144" s="169" t="s">
        <v>20</v>
      </c>
      <c r="V144" s="1" t="s">
        <v>2021</v>
      </c>
      <c r="W144" s="182">
        <v>0.4</v>
      </c>
      <c r="AH144" s="1" t="s">
        <v>2021</v>
      </c>
      <c r="AI144" s="1" t="s">
        <v>1868</v>
      </c>
      <c r="AJ144" s="1">
        <v>1</v>
      </c>
    </row>
    <row r="145" spans="1:36" ht="15.75" customHeight="1" x14ac:dyDescent="0.3">
      <c r="A145" s="205" t="e">
        <f t="shared" ref="A145:C145" si="282">IF($B$1="Solo",IF(L144="","",L144),IF($B$1="Duet",IF(O144="","",O144),IF($B$1="Mixed",IF(R144="","",R144),IF(U144="","",U144))))</f>
        <v>#N/A</v>
      </c>
      <c r="B145" s="182" t="e">
        <f t="shared" si="282"/>
        <v>#N/A</v>
      </c>
      <c r="C145" s="182" t="e">
        <f t="shared" si="282"/>
        <v>#N/A</v>
      </c>
      <c r="D145" s="182" t="e">
        <f t="shared" ref="D145:E145" si="283">IF($D$1="Team",IF(AD144="","",AD144),"")</f>
        <v>#N/A</v>
      </c>
      <c r="E145" s="182" t="e">
        <f t="shared" si="283"/>
        <v>#N/A</v>
      </c>
      <c r="J145" s="170"/>
      <c r="K145" s="170"/>
      <c r="N145" s="182"/>
      <c r="O145" s="169" t="s">
        <v>20</v>
      </c>
      <c r="P145" s="1" t="s">
        <v>1878</v>
      </c>
      <c r="Q145" s="182">
        <v>1</v>
      </c>
      <c r="R145" s="169" t="s">
        <v>20</v>
      </c>
      <c r="S145" s="1" t="s">
        <v>1878</v>
      </c>
      <c r="T145" s="182">
        <v>1</v>
      </c>
      <c r="U145" s="169" t="s">
        <v>20</v>
      </c>
      <c r="V145" s="1" t="s">
        <v>1870</v>
      </c>
      <c r="W145" s="182">
        <v>0.3</v>
      </c>
      <c r="AH145" s="1" t="s">
        <v>1870</v>
      </c>
      <c r="AI145" s="1" t="s">
        <v>1870</v>
      </c>
      <c r="AJ145" s="1">
        <v>1</v>
      </c>
    </row>
    <row r="146" spans="1:36" ht="15.75" customHeight="1" x14ac:dyDescent="0.3">
      <c r="A146" s="205" t="e">
        <f t="shared" ref="A146:C146" si="284">IF($B$1="Solo",IF(L145="","",L145),IF($B$1="Duet",IF(O145="","",O145),IF($B$1="Mixed",IF(R145="","",R145),IF(U145="","",U145))))</f>
        <v>#N/A</v>
      </c>
      <c r="B146" s="182" t="e">
        <f t="shared" si="284"/>
        <v>#N/A</v>
      </c>
      <c r="C146" s="182" t="e">
        <f t="shared" si="284"/>
        <v>#N/A</v>
      </c>
      <c r="D146" s="182" t="e">
        <f t="shared" ref="D146:E146" si="285">IF($D$1="Team",IF(AD145="","",AD145),"")</f>
        <v>#N/A</v>
      </c>
      <c r="E146" s="182" t="e">
        <f t="shared" si="285"/>
        <v>#N/A</v>
      </c>
      <c r="J146" s="170"/>
      <c r="K146" s="170"/>
      <c r="N146" s="182"/>
      <c r="O146" s="169" t="s">
        <v>20</v>
      </c>
      <c r="P146" s="1" t="s">
        <v>1880</v>
      </c>
      <c r="Q146" s="182">
        <v>1.25</v>
      </c>
      <c r="R146" s="169" t="s">
        <v>20</v>
      </c>
      <c r="S146" s="1" t="s">
        <v>1880</v>
      </c>
      <c r="T146" s="182">
        <v>1.25</v>
      </c>
      <c r="U146" s="169" t="s">
        <v>20</v>
      </c>
      <c r="V146" s="1" t="s">
        <v>2022</v>
      </c>
      <c r="W146" s="182">
        <v>0.4</v>
      </c>
      <c r="AH146" s="1" t="s">
        <v>2022</v>
      </c>
      <c r="AI146" s="1" t="s">
        <v>1870</v>
      </c>
      <c r="AJ146" s="1">
        <v>1</v>
      </c>
    </row>
    <row r="147" spans="1:36" ht="15.75" customHeight="1" x14ac:dyDescent="0.3">
      <c r="A147" s="205" t="e">
        <f t="shared" ref="A147:C147" si="286">IF($B$1="Solo",IF(L146="","",L146),IF($B$1="Duet",IF(O146="","",O146),IF($B$1="Mixed",IF(R146="","",R146),IF(U146="","",U146))))</f>
        <v>#N/A</v>
      </c>
      <c r="B147" s="182" t="e">
        <f t="shared" si="286"/>
        <v>#N/A</v>
      </c>
      <c r="C147" s="182" t="e">
        <f t="shared" si="286"/>
        <v>#N/A</v>
      </c>
      <c r="D147" s="182" t="e">
        <f t="shared" ref="D147:E147" si="287">IF($D$1="Team",IF(AD146="","",AD146),"")</f>
        <v>#N/A</v>
      </c>
      <c r="E147" s="182" t="e">
        <f t="shared" si="287"/>
        <v>#N/A</v>
      </c>
      <c r="J147" s="170"/>
      <c r="K147" s="170"/>
      <c r="N147" s="182"/>
      <c r="O147" s="169" t="s">
        <v>20</v>
      </c>
      <c r="P147" s="1" t="s">
        <v>1882</v>
      </c>
      <c r="Q147" s="182">
        <v>1.25</v>
      </c>
      <c r="R147" s="169" t="s">
        <v>20</v>
      </c>
      <c r="S147" s="1" t="s">
        <v>1882</v>
      </c>
      <c r="T147" s="182">
        <v>1.25</v>
      </c>
      <c r="U147" s="169" t="s">
        <v>20</v>
      </c>
      <c r="V147" s="1" t="s">
        <v>1872</v>
      </c>
      <c r="W147" s="182">
        <v>0.3</v>
      </c>
      <c r="AH147" s="1" t="s">
        <v>1872</v>
      </c>
      <c r="AI147" s="1" t="s">
        <v>1872</v>
      </c>
      <c r="AJ147" s="1">
        <v>1</v>
      </c>
    </row>
    <row r="148" spans="1:36" ht="15.75" customHeight="1" x14ac:dyDescent="0.3">
      <c r="A148" s="205" t="e">
        <f t="shared" ref="A148:C148" si="288">IF($B$1="Solo",IF(L147="","",L147),IF($B$1="Duet",IF(O147="","",O147),IF($B$1="Mixed",IF(R147="","",R147),IF(U147="","",U147))))</f>
        <v>#N/A</v>
      </c>
      <c r="B148" s="182" t="e">
        <f t="shared" si="288"/>
        <v>#N/A</v>
      </c>
      <c r="C148" s="182" t="e">
        <f t="shared" si="288"/>
        <v>#N/A</v>
      </c>
      <c r="D148" s="182" t="e">
        <f t="shared" ref="D148:E148" si="289">IF($D$1="Team",IF(AD147="","",AD147),"")</f>
        <v>#N/A</v>
      </c>
      <c r="E148" s="182" t="e">
        <f t="shared" si="289"/>
        <v>#N/A</v>
      </c>
      <c r="J148" s="170"/>
      <c r="K148" s="170"/>
      <c r="N148" s="182"/>
      <c r="O148" s="169" t="s">
        <v>20</v>
      </c>
      <c r="P148" s="1" t="s">
        <v>1884</v>
      </c>
      <c r="Q148" s="182">
        <v>1.5</v>
      </c>
      <c r="R148" s="169" t="s">
        <v>20</v>
      </c>
      <c r="S148" s="1" t="s">
        <v>1884</v>
      </c>
      <c r="T148" s="182">
        <v>1.5</v>
      </c>
      <c r="U148" s="169" t="s">
        <v>20</v>
      </c>
      <c r="V148" s="1" t="s">
        <v>2023</v>
      </c>
      <c r="W148" s="182">
        <v>0.4</v>
      </c>
      <c r="AH148" s="1" t="s">
        <v>2023</v>
      </c>
      <c r="AI148" s="1" t="s">
        <v>1872</v>
      </c>
      <c r="AJ148" s="1">
        <v>1</v>
      </c>
    </row>
    <row r="149" spans="1:36" ht="15.75" customHeight="1" x14ac:dyDescent="0.3">
      <c r="A149" s="205" t="e">
        <f t="shared" ref="A149:C149" si="290">IF($B$1="Solo",IF(L148="","",L148),IF($B$1="Duet",IF(O148="","",O148),IF($B$1="Mixed",IF(R148="","",R148),IF(U148="","",U148))))</f>
        <v>#N/A</v>
      </c>
      <c r="B149" s="182" t="e">
        <f t="shared" si="290"/>
        <v>#N/A</v>
      </c>
      <c r="C149" s="182" t="e">
        <f t="shared" si="290"/>
        <v>#N/A</v>
      </c>
      <c r="D149" s="182" t="e">
        <f t="shared" ref="D149:E149" si="291">IF($D$1="Team",IF(AD148="","",AD148),"")</f>
        <v>#N/A</v>
      </c>
      <c r="E149" s="182" t="e">
        <f t="shared" si="291"/>
        <v>#N/A</v>
      </c>
      <c r="J149" s="170"/>
      <c r="K149" s="170"/>
      <c r="N149" s="182"/>
      <c r="O149" s="169" t="s">
        <v>130</v>
      </c>
      <c r="P149" s="1" t="str">
        <f t="shared" ref="P149:P282" si="292">CONCATENATE(P3,"*0,5")</f>
        <v>TB*0,5</v>
      </c>
      <c r="Q149" s="182">
        <f t="shared" ref="Q149:Q282" si="293">Q3*0.5</f>
        <v>0.15</v>
      </c>
      <c r="R149" s="169" t="s">
        <v>130</v>
      </c>
      <c r="S149" s="1" t="str">
        <f t="shared" ref="S149:S282" si="294">CONCATENATE(S3,"*0,5")</f>
        <v>TB*0,5</v>
      </c>
      <c r="T149" s="182">
        <f t="shared" ref="T149:T282" si="295">T3*0.5</f>
        <v>0.15</v>
      </c>
      <c r="U149" s="169" t="s">
        <v>20</v>
      </c>
      <c r="V149" s="1" t="s">
        <v>1874</v>
      </c>
      <c r="W149" s="182">
        <v>0.4</v>
      </c>
      <c r="AH149" s="1" t="s">
        <v>1874</v>
      </c>
      <c r="AI149" s="1" t="s">
        <v>1874</v>
      </c>
      <c r="AJ149" s="1">
        <v>1</v>
      </c>
    </row>
    <row r="150" spans="1:36" ht="15.75" customHeight="1" x14ac:dyDescent="0.3">
      <c r="A150" s="205" t="e">
        <f t="shared" ref="A150:C150" si="296">IF($B$1="Solo",IF(L149="","",L149),IF($B$1="Duet",IF(O149="","",O149),IF($B$1="Mixed",IF(R149="","",R149),IF(U149="","",U149))))</f>
        <v>#N/A</v>
      </c>
      <c r="B150" s="182" t="e">
        <f t="shared" si="296"/>
        <v>#N/A</v>
      </c>
      <c r="C150" s="182" t="e">
        <f t="shared" si="296"/>
        <v>#N/A</v>
      </c>
      <c r="D150" s="182" t="e">
        <f t="shared" ref="D150:E150" si="297">IF($D$1="Team",IF(AD149="","",AD149),"")</f>
        <v>#N/A</v>
      </c>
      <c r="E150" s="182" t="e">
        <f t="shared" si="297"/>
        <v>#N/A</v>
      </c>
      <c r="J150" s="170"/>
      <c r="K150" s="170"/>
      <c r="N150" s="182"/>
      <c r="O150" s="169" t="s">
        <v>130</v>
      </c>
      <c r="P150" s="1" t="str">
        <f t="shared" si="292"/>
        <v>T1*0,5</v>
      </c>
      <c r="Q150" s="182">
        <f t="shared" si="293"/>
        <v>0.22500000000000001</v>
      </c>
      <c r="R150" s="169" t="s">
        <v>130</v>
      </c>
      <c r="S150" s="1" t="str">
        <f t="shared" si="294"/>
        <v>T1*0,5</v>
      </c>
      <c r="T150" s="182">
        <f t="shared" si="295"/>
        <v>0.22500000000000001</v>
      </c>
      <c r="U150" s="169" t="s">
        <v>20</v>
      </c>
      <c r="V150" s="1" t="s">
        <v>2024</v>
      </c>
      <c r="W150" s="182">
        <v>0.5</v>
      </c>
      <c r="AH150" s="1" t="s">
        <v>2024</v>
      </c>
      <c r="AI150" s="1" t="s">
        <v>1874</v>
      </c>
      <c r="AJ150" s="1">
        <v>1</v>
      </c>
    </row>
    <row r="151" spans="1:36" ht="15.75" customHeight="1" x14ac:dyDescent="0.3">
      <c r="A151" s="205" t="e">
        <f t="shared" ref="A151:C151" si="298">IF($B$1="Solo",IF(L150="","",L150),IF($B$1="Duet",IF(O150="","",O150),IF($B$1="Mixed",IF(R150="","",R150),IF(U150="","",U150))))</f>
        <v>#N/A</v>
      </c>
      <c r="B151" s="182" t="e">
        <f t="shared" si="298"/>
        <v>#N/A</v>
      </c>
      <c r="C151" s="182" t="e">
        <f t="shared" si="298"/>
        <v>#N/A</v>
      </c>
      <c r="D151" s="182" t="e">
        <f t="shared" ref="D151:E151" si="299">IF($D$1="Team",IF(AD150="","",AD150),"")</f>
        <v>#N/A</v>
      </c>
      <c r="E151" s="182" t="e">
        <f t="shared" si="299"/>
        <v>#N/A</v>
      </c>
      <c r="J151" s="170"/>
      <c r="K151" s="170"/>
      <c r="N151" s="182"/>
      <c r="O151" s="169" t="s">
        <v>130</v>
      </c>
      <c r="P151" s="1" t="str">
        <f t="shared" si="292"/>
        <v>T2a*0,5</v>
      </c>
      <c r="Q151" s="182">
        <f t="shared" si="293"/>
        <v>0.25</v>
      </c>
      <c r="R151" s="169" t="s">
        <v>130</v>
      </c>
      <c r="S151" s="1" t="str">
        <f t="shared" si="294"/>
        <v>T2a*0,5</v>
      </c>
      <c r="T151" s="182">
        <f t="shared" si="295"/>
        <v>0.25</v>
      </c>
      <c r="U151" s="169" t="s">
        <v>20</v>
      </c>
      <c r="V151" s="1" t="s">
        <v>1876</v>
      </c>
      <c r="W151" s="182">
        <v>0.5</v>
      </c>
      <c r="AH151" s="1" t="s">
        <v>1876</v>
      </c>
      <c r="AI151" s="1" t="s">
        <v>1876</v>
      </c>
      <c r="AJ151" s="1">
        <v>1</v>
      </c>
    </row>
    <row r="152" spans="1:36" ht="15.75" customHeight="1" x14ac:dyDescent="0.3">
      <c r="A152" s="205" t="e">
        <f t="shared" ref="A152:C152" si="300">IF($B$1="Solo",IF(L151="","",L151),IF($B$1="Duet",IF(O151="","",O151),IF($B$1="Mixed",IF(R151="","",R151),IF(U151="","",U151))))</f>
        <v>#N/A</v>
      </c>
      <c r="B152" s="182" t="e">
        <f t="shared" si="300"/>
        <v>#N/A</v>
      </c>
      <c r="C152" s="182" t="e">
        <f t="shared" si="300"/>
        <v>#N/A</v>
      </c>
      <c r="D152" s="182" t="e">
        <f t="shared" ref="D152:E152" si="301">IF($D$1="Team",IF(AD151="","",AD151),"")</f>
        <v>#N/A</v>
      </c>
      <c r="E152" s="182" t="e">
        <f t="shared" si="301"/>
        <v>#N/A</v>
      </c>
      <c r="J152" s="170"/>
      <c r="K152" s="170"/>
      <c r="N152" s="182"/>
      <c r="O152" s="169" t="s">
        <v>130</v>
      </c>
      <c r="P152" s="1" t="str">
        <f t="shared" si="292"/>
        <v>T2b*0,5</v>
      </c>
      <c r="Q152" s="182">
        <f t="shared" si="293"/>
        <v>0.25</v>
      </c>
      <c r="R152" s="169" t="s">
        <v>130</v>
      </c>
      <c r="S152" s="1" t="str">
        <f t="shared" si="294"/>
        <v>T2b*0,5</v>
      </c>
      <c r="T152" s="182">
        <f t="shared" si="295"/>
        <v>0.25</v>
      </c>
      <c r="U152" s="169" t="s">
        <v>20</v>
      </c>
      <c r="V152" s="1" t="s">
        <v>2025</v>
      </c>
      <c r="W152" s="182">
        <v>0.6</v>
      </c>
      <c r="AH152" s="1" t="s">
        <v>2025</v>
      </c>
      <c r="AI152" s="1" t="s">
        <v>1876</v>
      </c>
      <c r="AJ152" s="1">
        <v>1</v>
      </c>
    </row>
    <row r="153" spans="1:36" ht="15.75" customHeight="1" x14ac:dyDescent="0.3">
      <c r="A153" s="205" t="e">
        <f t="shared" ref="A153:C153" si="302">IF($B$1="Solo",IF(L152="","",L152),IF($B$1="Duet",IF(O152="","",O152),IF($B$1="Mixed",IF(R152="","",R152),IF(U152="","",U152))))</f>
        <v>#N/A</v>
      </c>
      <c r="B153" s="182" t="e">
        <f t="shared" si="302"/>
        <v>#N/A</v>
      </c>
      <c r="C153" s="182" t="e">
        <f t="shared" si="302"/>
        <v>#N/A</v>
      </c>
      <c r="D153" s="182" t="e">
        <f t="shared" ref="D153:E153" si="303">IF($D$1="Team",IF(AD152="","",AD152),"")</f>
        <v>#N/A</v>
      </c>
      <c r="E153" s="182" t="e">
        <f t="shared" si="303"/>
        <v>#N/A</v>
      </c>
      <c r="J153" s="170"/>
      <c r="K153" s="170"/>
      <c r="N153" s="182"/>
      <c r="O153" s="169" t="s">
        <v>130</v>
      </c>
      <c r="P153" s="1" t="str">
        <f t="shared" si="292"/>
        <v>T3a*0,5</v>
      </c>
      <c r="Q153" s="182">
        <f t="shared" si="293"/>
        <v>0.32500000000000001</v>
      </c>
      <c r="R153" s="169" t="s">
        <v>130</v>
      </c>
      <c r="S153" s="1" t="str">
        <f t="shared" si="294"/>
        <v>T3a*0,5</v>
      </c>
      <c r="T153" s="182">
        <f t="shared" si="295"/>
        <v>0.32500000000000001</v>
      </c>
      <c r="U153" s="169" t="s">
        <v>20</v>
      </c>
      <c r="V153" s="1" t="s">
        <v>1878</v>
      </c>
      <c r="W153" s="182">
        <v>1</v>
      </c>
      <c r="AH153" s="1" t="s">
        <v>1878</v>
      </c>
      <c r="AI153" s="1" t="s">
        <v>1878</v>
      </c>
      <c r="AJ153" s="1">
        <v>1</v>
      </c>
    </row>
    <row r="154" spans="1:36" ht="15.75" customHeight="1" x14ac:dyDescent="0.3">
      <c r="A154" s="205" t="e">
        <f t="shared" ref="A154:C154" si="304">IF($B$1="Solo",IF(L153="","",L153),IF($B$1="Duet",IF(O153="","",O153),IF($B$1="Mixed",IF(R153="","",R153),IF(U153="","",U153))))</f>
        <v>#N/A</v>
      </c>
      <c r="B154" s="182" t="e">
        <f t="shared" si="304"/>
        <v>#N/A</v>
      </c>
      <c r="C154" s="182" t="e">
        <f t="shared" si="304"/>
        <v>#N/A</v>
      </c>
      <c r="D154" s="182" t="e">
        <f t="shared" ref="D154:E154" si="305">IF($D$1="Team",IF(AD153="","",AD153),"")</f>
        <v>#N/A</v>
      </c>
      <c r="E154" s="182" t="e">
        <f t="shared" si="305"/>
        <v>#N/A</v>
      </c>
      <c r="J154" s="170"/>
      <c r="K154" s="170"/>
      <c r="N154" s="182"/>
      <c r="O154" s="169" t="s">
        <v>130</v>
      </c>
      <c r="P154" s="1" t="str">
        <f t="shared" si="292"/>
        <v>T3b*0,5</v>
      </c>
      <c r="Q154" s="182">
        <f t="shared" si="293"/>
        <v>0.32500000000000001</v>
      </c>
      <c r="R154" s="169" t="s">
        <v>130</v>
      </c>
      <c r="S154" s="1" t="str">
        <f t="shared" si="294"/>
        <v>T3b*0,5</v>
      </c>
      <c r="T154" s="182">
        <f t="shared" si="295"/>
        <v>0.32500000000000001</v>
      </c>
      <c r="U154" s="169" t="s">
        <v>20</v>
      </c>
      <c r="V154" s="1" t="s">
        <v>2026</v>
      </c>
      <c r="W154" s="182">
        <v>1.1000000000000001</v>
      </c>
      <c r="AH154" s="1" t="s">
        <v>2026</v>
      </c>
      <c r="AI154" s="1" t="s">
        <v>1878</v>
      </c>
      <c r="AJ154" s="1">
        <v>1</v>
      </c>
    </row>
    <row r="155" spans="1:36" ht="15.75" customHeight="1" x14ac:dyDescent="0.3">
      <c r="A155" s="205" t="e">
        <f t="shared" ref="A155:C155" si="306">IF($B$1="Solo",IF(L154="","",L154),IF($B$1="Duet",IF(O154="","",O154),IF($B$1="Mixed",IF(R154="","",R154),IF(U154="","",U154))))</f>
        <v>#N/A</v>
      </c>
      <c r="B155" s="182" t="e">
        <f t="shared" si="306"/>
        <v>#N/A</v>
      </c>
      <c r="C155" s="182" t="e">
        <f t="shared" si="306"/>
        <v>#N/A</v>
      </c>
      <c r="D155" s="182" t="e">
        <f t="shared" ref="D155:E155" si="307">IF($D$1="Team",IF(AD154="","",AD154),"")</f>
        <v>#N/A</v>
      </c>
      <c r="E155" s="182" t="e">
        <f t="shared" si="307"/>
        <v>#N/A</v>
      </c>
      <c r="J155" s="170"/>
      <c r="K155" s="170"/>
      <c r="N155" s="182"/>
      <c r="O155" s="169" t="s">
        <v>130</v>
      </c>
      <c r="P155" s="1" t="str">
        <f t="shared" si="292"/>
        <v>T3c*0,5</v>
      </c>
      <c r="Q155" s="182">
        <f t="shared" si="293"/>
        <v>0.32500000000000001</v>
      </c>
      <c r="R155" s="169" t="s">
        <v>130</v>
      </c>
      <c r="S155" s="1" t="str">
        <f t="shared" si="294"/>
        <v>T3c*0,5</v>
      </c>
      <c r="T155" s="182">
        <f t="shared" si="295"/>
        <v>0.32500000000000001</v>
      </c>
      <c r="U155" s="169" t="s">
        <v>20</v>
      </c>
      <c r="V155" s="1" t="s">
        <v>1880</v>
      </c>
      <c r="W155" s="182">
        <v>1.25</v>
      </c>
      <c r="AH155" s="1" t="s">
        <v>1880</v>
      </c>
      <c r="AI155" s="1" t="s">
        <v>1880</v>
      </c>
      <c r="AJ155" s="1">
        <v>1</v>
      </c>
    </row>
    <row r="156" spans="1:36" ht="15.75" customHeight="1" x14ac:dyDescent="0.3">
      <c r="A156" s="205" t="e">
        <f t="shared" ref="A156:C156" si="308">IF($B$1="Solo",IF(L155="","",L155),IF($B$1="Duet",IF(O155="","",O155),IF($B$1="Mixed",IF(R155="","",R155),IF(U155="","",U155))))</f>
        <v>#N/A</v>
      </c>
      <c r="B156" s="182" t="e">
        <f t="shared" si="308"/>
        <v>#N/A</v>
      </c>
      <c r="C156" s="182" t="e">
        <f t="shared" si="308"/>
        <v>#N/A</v>
      </c>
      <c r="D156" s="182" t="e">
        <f t="shared" ref="D156:E156" si="309">IF($D$1="Team",IF(AD155="","",AD155),"")</f>
        <v>#N/A</v>
      </c>
      <c r="E156" s="182" t="e">
        <f t="shared" si="309"/>
        <v>#N/A</v>
      </c>
      <c r="J156" s="170"/>
      <c r="K156" s="170"/>
      <c r="N156" s="182"/>
      <c r="O156" s="169" t="s">
        <v>130</v>
      </c>
      <c r="P156" s="1" t="str">
        <f t="shared" si="292"/>
        <v>T3d*0,5</v>
      </c>
      <c r="Q156" s="182">
        <f t="shared" si="293"/>
        <v>0.32500000000000001</v>
      </c>
      <c r="R156" s="169" t="s">
        <v>130</v>
      </c>
      <c r="S156" s="1" t="str">
        <f t="shared" si="294"/>
        <v>T3d*0,5</v>
      </c>
      <c r="T156" s="182">
        <f t="shared" si="295"/>
        <v>0.32500000000000001</v>
      </c>
      <c r="U156" s="169" t="s">
        <v>20</v>
      </c>
      <c r="V156" s="1" t="s">
        <v>2027</v>
      </c>
      <c r="W156" s="182">
        <v>1.35</v>
      </c>
      <c r="AH156" s="1" t="s">
        <v>2027</v>
      </c>
      <c r="AI156" s="1" t="s">
        <v>1880</v>
      </c>
      <c r="AJ156" s="1">
        <v>1</v>
      </c>
    </row>
    <row r="157" spans="1:36" ht="15.75" customHeight="1" x14ac:dyDescent="0.3">
      <c r="A157" s="205" t="e">
        <f t="shared" ref="A157:C157" si="310">IF($B$1="Solo",IF(L156="","",L156),IF($B$1="Duet",IF(O156="","",O156),IF($B$1="Mixed",IF(R156="","",R156),IF(U156="","",U156))))</f>
        <v>#N/A</v>
      </c>
      <c r="B157" s="182" t="e">
        <f t="shared" si="310"/>
        <v>#N/A</v>
      </c>
      <c r="C157" s="182" t="e">
        <f t="shared" si="310"/>
        <v>#N/A</v>
      </c>
      <c r="D157" s="182" t="e">
        <f t="shared" ref="D157:E157" si="311">IF($D$1="Team",IF(AD156="","",AD156),"")</f>
        <v>#N/A</v>
      </c>
      <c r="E157" s="182" t="e">
        <f t="shared" si="311"/>
        <v>#N/A</v>
      </c>
      <c r="J157" s="170"/>
      <c r="K157" s="170"/>
      <c r="N157" s="182"/>
      <c r="O157" s="169" t="s">
        <v>130</v>
      </c>
      <c r="P157" s="1" t="str">
        <f t="shared" si="292"/>
        <v>T4a*0,5</v>
      </c>
      <c r="Q157" s="182">
        <f t="shared" si="293"/>
        <v>0.4</v>
      </c>
      <c r="R157" s="169" t="s">
        <v>130</v>
      </c>
      <c r="S157" s="1" t="str">
        <f t="shared" si="294"/>
        <v>T4a*0,5</v>
      </c>
      <c r="T157" s="182">
        <f t="shared" si="295"/>
        <v>0.4</v>
      </c>
      <c r="U157" s="169" t="s">
        <v>20</v>
      </c>
      <c r="V157" s="1" t="s">
        <v>1882</v>
      </c>
      <c r="W157" s="182">
        <v>1.25</v>
      </c>
      <c r="AH157" s="1" t="s">
        <v>1882</v>
      </c>
      <c r="AI157" s="1" t="s">
        <v>1882</v>
      </c>
      <c r="AJ157" s="1">
        <v>1</v>
      </c>
    </row>
    <row r="158" spans="1:36" ht="15.75" customHeight="1" x14ac:dyDescent="0.3">
      <c r="A158" s="205" t="e">
        <f t="shared" ref="A158:C158" si="312">IF($B$1="Solo",IF(L157="","",L157),IF($B$1="Duet",IF(O157="","",O157),IF($B$1="Mixed",IF(R157="","",R157),IF(U157="","",U157))))</f>
        <v>#N/A</v>
      </c>
      <c r="B158" s="182" t="e">
        <f t="shared" si="312"/>
        <v>#N/A</v>
      </c>
      <c r="C158" s="182" t="e">
        <f t="shared" si="312"/>
        <v>#N/A</v>
      </c>
      <c r="D158" s="182" t="e">
        <f t="shared" ref="D158:E158" si="313">IF($D$1="Team",IF(AD157="","",AD157),"")</f>
        <v>#N/A</v>
      </c>
      <c r="E158" s="182" t="e">
        <f t="shared" si="313"/>
        <v>#N/A</v>
      </c>
      <c r="J158" s="170"/>
      <c r="K158" s="170"/>
      <c r="N158" s="182"/>
      <c r="O158" s="169" t="s">
        <v>130</v>
      </c>
      <c r="P158" s="1" t="str">
        <f t="shared" si="292"/>
        <v>T4b*0,5</v>
      </c>
      <c r="Q158" s="182">
        <f t="shared" si="293"/>
        <v>0.4</v>
      </c>
      <c r="R158" s="169" t="s">
        <v>130</v>
      </c>
      <c r="S158" s="1" t="str">
        <f t="shared" si="294"/>
        <v>T4b*0,5</v>
      </c>
      <c r="T158" s="182">
        <f t="shared" si="295"/>
        <v>0.4</v>
      </c>
      <c r="U158" s="169" t="s">
        <v>20</v>
      </c>
      <c r="V158" s="1" t="s">
        <v>2028</v>
      </c>
      <c r="W158" s="182">
        <v>1.35</v>
      </c>
      <c r="AH158" s="1" t="s">
        <v>2028</v>
      </c>
      <c r="AI158" s="1" t="s">
        <v>1882</v>
      </c>
      <c r="AJ158" s="1">
        <v>1</v>
      </c>
    </row>
    <row r="159" spans="1:36" ht="15.75" customHeight="1" x14ac:dyDescent="0.3">
      <c r="A159" s="205" t="e">
        <f t="shared" ref="A159:C159" si="314">IF($B$1="Solo",IF(L158="","",L158),IF($B$1="Duet",IF(O158="","",O158),IF($B$1="Mixed",IF(R158="","",R158),IF(U158="","",U158))))</f>
        <v>#N/A</v>
      </c>
      <c r="B159" s="182" t="e">
        <f t="shared" si="314"/>
        <v>#N/A</v>
      </c>
      <c r="C159" s="182" t="e">
        <f t="shared" si="314"/>
        <v>#N/A</v>
      </c>
      <c r="D159" s="182" t="e">
        <f t="shared" ref="D159:E159" si="315">IF($D$1="Team",IF(AD158="","",AD158),"")</f>
        <v>#N/A</v>
      </c>
      <c r="E159" s="182" t="e">
        <f t="shared" si="315"/>
        <v>#N/A</v>
      </c>
      <c r="J159" s="170"/>
      <c r="K159" s="170"/>
      <c r="N159" s="182"/>
      <c r="O159" s="169" t="s">
        <v>130</v>
      </c>
      <c r="P159" s="1" t="str">
        <f t="shared" si="292"/>
        <v>T4c*0,5</v>
      </c>
      <c r="Q159" s="182">
        <f t="shared" si="293"/>
        <v>0.4</v>
      </c>
      <c r="R159" s="169" t="s">
        <v>130</v>
      </c>
      <c r="S159" s="1" t="str">
        <f t="shared" si="294"/>
        <v>T4c*0,5</v>
      </c>
      <c r="T159" s="182">
        <f t="shared" si="295"/>
        <v>0.4</v>
      </c>
      <c r="U159" s="169" t="s">
        <v>20</v>
      </c>
      <c r="V159" s="1" t="s">
        <v>1884</v>
      </c>
      <c r="W159" s="182">
        <v>1.5</v>
      </c>
      <c r="AH159" s="1" t="s">
        <v>1884</v>
      </c>
      <c r="AI159" s="1" t="s">
        <v>1884</v>
      </c>
      <c r="AJ159" s="1">
        <v>1</v>
      </c>
    </row>
    <row r="160" spans="1:36" ht="15.75" customHeight="1" x14ac:dyDescent="0.3">
      <c r="A160" s="205" t="e">
        <f t="shared" ref="A160:C160" si="316">IF($B$1="Solo",IF(L159="","",L159),IF($B$1="Duet",IF(O159="","",O159),IF($B$1="Mixed",IF(R159="","",R159),IF(U159="","",U159))))</f>
        <v>#N/A</v>
      </c>
      <c r="B160" s="182" t="e">
        <f t="shared" si="316"/>
        <v>#N/A</v>
      </c>
      <c r="C160" s="182" t="e">
        <f t="shared" si="316"/>
        <v>#N/A</v>
      </c>
      <c r="D160" s="182" t="e">
        <f t="shared" ref="D160:E160" si="317">IF($D$1="Team",IF(AD159="","",AD159),"")</f>
        <v>#N/A</v>
      </c>
      <c r="E160" s="182" t="e">
        <f t="shared" si="317"/>
        <v>#N/A</v>
      </c>
      <c r="J160" s="170"/>
      <c r="K160" s="170"/>
      <c r="N160" s="182"/>
      <c r="O160" s="169" t="s">
        <v>130</v>
      </c>
      <c r="P160" s="1" t="str">
        <f t="shared" si="292"/>
        <v>T4d*0,5</v>
      </c>
      <c r="Q160" s="182">
        <f t="shared" si="293"/>
        <v>0.4</v>
      </c>
      <c r="R160" s="169" t="s">
        <v>130</v>
      </c>
      <c r="S160" s="1" t="str">
        <f t="shared" si="294"/>
        <v>T4d*0,5</v>
      </c>
      <c r="T160" s="182">
        <f t="shared" si="295"/>
        <v>0.4</v>
      </c>
      <c r="U160" s="169" t="s">
        <v>20</v>
      </c>
      <c r="V160" s="1" t="s">
        <v>2029</v>
      </c>
      <c r="W160" s="182">
        <v>1.6</v>
      </c>
      <c r="AH160" s="1" t="s">
        <v>2029</v>
      </c>
      <c r="AI160" s="1" t="s">
        <v>1884</v>
      </c>
      <c r="AJ160" s="1">
        <v>1</v>
      </c>
    </row>
    <row r="161" spans="1:36" ht="15.75" customHeight="1" x14ac:dyDescent="0.3">
      <c r="A161" s="205" t="e">
        <f t="shared" ref="A161:C161" si="318">IF($B$1="Solo",IF(L160="","",L160),IF($B$1="Duet",IF(O160="","",O160),IF($B$1="Mixed",IF(R160="","",R160),IF(U160="","",U160))))</f>
        <v>#N/A</v>
      </c>
      <c r="B161" s="182" t="e">
        <f t="shared" si="318"/>
        <v>#N/A</v>
      </c>
      <c r="C161" s="182" t="e">
        <f t="shared" si="318"/>
        <v>#N/A</v>
      </c>
      <c r="D161" s="182" t="e">
        <f t="shared" ref="D161:E161" si="319">IF($D$1="Team",IF(AD160="","",AD160),"")</f>
        <v>#N/A</v>
      </c>
      <c r="E161" s="182" t="e">
        <f t="shared" si="319"/>
        <v>#N/A</v>
      </c>
      <c r="J161" s="170"/>
      <c r="K161" s="170"/>
      <c r="N161" s="182"/>
      <c r="O161" s="169" t="s">
        <v>130</v>
      </c>
      <c r="P161" s="1" t="str">
        <f t="shared" si="292"/>
        <v>T4e*0,5</v>
      </c>
      <c r="Q161" s="182">
        <f t="shared" si="293"/>
        <v>0.4</v>
      </c>
      <c r="R161" s="169" t="s">
        <v>130</v>
      </c>
      <c r="S161" s="1" t="str">
        <f t="shared" si="294"/>
        <v>T4e*0,5</v>
      </c>
      <c r="T161" s="182">
        <f t="shared" si="295"/>
        <v>0.4</v>
      </c>
      <c r="U161" s="169" t="s">
        <v>130</v>
      </c>
      <c r="V161" s="1" t="str">
        <f t="shared" ref="V161:V294" si="320">CONCATENATE(V3,"*0,5")</f>
        <v>TB*0,5</v>
      </c>
      <c r="W161" s="182">
        <f t="shared" ref="W161:W294" si="321">W3*0.5</f>
        <v>0.15</v>
      </c>
      <c r="AH161" s="1" t="s">
        <v>1886</v>
      </c>
      <c r="AI161" s="1" t="s">
        <v>1822</v>
      </c>
      <c r="AJ161" s="1">
        <v>0.5</v>
      </c>
    </row>
    <row r="162" spans="1:36" ht="15.75" customHeight="1" x14ac:dyDescent="0.3">
      <c r="A162" s="205" t="e">
        <f t="shared" ref="A162:C162" si="322">IF($B$1="Solo",IF(L161="","",L161),IF($B$1="Duet",IF(O161="","",O161),IF($B$1="Mixed",IF(R161="","",R161),IF(U161="","",U161))))</f>
        <v>#N/A</v>
      </c>
      <c r="B162" s="182" t="e">
        <f t="shared" si="322"/>
        <v>#N/A</v>
      </c>
      <c r="C162" s="182" t="e">
        <f t="shared" si="322"/>
        <v>#N/A</v>
      </c>
      <c r="D162" s="182" t="e">
        <f t="shared" ref="D162:E162" si="323">IF($D$1="Team",IF(AD161="","",AD161),"")</f>
        <v>#N/A</v>
      </c>
      <c r="E162" s="182" t="e">
        <f t="shared" si="323"/>
        <v>#N/A</v>
      </c>
      <c r="J162" s="170"/>
      <c r="K162" s="170"/>
      <c r="N162" s="182"/>
      <c r="O162" s="169" t="s">
        <v>130</v>
      </c>
      <c r="P162" s="1" t="str">
        <f t="shared" si="292"/>
        <v>T5a*0,5</v>
      </c>
      <c r="Q162" s="182">
        <f t="shared" si="293"/>
        <v>0.45</v>
      </c>
      <c r="R162" s="169" t="s">
        <v>130</v>
      </c>
      <c r="S162" s="1" t="str">
        <f t="shared" si="294"/>
        <v>T5a*0,5</v>
      </c>
      <c r="T162" s="182">
        <f t="shared" si="295"/>
        <v>0.45</v>
      </c>
      <c r="U162" s="169" t="s">
        <v>130</v>
      </c>
      <c r="V162" s="1" t="str">
        <f t="shared" si="320"/>
        <v>T1*0,5</v>
      </c>
      <c r="W162" s="182">
        <f t="shared" si="321"/>
        <v>0.22500000000000001</v>
      </c>
      <c r="AH162" s="1" t="s">
        <v>1888</v>
      </c>
      <c r="AI162" s="1" t="s">
        <v>1374</v>
      </c>
      <c r="AJ162" s="1">
        <v>0.5</v>
      </c>
    </row>
    <row r="163" spans="1:36" ht="15.75" customHeight="1" x14ac:dyDescent="0.3">
      <c r="A163" s="205" t="e">
        <f t="shared" ref="A163:C163" si="324">IF($B$1="Solo",IF(L162="","",L162),IF($B$1="Duet",IF(O162="","",O162),IF($B$1="Mixed",IF(R162="","",R162),IF(U162="","",U162))))</f>
        <v>#N/A</v>
      </c>
      <c r="B163" s="182" t="e">
        <f t="shared" si="324"/>
        <v>#N/A</v>
      </c>
      <c r="C163" s="182" t="e">
        <f t="shared" si="324"/>
        <v>#N/A</v>
      </c>
      <c r="D163" s="182" t="e">
        <f t="shared" ref="D163:E163" si="325">IF($D$1="Team",IF(AD162="","",AD162),"")</f>
        <v>#N/A</v>
      </c>
      <c r="E163" s="182" t="e">
        <f t="shared" si="325"/>
        <v>#N/A</v>
      </c>
      <c r="J163" s="170"/>
      <c r="K163" s="170"/>
      <c r="N163" s="182"/>
      <c r="O163" s="169" t="s">
        <v>130</v>
      </c>
      <c r="P163" s="1" t="str">
        <f t="shared" si="292"/>
        <v>T5b*0,5</v>
      </c>
      <c r="Q163" s="182">
        <f t="shared" si="293"/>
        <v>0.45</v>
      </c>
      <c r="R163" s="169" t="s">
        <v>130</v>
      </c>
      <c r="S163" s="1" t="str">
        <f t="shared" si="294"/>
        <v>T5b*0,5</v>
      </c>
      <c r="T163" s="182">
        <f t="shared" si="295"/>
        <v>0.45</v>
      </c>
      <c r="U163" s="169" t="s">
        <v>130</v>
      </c>
      <c r="V163" s="1" t="str">
        <f t="shared" si="320"/>
        <v>T2a*0,5</v>
      </c>
      <c r="W163" s="182">
        <f t="shared" si="321"/>
        <v>0.25</v>
      </c>
      <c r="AH163" s="1" t="s">
        <v>1890</v>
      </c>
      <c r="AI163" s="1" t="s">
        <v>1825</v>
      </c>
      <c r="AJ163" s="1">
        <v>0.5</v>
      </c>
    </row>
    <row r="164" spans="1:36" ht="15.75" customHeight="1" x14ac:dyDescent="0.3">
      <c r="A164" s="205" t="e">
        <f t="shared" ref="A164:C164" si="326">IF($B$1="Solo",IF(L163="","",L163),IF($B$1="Duet",IF(O163="","",O163),IF($B$1="Mixed",IF(R163="","",R163),IF(U163="","",U163))))</f>
        <v>#N/A</v>
      </c>
      <c r="B164" s="182" t="e">
        <f t="shared" si="326"/>
        <v>#N/A</v>
      </c>
      <c r="C164" s="182" t="e">
        <f t="shared" si="326"/>
        <v>#N/A</v>
      </c>
      <c r="D164" s="182" t="e">
        <f t="shared" ref="D164:E164" si="327">IF($D$1="Team",IF(AD163="","",AD163),"")</f>
        <v>#N/A</v>
      </c>
      <c r="E164" s="182" t="e">
        <f t="shared" si="327"/>
        <v>#N/A</v>
      </c>
      <c r="J164" s="170"/>
      <c r="K164" s="170"/>
      <c r="N164" s="182"/>
      <c r="O164" s="169" t="s">
        <v>130</v>
      </c>
      <c r="P164" s="1" t="str">
        <f t="shared" si="292"/>
        <v>T5c*0,5</v>
      </c>
      <c r="Q164" s="182">
        <f t="shared" si="293"/>
        <v>0.45</v>
      </c>
      <c r="R164" s="169" t="s">
        <v>130</v>
      </c>
      <c r="S164" s="1" t="str">
        <f t="shared" si="294"/>
        <v>T5c*0,5</v>
      </c>
      <c r="T164" s="182">
        <f t="shared" si="295"/>
        <v>0.45</v>
      </c>
      <c r="U164" s="169" t="s">
        <v>130</v>
      </c>
      <c r="V164" s="1" t="str">
        <f t="shared" si="320"/>
        <v>T2b*0,5</v>
      </c>
      <c r="W164" s="182">
        <f t="shared" si="321"/>
        <v>0.25</v>
      </c>
      <c r="AH164" s="1" t="s">
        <v>1892</v>
      </c>
      <c r="AI164" s="1" t="s">
        <v>1827</v>
      </c>
      <c r="AJ164" s="1">
        <v>0.5</v>
      </c>
    </row>
    <row r="165" spans="1:36" ht="15.75" customHeight="1" x14ac:dyDescent="0.3">
      <c r="A165" s="205" t="e">
        <f t="shared" ref="A165:C165" si="328">IF($B$1="Solo",IF(L164="","",L164),IF($B$1="Duet",IF(O164="","",O164),IF($B$1="Mixed",IF(R164="","",R164),IF(U164="","",U164))))</f>
        <v>#N/A</v>
      </c>
      <c r="B165" s="182" t="e">
        <f t="shared" si="328"/>
        <v>#N/A</v>
      </c>
      <c r="C165" s="182" t="e">
        <f t="shared" si="328"/>
        <v>#N/A</v>
      </c>
      <c r="D165" s="182" t="e">
        <f t="shared" ref="D165:E165" si="329">IF($D$1="Team",IF(AD164="","",AD164),"")</f>
        <v>#N/A</v>
      </c>
      <c r="E165" s="182" t="e">
        <f t="shared" si="329"/>
        <v>#N/A</v>
      </c>
      <c r="J165" s="170"/>
      <c r="K165" s="170"/>
      <c r="N165" s="182"/>
      <c r="O165" s="169" t="s">
        <v>130</v>
      </c>
      <c r="P165" s="1" t="str">
        <f t="shared" si="292"/>
        <v>T5d*0,5</v>
      </c>
      <c r="Q165" s="182">
        <f t="shared" si="293"/>
        <v>0.45</v>
      </c>
      <c r="R165" s="169" t="s">
        <v>130</v>
      </c>
      <c r="S165" s="1" t="str">
        <f t="shared" si="294"/>
        <v>T5d*0,5</v>
      </c>
      <c r="T165" s="182">
        <f t="shared" si="295"/>
        <v>0.45</v>
      </c>
      <c r="U165" s="169" t="s">
        <v>130</v>
      </c>
      <c r="V165" s="1" t="str">
        <f t="shared" si="320"/>
        <v>T3a*0,5</v>
      </c>
      <c r="W165" s="182">
        <f t="shared" si="321"/>
        <v>0.32500000000000001</v>
      </c>
      <c r="AH165" s="1" t="s">
        <v>1894</v>
      </c>
      <c r="AI165" s="1" t="s">
        <v>1829</v>
      </c>
      <c r="AJ165" s="1">
        <v>0.5</v>
      </c>
    </row>
    <row r="166" spans="1:36" ht="15.75" customHeight="1" x14ac:dyDescent="0.3">
      <c r="A166" s="205" t="e">
        <f t="shared" ref="A166:C166" si="330">IF($B$1="Solo",IF(L165="","",L165),IF($B$1="Duet",IF(O165="","",O165),IF($B$1="Mixed",IF(R165="","",R165),IF(U165="","",U165))))</f>
        <v>#N/A</v>
      </c>
      <c r="B166" s="182" t="e">
        <f t="shared" si="330"/>
        <v>#N/A</v>
      </c>
      <c r="C166" s="182" t="e">
        <f t="shared" si="330"/>
        <v>#N/A</v>
      </c>
      <c r="D166" s="182" t="e">
        <f t="shared" ref="D166:E166" si="331">IF($D$1="Team",IF(AD165="","",AD165),"")</f>
        <v>#N/A</v>
      </c>
      <c r="E166" s="182" t="e">
        <f t="shared" si="331"/>
        <v>#N/A</v>
      </c>
      <c r="J166" s="170"/>
      <c r="K166" s="170"/>
      <c r="N166" s="182"/>
      <c r="O166" s="169" t="s">
        <v>130</v>
      </c>
      <c r="P166" s="1" t="str">
        <f t="shared" si="292"/>
        <v>T5e*0,5</v>
      </c>
      <c r="Q166" s="182">
        <f t="shared" si="293"/>
        <v>0.45</v>
      </c>
      <c r="R166" s="169" t="s">
        <v>130</v>
      </c>
      <c r="S166" s="1" t="str">
        <f t="shared" si="294"/>
        <v>T5e*0,5</v>
      </c>
      <c r="T166" s="182">
        <f t="shared" si="295"/>
        <v>0.45</v>
      </c>
      <c r="U166" s="169" t="s">
        <v>130</v>
      </c>
      <c r="V166" s="1" t="str">
        <f t="shared" si="320"/>
        <v>T3b*0,5</v>
      </c>
      <c r="W166" s="182">
        <f t="shared" si="321"/>
        <v>0.32500000000000001</v>
      </c>
      <c r="AH166" s="1" t="s">
        <v>1896</v>
      </c>
      <c r="AI166" s="1" t="s">
        <v>1831</v>
      </c>
      <c r="AJ166" s="1">
        <v>0.5</v>
      </c>
    </row>
    <row r="167" spans="1:36" ht="15.75" customHeight="1" x14ac:dyDescent="0.3">
      <c r="A167" s="205" t="e">
        <f t="shared" ref="A167:C167" si="332">IF($B$1="Solo",IF(L166="","",L166),IF($B$1="Duet",IF(O166="","",O166),IF($B$1="Mixed",IF(R166="","",R166),IF(U166="","",U166))))</f>
        <v>#N/A</v>
      </c>
      <c r="B167" s="182" t="e">
        <f t="shared" si="332"/>
        <v>#N/A</v>
      </c>
      <c r="C167" s="182" t="e">
        <f t="shared" si="332"/>
        <v>#N/A</v>
      </c>
      <c r="D167" s="182" t="e">
        <f t="shared" ref="D167:E167" si="333">IF($D$1="Team",IF(AD166="","",AD166),"")</f>
        <v>#N/A</v>
      </c>
      <c r="E167" s="182" t="e">
        <f t="shared" si="333"/>
        <v>#N/A</v>
      </c>
      <c r="J167" s="170"/>
      <c r="K167" s="170"/>
      <c r="N167" s="182"/>
      <c r="O167" s="169" t="s">
        <v>130</v>
      </c>
      <c r="P167" s="1" t="str">
        <f t="shared" si="292"/>
        <v>T6a*0,5</v>
      </c>
      <c r="Q167" s="182">
        <f t="shared" si="293"/>
        <v>0.55000000000000004</v>
      </c>
      <c r="R167" s="169" t="s">
        <v>130</v>
      </c>
      <c r="S167" s="1" t="str">
        <f t="shared" si="294"/>
        <v>T6a*0,5</v>
      </c>
      <c r="T167" s="182">
        <f t="shared" si="295"/>
        <v>0.55000000000000004</v>
      </c>
      <c r="U167" s="169" t="s">
        <v>130</v>
      </c>
      <c r="V167" s="1" t="str">
        <f t="shared" si="320"/>
        <v>T3c*0,5</v>
      </c>
      <c r="W167" s="182">
        <f t="shared" si="321"/>
        <v>0.32500000000000001</v>
      </c>
      <c r="AH167" s="1" t="s">
        <v>1898</v>
      </c>
      <c r="AI167" s="1" t="s">
        <v>1833</v>
      </c>
      <c r="AJ167" s="1">
        <v>0.5</v>
      </c>
    </row>
    <row r="168" spans="1:36" ht="15.75" customHeight="1" x14ac:dyDescent="0.3">
      <c r="A168" s="205" t="e">
        <f t="shared" ref="A168:C168" si="334">IF($B$1="Solo",IF(L167="","",L167),IF($B$1="Duet",IF(O167="","",O167),IF($B$1="Mixed",IF(R167="","",R167),IF(U167="","",U167))))</f>
        <v>#N/A</v>
      </c>
      <c r="B168" s="182" t="e">
        <f t="shared" si="334"/>
        <v>#N/A</v>
      </c>
      <c r="C168" s="182" t="e">
        <f t="shared" si="334"/>
        <v>#N/A</v>
      </c>
      <c r="D168" s="182" t="e">
        <f t="shared" ref="D168:E168" si="335">IF($D$1="Team",IF(AD167="","",AD167),"")</f>
        <v>#N/A</v>
      </c>
      <c r="E168" s="182" t="e">
        <f t="shared" si="335"/>
        <v>#N/A</v>
      </c>
      <c r="J168" s="170"/>
      <c r="K168" s="170"/>
      <c r="N168" s="182"/>
      <c r="O168" s="169" t="s">
        <v>130</v>
      </c>
      <c r="P168" s="1" t="str">
        <f t="shared" si="292"/>
        <v>T6b*0,5</v>
      </c>
      <c r="Q168" s="182">
        <f t="shared" si="293"/>
        <v>0.55000000000000004</v>
      </c>
      <c r="R168" s="169" t="s">
        <v>130</v>
      </c>
      <c r="S168" s="1" t="str">
        <f t="shared" si="294"/>
        <v>T6b*0,5</v>
      </c>
      <c r="T168" s="182">
        <f t="shared" si="295"/>
        <v>0.55000000000000004</v>
      </c>
      <c r="U168" s="169" t="s">
        <v>130</v>
      </c>
      <c r="V168" s="1" t="str">
        <f t="shared" si="320"/>
        <v>T3d*0,5</v>
      </c>
      <c r="W168" s="182">
        <f t="shared" si="321"/>
        <v>0.32500000000000001</v>
      </c>
      <c r="AH168" s="1" t="s">
        <v>1900</v>
      </c>
      <c r="AI168" s="1" t="s">
        <v>1835</v>
      </c>
      <c r="AJ168" s="1">
        <v>0.5</v>
      </c>
    </row>
    <row r="169" spans="1:36" ht="15.75" customHeight="1" x14ac:dyDescent="0.3">
      <c r="A169" s="205" t="e">
        <f t="shared" ref="A169:C169" si="336">IF($B$1="Solo",IF(L168="","",L168),IF($B$1="Duet",IF(O168="","",O168),IF($B$1="Mixed",IF(R168="","",R168),IF(U168="","",U168))))</f>
        <v>#N/A</v>
      </c>
      <c r="B169" s="182" t="e">
        <f t="shared" si="336"/>
        <v>#N/A</v>
      </c>
      <c r="C169" s="182" t="e">
        <f t="shared" si="336"/>
        <v>#N/A</v>
      </c>
      <c r="D169" s="182" t="e">
        <f t="shared" ref="D169:E169" si="337">IF($D$1="Team",IF(AD168="","",AD168),"")</f>
        <v>#N/A</v>
      </c>
      <c r="E169" s="182" t="e">
        <f t="shared" si="337"/>
        <v>#N/A</v>
      </c>
      <c r="J169" s="170"/>
      <c r="K169" s="170"/>
      <c r="N169" s="182"/>
      <c r="O169" s="169" t="s">
        <v>130</v>
      </c>
      <c r="P169" s="1" t="str">
        <f t="shared" si="292"/>
        <v>T6c*0,5</v>
      </c>
      <c r="Q169" s="182">
        <f t="shared" si="293"/>
        <v>0.55000000000000004</v>
      </c>
      <c r="R169" s="169" t="s">
        <v>130</v>
      </c>
      <c r="S169" s="1" t="str">
        <f t="shared" si="294"/>
        <v>T6c*0,5</v>
      </c>
      <c r="T169" s="182">
        <f t="shared" si="295"/>
        <v>0.55000000000000004</v>
      </c>
      <c r="U169" s="169" t="s">
        <v>130</v>
      </c>
      <c r="V169" s="1" t="str">
        <f t="shared" si="320"/>
        <v>T4a*0,5</v>
      </c>
      <c r="W169" s="182">
        <f t="shared" si="321"/>
        <v>0.4</v>
      </c>
      <c r="AH169" s="1" t="s">
        <v>1902</v>
      </c>
      <c r="AI169" s="1" t="s">
        <v>1837</v>
      </c>
      <c r="AJ169" s="1">
        <v>0.5</v>
      </c>
    </row>
    <row r="170" spans="1:36" ht="15.75" customHeight="1" x14ac:dyDescent="0.3">
      <c r="A170" s="205" t="e">
        <f t="shared" ref="A170:C170" si="338">IF($B$1="Solo",IF(L169="","",L169),IF($B$1="Duet",IF(O169="","",O169),IF($B$1="Mixed",IF(R169="","",R169),IF(U169="","",U169))))</f>
        <v>#N/A</v>
      </c>
      <c r="B170" s="182" t="e">
        <f t="shared" si="338"/>
        <v>#N/A</v>
      </c>
      <c r="C170" s="182" t="e">
        <f t="shared" si="338"/>
        <v>#N/A</v>
      </c>
      <c r="D170" s="182" t="e">
        <f t="shared" ref="D170:E170" si="339">IF($D$1="Team",IF(AD169="","",AD169),"")</f>
        <v>#N/A</v>
      </c>
      <c r="E170" s="182" t="e">
        <f t="shared" si="339"/>
        <v>#N/A</v>
      </c>
      <c r="J170" s="170"/>
      <c r="K170" s="170"/>
      <c r="N170" s="182"/>
      <c r="O170" s="169" t="s">
        <v>130</v>
      </c>
      <c r="P170" s="1" t="str">
        <f t="shared" si="292"/>
        <v>T7*0,5</v>
      </c>
      <c r="Q170" s="182">
        <f t="shared" si="293"/>
        <v>0.75</v>
      </c>
      <c r="R170" s="169" t="s">
        <v>130</v>
      </c>
      <c r="S170" s="1" t="str">
        <f t="shared" si="294"/>
        <v>T7*0,5</v>
      </c>
      <c r="T170" s="182">
        <f t="shared" si="295"/>
        <v>0.75</v>
      </c>
      <c r="U170" s="169" t="s">
        <v>130</v>
      </c>
      <c r="V170" s="1" t="str">
        <f t="shared" si="320"/>
        <v>T4b*0,5</v>
      </c>
      <c r="W170" s="182">
        <f t="shared" si="321"/>
        <v>0.4</v>
      </c>
      <c r="AH170" s="1" t="s">
        <v>1904</v>
      </c>
      <c r="AI170" s="1" t="s">
        <v>1839</v>
      </c>
      <c r="AJ170" s="1">
        <v>0.5</v>
      </c>
    </row>
    <row r="171" spans="1:36" ht="15.75" customHeight="1" x14ac:dyDescent="0.3">
      <c r="A171" s="205" t="e">
        <f t="shared" ref="A171:C171" si="340">IF($B$1="Solo",IF(L170="","",L170),IF($B$1="Duet",IF(O170="","",O170),IF($B$1="Mixed",IF(R170="","",R170),IF(U170="","",U170))))</f>
        <v>#N/A</v>
      </c>
      <c r="B171" s="182" t="e">
        <f t="shared" si="340"/>
        <v>#N/A</v>
      </c>
      <c r="C171" s="182" t="e">
        <f t="shared" si="340"/>
        <v>#N/A</v>
      </c>
      <c r="D171" s="182" t="e">
        <f t="shared" ref="D171:E171" si="341">IF($D$1="Team",IF(AD170="","",AD170),"")</f>
        <v>#N/A</v>
      </c>
      <c r="E171" s="182" t="e">
        <f t="shared" si="341"/>
        <v>#N/A</v>
      </c>
      <c r="J171" s="170"/>
      <c r="K171" s="170"/>
      <c r="N171" s="182"/>
      <c r="O171" s="169" t="s">
        <v>130</v>
      </c>
      <c r="P171" s="1" t="str">
        <f t="shared" si="292"/>
        <v>T8*0,5</v>
      </c>
      <c r="Q171" s="182">
        <f t="shared" si="293"/>
        <v>0.85</v>
      </c>
      <c r="R171" s="169" t="s">
        <v>130</v>
      </c>
      <c r="S171" s="1" t="str">
        <f t="shared" si="294"/>
        <v>T8*0,5</v>
      </c>
      <c r="T171" s="182">
        <f t="shared" si="295"/>
        <v>0.85</v>
      </c>
      <c r="U171" s="169" t="s">
        <v>130</v>
      </c>
      <c r="V171" s="1" t="str">
        <f t="shared" si="320"/>
        <v>T4c*0,5</v>
      </c>
      <c r="W171" s="182">
        <f t="shared" si="321"/>
        <v>0.4</v>
      </c>
      <c r="AH171" s="1" t="s">
        <v>1906</v>
      </c>
      <c r="AI171" s="1" t="s">
        <v>1841</v>
      </c>
      <c r="AJ171" s="1">
        <v>0.5</v>
      </c>
    </row>
    <row r="172" spans="1:36" ht="15.75" customHeight="1" x14ac:dyDescent="0.3">
      <c r="A172" s="205" t="e">
        <f t="shared" ref="A172:C172" si="342">IF($B$1="Solo",IF(L171="","",L171),IF($B$1="Duet",IF(O171="","",O171),IF($B$1="Mixed",IF(R171="","",R171),IF(U171="","",U171))))</f>
        <v>#N/A</v>
      </c>
      <c r="B172" s="182" t="e">
        <f t="shared" si="342"/>
        <v>#N/A</v>
      </c>
      <c r="C172" s="182" t="e">
        <f t="shared" si="342"/>
        <v>#N/A</v>
      </c>
      <c r="D172" s="182" t="e">
        <f t="shared" ref="D172:E172" si="343">IF($D$1="Team",IF(AD171="","",AD171),"")</f>
        <v>#N/A</v>
      </c>
      <c r="E172" s="182" t="e">
        <f t="shared" si="343"/>
        <v>#N/A</v>
      </c>
      <c r="J172" s="170"/>
      <c r="K172" s="170"/>
      <c r="N172" s="182"/>
      <c r="O172" s="169" t="s">
        <v>130</v>
      </c>
      <c r="P172" s="1" t="str">
        <f t="shared" si="292"/>
        <v>T9a*0,5</v>
      </c>
      <c r="Q172" s="182">
        <f t="shared" si="293"/>
        <v>1</v>
      </c>
      <c r="R172" s="169" t="s">
        <v>130</v>
      </c>
      <c r="S172" s="1" t="str">
        <f t="shared" si="294"/>
        <v>T9a*0,5</v>
      </c>
      <c r="T172" s="182">
        <f t="shared" si="295"/>
        <v>1</v>
      </c>
      <c r="U172" s="169" t="s">
        <v>130</v>
      </c>
      <c r="V172" s="1" t="str">
        <f t="shared" si="320"/>
        <v>T4d*0,5</v>
      </c>
      <c r="W172" s="182">
        <f t="shared" si="321"/>
        <v>0.4</v>
      </c>
      <c r="AH172" s="1" t="s">
        <v>1908</v>
      </c>
      <c r="AI172" s="1" t="s">
        <v>1843</v>
      </c>
      <c r="AJ172" s="1">
        <v>0.5</v>
      </c>
    </row>
    <row r="173" spans="1:36" ht="15.75" customHeight="1" x14ac:dyDescent="0.3">
      <c r="A173" s="205" t="e">
        <f t="shared" ref="A173:C173" si="344">IF($B$1="Solo",IF(L172="","",L172),IF($B$1="Duet",IF(O172="","",O172),IF($B$1="Mixed",IF(R172="","",R172),IF(U172="","",U172))))</f>
        <v>#N/A</v>
      </c>
      <c r="B173" s="182" t="e">
        <f t="shared" si="344"/>
        <v>#N/A</v>
      </c>
      <c r="C173" s="182" t="e">
        <f t="shared" si="344"/>
        <v>#N/A</v>
      </c>
      <c r="D173" s="182" t="e">
        <f t="shared" ref="D173:E173" si="345">IF($D$1="Team",IF(AD172="","",AD172),"")</f>
        <v>#N/A</v>
      </c>
      <c r="E173" s="182" t="e">
        <f t="shared" si="345"/>
        <v>#N/A</v>
      </c>
      <c r="J173" s="170"/>
      <c r="K173" s="170"/>
      <c r="N173" s="182"/>
      <c r="O173" s="169" t="s">
        <v>130</v>
      </c>
      <c r="P173" s="1" t="str">
        <f t="shared" si="292"/>
        <v>T9b*0,5</v>
      </c>
      <c r="Q173" s="182">
        <f t="shared" si="293"/>
        <v>1</v>
      </c>
      <c r="R173" s="169" t="s">
        <v>130</v>
      </c>
      <c r="S173" s="1" t="str">
        <f t="shared" si="294"/>
        <v>T9b*0,5</v>
      </c>
      <c r="T173" s="182">
        <f t="shared" si="295"/>
        <v>1</v>
      </c>
      <c r="U173" s="169" t="s">
        <v>130</v>
      </c>
      <c r="V173" s="1" t="str">
        <f t="shared" si="320"/>
        <v>T4e*0,5</v>
      </c>
      <c r="W173" s="182">
        <f t="shared" si="321"/>
        <v>0.4</v>
      </c>
      <c r="AH173" s="1" t="s">
        <v>1910</v>
      </c>
      <c r="AI173" s="1" t="s">
        <v>1845</v>
      </c>
      <c r="AJ173" s="1">
        <v>0.5</v>
      </c>
    </row>
    <row r="174" spans="1:36" ht="15.75" customHeight="1" x14ac:dyDescent="0.3">
      <c r="A174" s="205" t="e">
        <f t="shared" ref="A174:C174" si="346">IF($B$1="Solo",IF(L173="","",L173),IF($B$1="Duet",IF(O173="","",O173),IF($B$1="Mixed",IF(R173="","",R173),IF(U173="","",U173))))</f>
        <v>#N/A</v>
      </c>
      <c r="B174" s="182" t="e">
        <f t="shared" si="346"/>
        <v>#N/A</v>
      </c>
      <c r="C174" s="182" t="e">
        <f t="shared" si="346"/>
        <v>#N/A</v>
      </c>
      <c r="D174" s="182" t="e">
        <f t="shared" ref="D174:E174" si="347">IF($D$1="Team",IF(AD173="","",AD173),"")</f>
        <v>#N/A</v>
      </c>
      <c r="E174" s="182" t="e">
        <f t="shared" si="347"/>
        <v>#N/A</v>
      </c>
      <c r="J174" s="170"/>
      <c r="K174" s="170"/>
      <c r="N174" s="182"/>
      <c r="O174" s="169" t="s">
        <v>131</v>
      </c>
      <c r="P174" s="1" t="str">
        <f t="shared" si="292"/>
        <v>SB*0,5</v>
      </c>
      <c r="Q174" s="182">
        <f t="shared" si="293"/>
        <v>7.4999999999999997E-2</v>
      </c>
      <c r="R174" s="169" t="s">
        <v>131</v>
      </c>
      <c r="S174" s="1" t="str">
        <f t="shared" si="294"/>
        <v>SB*0,5</v>
      </c>
      <c r="T174" s="182">
        <f t="shared" si="295"/>
        <v>7.4999999999999997E-2</v>
      </c>
      <c r="U174" s="169" t="s">
        <v>130</v>
      </c>
      <c r="V174" s="1" t="str">
        <f t="shared" si="320"/>
        <v>T5a*0,5</v>
      </c>
      <c r="W174" s="182">
        <f t="shared" si="321"/>
        <v>0.45</v>
      </c>
      <c r="AH174" s="1" t="s">
        <v>1912</v>
      </c>
      <c r="AI174" s="1" t="s">
        <v>1847</v>
      </c>
      <c r="AJ174" s="1">
        <v>0.5</v>
      </c>
    </row>
    <row r="175" spans="1:36" ht="15.75" customHeight="1" x14ac:dyDescent="0.3">
      <c r="A175" s="205" t="e">
        <f t="shared" ref="A175:C175" si="348">IF($B$1="Solo",IF(L174="","",L174),IF($B$1="Duet",IF(O174="","",O174),IF($B$1="Mixed",IF(R174="","",R174),IF(U174="","",U174))))</f>
        <v>#N/A</v>
      </c>
      <c r="B175" s="182" t="e">
        <f t="shared" si="348"/>
        <v>#N/A</v>
      </c>
      <c r="C175" s="182" t="e">
        <f t="shared" si="348"/>
        <v>#N/A</v>
      </c>
      <c r="D175" s="182" t="e">
        <f t="shared" ref="D175:E175" si="349">IF($D$1="Team",IF(AD174="","",AD174),"")</f>
        <v>#N/A</v>
      </c>
      <c r="E175" s="182" t="e">
        <f t="shared" si="349"/>
        <v>#N/A</v>
      </c>
      <c r="J175" s="170"/>
      <c r="K175" s="170"/>
      <c r="N175" s="182"/>
      <c r="O175" s="169" t="s">
        <v>131</v>
      </c>
      <c r="P175" s="1" t="str">
        <f t="shared" si="292"/>
        <v>SCB*0,5</v>
      </c>
      <c r="Q175" s="182">
        <f t="shared" si="293"/>
        <v>0.17499999999999999</v>
      </c>
      <c r="R175" s="169" t="s">
        <v>131</v>
      </c>
      <c r="S175" s="1" t="str">
        <f t="shared" si="294"/>
        <v>SCB*0,5</v>
      </c>
      <c r="T175" s="182">
        <f t="shared" si="295"/>
        <v>0.17499999999999999</v>
      </c>
      <c r="U175" s="169" t="s">
        <v>130</v>
      </c>
      <c r="V175" s="1" t="str">
        <f t="shared" si="320"/>
        <v>T5b*0,5</v>
      </c>
      <c r="W175" s="182">
        <f t="shared" si="321"/>
        <v>0.45</v>
      </c>
      <c r="AH175" s="1" t="s">
        <v>1914</v>
      </c>
      <c r="AI175" s="1" t="s">
        <v>1849</v>
      </c>
      <c r="AJ175" s="1">
        <v>0.5</v>
      </c>
    </row>
    <row r="176" spans="1:36" ht="15.75" customHeight="1" x14ac:dyDescent="0.3">
      <c r="A176" s="205" t="e">
        <f t="shared" ref="A176:C176" si="350">IF($B$1="Solo",IF(L175="","",L175),IF($B$1="Duet",IF(O175="","",O175),IF($B$1="Mixed",IF(R175="","",R175),IF(U175="","",U175))))</f>
        <v>#N/A</v>
      </c>
      <c r="B176" s="182" t="e">
        <f t="shared" si="350"/>
        <v>#N/A</v>
      </c>
      <c r="C176" s="182" t="e">
        <f t="shared" si="350"/>
        <v>#N/A</v>
      </c>
      <c r="D176" s="182" t="e">
        <f t="shared" ref="D176:E176" si="351">IF($D$1="Team",IF(AD175="","",AD175),"")</f>
        <v>#N/A</v>
      </c>
      <c r="E176" s="182" t="e">
        <f t="shared" si="351"/>
        <v>#N/A</v>
      </c>
      <c r="J176" s="170"/>
      <c r="K176" s="170"/>
      <c r="N176" s="182"/>
      <c r="O176" s="169" t="s">
        <v>131</v>
      </c>
      <c r="P176" s="1" t="str">
        <f t="shared" si="292"/>
        <v>SCDB*0,5</v>
      </c>
      <c r="Q176" s="182">
        <f t="shared" si="293"/>
        <v>0.2</v>
      </c>
      <c r="R176" s="169" t="s">
        <v>131</v>
      </c>
      <c r="S176" s="1" t="str">
        <f t="shared" si="294"/>
        <v>SCDB*0,5</v>
      </c>
      <c r="T176" s="182">
        <f t="shared" si="295"/>
        <v>0.2</v>
      </c>
      <c r="U176" s="169" t="s">
        <v>130</v>
      </c>
      <c r="V176" s="1" t="str">
        <f t="shared" si="320"/>
        <v>T5c*0,5</v>
      </c>
      <c r="W176" s="182">
        <f t="shared" si="321"/>
        <v>0.45</v>
      </c>
      <c r="AH176" s="1" t="s">
        <v>1916</v>
      </c>
      <c r="AI176" s="1" t="s">
        <v>1851</v>
      </c>
      <c r="AJ176" s="1">
        <v>0.5</v>
      </c>
    </row>
    <row r="177" spans="1:36" ht="15.75" customHeight="1" x14ac:dyDescent="0.3">
      <c r="A177" s="205" t="e">
        <f t="shared" ref="A177:C177" si="352">IF($B$1="Solo",IF(L176="","",L176),IF($B$1="Duet",IF(O176="","",O176),IF($B$1="Mixed",IF(R176="","",R176),IF(U176="","",U176))))</f>
        <v>#N/A</v>
      </c>
      <c r="B177" s="182" t="e">
        <f t="shared" si="352"/>
        <v>#N/A</v>
      </c>
      <c r="C177" s="182" t="e">
        <f t="shared" si="352"/>
        <v>#N/A</v>
      </c>
      <c r="D177" s="182" t="e">
        <f t="shared" ref="D177:E177" si="353">IF($D$1="Team",IF(AD176="","",AD176),"")</f>
        <v>#N/A</v>
      </c>
      <c r="E177" s="182" t="e">
        <f t="shared" si="353"/>
        <v>#N/A</v>
      </c>
      <c r="J177" s="170"/>
      <c r="K177" s="170"/>
      <c r="N177" s="182"/>
      <c r="O177" s="169" t="s">
        <v>131</v>
      </c>
      <c r="P177" s="1" t="str">
        <f t="shared" si="292"/>
        <v>S1*0,5</v>
      </c>
      <c r="Q177" s="182">
        <f t="shared" si="293"/>
        <v>0.17499999999999999</v>
      </c>
      <c r="R177" s="169" t="s">
        <v>131</v>
      </c>
      <c r="S177" s="1" t="str">
        <f t="shared" si="294"/>
        <v>S1*0,5</v>
      </c>
      <c r="T177" s="182">
        <f t="shared" si="295"/>
        <v>0.17499999999999999</v>
      </c>
      <c r="U177" s="169" t="s">
        <v>130</v>
      </c>
      <c r="V177" s="1" t="str">
        <f t="shared" si="320"/>
        <v>T5d*0,5</v>
      </c>
      <c r="W177" s="182">
        <f t="shared" si="321"/>
        <v>0.45</v>
      </c>
      <c r="AH177" s="1" t="s">
        <v>1918</v>
      </c>
      <c r="AI177" s="1" t="s">
        <v>1852</v>
      </c>
      <c r="AJ177" s="1">
        <v>0.5</v>
      </c>
    </row>
    <row r="178" spans="1:36" ht="15.75" customHeight="1" x14ac:dyDescent="0.3">
      <c r="A178" s="205" t="e">
        <f t="shared" ref="A178:C178" si="354">IF($B$1="Solo",IF(L177="","",L177),IF($B$1="Duet",IF(O177="","",O177),IF($B$1="Mixed",IF(R177="","",R177),IF(U177="","",U177))))</f>
        <v>#N/A</v>
      </c>
      <c r="B178" s="182" t="e">
        <f t="shared" si="354"/>
        <v>#N/A</v>
      </c>
      <c r="C178" s="182" t="e">
        <f t="shared" si="354"/>
        <v>#N/A</v>
      </c>
      <c r="D178" s="182" t="e">
        <f t="shared" ref="D178:E178" si="355">IF($D$1="Team",IF(AD177="","",AD177),"")</f>
        <v>#N/A</v>
      </c>
      <c r="E178" s="182" t="e">
        <f t="shared" si="355"/>
        <v>#N/A</v>
      </c>
      <c r="J178" s="170"/>
      <c r="K178" s="170"/>
      <c r="N178" s="182"/>
      <c r="O178" s="169" t="s">
        <v>131</v>
      </c>
      <c r="P178" s="1" t="str">
        <f t="shared" si="292"/>
        <v>SC1*0,5</v>
      </c>
      <c r="Q178" s="182">
        <f t="shared" si="293"/>
        <v>0.4</v>
      </c>
      <c r="R178" s="169" t="s">
        <v>131</v>
      </c>
      <c r="S178" s="1" t="str">
        <f t="shared" si="294"/>
        <v>SC1*0,5</v>
      </c>
      <c r="T178" s="182">
        <f t="shared" si="295"/>
        <v>0.4</v>
      </c>
      <c r="U178" s="169" t="s">
        <v>130</v>
      </c>
      <c r="V178" s="1" t="str">
        <f t="shared" si="320"/>
        <v>T5e*0,5</v>
      </c>
      <c r="W178" s="182">
        <f t="shared" si="321"/>
        <v>0.45</v>
      </c>
      <c r="AH178" s="1" t="s">
        <v>1920</v>
      </c>
      <c r="AI178" s="1" t="s">
        <v>1853</v>
      </c>
      <c r="AJ178" s="1">
        <v>0.5</v>
      </c>
    </row>
    <row r="179" spans="1:36" ht="15.75" customHeight="1" x14ac:dyDescent="0.3">
      <c r="A179" s="205" t="e">
        <f t="shared" ref="A179:C179" si="356">IF($B$1="Solo",IF(L178="","",L178),IF($B$1="Duet",IF(O178="","",O178),IF($B$1="Mixed",IF(R178="","",R178),IF(U178="","",U178))))</f>
        <v>#N/A</v>
      </c>
      <c r="B179" s="182" t="e">
        <f t="shared" si="356"/>
        <v>#N/A</v>
      </c>
      <c r="C179" s="182" t="e">
        <f t="shared" si="356"/>
        <v>#N/A</v>
      </c>
      <c r="D179" s="182" t="e">
        <f t="shared" ref="D179:E179" si="357">IF($D$1="Team",IF(AD178="","",AD178),"")</f>
        <v>#N/A</v>
      </c>
      <c r="E179" s="182" t="e">
        <f t="shared" si="357"/>
        <v>#N/A</v>
      </c>
      <c r="J179" s="170"/>
      <c r="K179" s="170"/>
      <c r="N179" s="182"/>
      <c r="O179" s="169" t="s">
        <v>131</v>
      </c>
      <c r="P179" s="1" t="str">
        <f t="shared" si="292"/>
        <v>SCD1*0,5</v>
      </c>
      <c r="Q179" s="182">
        <f t="shared" si="293"/>
        <v>0.42499999999999999</v>
      </c>
      <c r="R179" s="169" t="s">
        <v>131</v>
      </c>
      <c r="S179" s="1" t="str">
        <f t="shared" si="294"/>
        <v>SCD1*0,5</v>
      </c>
      <c r="T179" s="182">
        <f t="shared" si="295"/>
        <v>0.42499999999999999</v>
      </c>
      <c r="U179" s="169" t="s">
        <v>130</v>
      </c>
      <c r="V179" s="1" t="str">
        <f t="shared" si="320"/>
        <v>T6a*0,5</v>
      </c>
      <c r="W179" s="182">
        <f t="shared" si="321"/>
        <v>0.55000000000000004</v>
      </c>
      <c r="AH179" s="1" t="s">
        <v>1921</v>
      </c>
      <c r="AI179" s="1" t="s">
        <v>1854</v>
      </c>
      <c r="AJ179" s="1">
        <v>0.5</v>
      </c>
    </row>
    <row r="180" spans="1:36" ht="15.75" customHeight="1" x14ac:dyDescent="0.3">
      <c r="A180" s="205" t="e">
        <f t="shared" ref="A180:C180" si="358">IF($B$1="Solo",IF(L179="","",L179),IF($B$1="Duet",IF(O179="","",O179),IF($B$1="Mixed",IF(R179="","",R179),IF(U179="","",U179))))</f>
        <v>#N/A</v>
      </c>
      <c r="B180" s="182" t="e">
        <f t="shared" si="358"/>
        <v>#N/A</v>
      </c>
      <c r="C180" s="182" t="e">
        <f t="shared" si="358"/>
        <v>#N/A</v>
      </c>
      <c r="D180" s="182" t="e">
        <f t="shared" ref="D180:E180" si="359">IF($D$1="Team",IF(AD179="","",AD179),"")</f>
        <v>#N/A</v>
      </c>
      <c r="E180" s="182" t="e">
        <f t="shared" si="359"/>
        <v>#N/A</v>
      </c>
      <c r="J180" s="170"/>
      <c r="K180" s="170"/>
      <c r="N180" s="182"/>
      <c r="O180" s="169" t="s">
        <v>131</v>
      </c>
      <c r="P180" s="1" t="str">
        <f t="shared" si="292"/>
        <v>S2*0,5</v>
      </c>
      <c r="Q180" s="182">
        <f t="shared" si="293"/>
        <v>0.375</v>
      </c>
      <c r="R180" s="169" t="s">
        <v>131</v>
      </c>
      <c r="S180" s="1" t="str">
        <f t="shared" si="294"/>
        <v>S2*0,5</v>
      </c>
      <c r="T180" s="182">
        <f t="shared" si="295"/>
        <v>0.375</v>
      </c>
      <c r="U180" s="169" t="s">
        <v>130</v>
      </c>
      <c r="V180" s="1" t="str">
        <f t="shared" si="320"/>
        <v>T6b*0,5</v>
      </c>
      <c r="W180" s="182">
        <f t="shared" si="321"/>
        <v>0.55000000000000004</v>
      </c>
      <c r="AH180" s="1" t="s">
        <v>1923</v>
      </c>
      <c r="AI180" s="1" t="s">
        <v>1855</v>
      </c>
      <c r="AJ180" s="1">
        <v>0.5</v>
      </c>
    </row>
    <row r="181" spans="1:36" ht="15.75" customHeight="1" x14ac:dyDescent="0.3">
      <c r="A181" s="205" t="e">
        <f t="shared" ref="A181:C181" si="360">IF($B$1="Solo",IF(L180="","",L180),IF($B$1="Duet",IF(O180="","",O180),IF($B$1="Mixed",IF(R180="","",R180),IF(U180="","",U180))))</f>
        <v>#N/A</v>
      </c>
      <c r="B181" s="182" t="e">
        <f t="shared" si="360"/>
        <v>#N/A</v>
      </c>
      <c r="C181" s="182" t="e">
        <f t="shared" si="360"/>
        <v>#N/A</v>
      </c>
      <c r="D181" s="182" t="e">
        <f t="shared" ref="D181:E181" si="361">IF($D$1="Team",IF(AD180="","",AD180),"")</f>
        <v>#N/A</v>
      </c>
      <c r="E181" s="182" t="e">
        <f t="shared" si="361"/>
        <v>#N/A</v>
      </c>
      <c r="J181" s="170"/>
      <c r="K181" s="170"/>
      <c r="N181" s="182"/>
      <c r="O181" s="169" t="s">
        <v>131</v>
      </c>
      <c r="P181" s="1" t="str">
        <f t="shared" si="292"/>
        <v>SC2*0,5</v>
      </c>
      <c r="Q181" s="182">
        <f t="shared" si="293"/>
        <v>0.8</v>
      </c>
      <c r="R181" s="169" t="s">
        <v>131</v>
      </c>
      <c r="S181" s="1" t="str">
        <f t="shared" si="294"/>
        <v>SC2*0,5</v>
      </c>
      <c r="T181" s="182">
        <f t="shared" si="295"/>
        <v>0.8</v>
      </c>
      <c r="U181" s="169" t="s">
        <v>130</v>
      </c>
      <c r="V181" s="1" t="str">
        <f t="shared" si="320"/>
        <v>T6c*0,5</v>
      </c>
      <c r="W181" s="182">
        <f t="shared" si="321"/>
        <v>0.55000000000000004</v>
      </c>
      <c r="AH181" s="1" t="s">
        <v>1925</v>
      </c>
      <c r="AI181" s="1" t="s">
        <v>1856</v>
      </c>
      <c r="AJ181" s="1">
        <v>0.5</v>
      </c>
    </row>
    <row r="182" spans="1:36" ht="15.75" customHeight="1" x14ac:dyDescent="0.3">
      <c r="A182" s="205" t="e">
        <f t="shared" ref="A182:C182" si="362">IF($B$1="Solo",IF(L181="","",L181),IF($B$1="Duet",IF(O181="","",O181),IF($B$1="Mixed",IF(R181="","",R181),IF(U181="","",U181))))</f>
        <v>#N/A</v>
      </c>
      <c r="B182" s="182" t="e">
        <f t="shared" si="362"/>
        <v>#N/A</v>
      </c>
      <c r="C182" s="182" t="e">
        <f t="shared" si="362"/>
        <v>#N/A</v>
      </c>
      <c r="D182" s="182" t="e">
        <f t="shared" ref="D182:E182" si="363">IF($D$1="Team",IF(AD181="","",AD181),"")</f>
        <v>#N/A</v>
      </c>
      <c r="E182" s="182" t="e">
        <f t="shared" si="363"/>
        <v>#N/A</v>
      </c>
      <c r="J182" s="170"/>
      <c r="K182" s="170"/>
      <c r="N182" s="182"/>
      <c r="O182" s="169" t="s">
        <v>131</v>
      </c>
      <c r="P182" s="1" t="str">
        <f t="shared" si="292"/>
        <v>SCD2*0,5</v>
      </c>
      <c r="Q182" s="182">
        <f t="shared" si="293"/>
        <v>0.82499999999999996</v>
      </c>
      <c r="R182" s="169" t="s">
        <v>131</v>
      </c>
      <c r="S182" s="1" t="str">
        <f t="shared" si="294"/>
        <v>SCD2*0,5</v>
      </c>
      <c r="T182" s="182">
        <f t="shared" si="295"/>
        <v>0.82499999999999996</v>
      </c>
      <c r="U182" s="169" t="s">
        <v>130</v>
      </c>
      <c r="V182" s="1" t="str">
        <f t="shared" si="320"/>
        <v>T7*0,5</v>
      </c>
      <c r="W182" s="182">
        <f t="shared" si="321"/>
        <v>0.75</v>
      </c>
      <c r="AH182" s="1" t="s">
        <v>1927</v>
      </c>
      <c r="AI182" s="1" t="s">
        <v>1857</v>
      </c>
      <c r="AJ182" s="1">
        <v>0.5</v>
      </c>
    </row>
    <row r="183" spans="1:36" ht="15.75" customHeight="1" x14ac:dyDescent="0.3">
      <c r="A183" s="205" t="e">
        <f t="shared" ref="A183:C183" si="364">IF($B$1="Solo",IF(L182="","",L182),IF($B$1="Duet",IF(O182="","",O182),IF($B$1="Mixed",IF(R182="","",R182),IF(U182="","",U182))))</f>
        <v>#N/A</v>
      </c>
      <c r="B183" s="182" t="e">
        <f t="shared" si="364"/>
        <v>#N/A</v>
      </c>
      <c r="C183" s="182" t="e">
        <f t="shared" si="364"/>
        <v>#N/A</v>
      </c>
      <c r="D183" s="182" t="e">
        <f t="shared" ref="D183:E183" si="365">IF($D$1="Team",IF(AD182="","",AD182),"")</f>
        <v>#N/A</v>
      </c>
      <c r="E183" s="182" t="e">
        <f t="shared" si="365"/>
        <v>#N/A</v>
      </c>
      <c r="J183" s="170"/>
      <c r="K183" s="170"/>
      <c r="N183" s="182"/>
      <c r="O183" s="169" t="s">
        <v>131</v>
      </c>
      <c r="P183" s="1" t="str">
        <f t="shared" si="292"/>
        <v>S3*0,5</v>
      </c>
      <c r="Q183" s="182">
        <f t="shared" si="293"/>
        <v>0.57499999999999996</v>
      </c>
      <c r="R183" s="169" t="s">
        <v>131</v>
      </c>
      <c r="S183" s="1" t="str">
        <f t="shared" si="294"/>
        <v>S3*0,5</v>
      </c>
      <c r="T183" s="182">
        <f t="shared" si="295"/>
        <v>0.57499999999999996</v>
      </c>
      <c r="U183" s="169" t="s">
        <v>130</v>
      </c>
      <c r="V183" s="1" t="str">
        <f t="shared" si="320"/>
        <v>T8*0,5</v>
      </c>
      <c r="W183" s="182">
        <f t="shared" si="321"/>
        <v>0.85</v>
      </c>
      <c r="AH183" s="1" t="s">
        <v>1929</v>
      </c>
      <c r="AI183" s="1" t="s">
        <v>1858</v>
      </c>
      <c r="AJ183" s="1">
        <v>0.5</v>
      </c>
    </row>
    <row r="184" spans="1:36" ht="15.75" customHeight="1" x14ac:dyDescent="0.3">
      <c r="A184" s="205" t="e">
        <f t="shared" ref="A184:C184" si="366">IF($B$1="Solo",IF(L183="","",L183),IF($B$1="Duet",IF(O183="","",O183),IF($B$1="Mixed",IF(R183="","",R183),IF(U183="","",U183))))</f>
        <v>#N/A</v>
      </c>
      <c r="B184" s="182" t="e">
        <f t="shared" si="366"/>
        <v>#N/A</v>
      </c>
      <c r="C184" s="182" t="e">
        <f t="shared" si="366"/>
        <v>#N/A</v>
      </c>
      <c r="D184" s="182" t="e">
        <f t="shared" ref="D184:E184" si="367">IF($D$1="Team",IF(AD183="","",AD183),"")</f>
        <v>#N/A</v>
      </c>
      <c r="E184" s="182" t="e">
        <f t="shared" si="367"/>
        <v>#N/A</v>
      </c>
      <c r="J184" s="170"/>
      <c r="K184" s="170"/>
      <c r="N184" s="182"/>
      <c r="O184" s="169" t="s">
        <v>131</v>
      </c>
      <c r="P184" s="1" t="str">
        <f t="shared" si="292"/>
        <v>SC3*0,5</v>
      </c>
      <c r="Q184" s="182">
        <f t="shared" si="293"/>
        <v>1.2</v>
      </c>
      <c r="R184" s="169" t="s">
        <v>131</v>
      </c>
      <c r="S184" s="1" t="str">
        <f t="shared" si="294"/>
        <v>SC3*0,5</v>
      </c>
      <c r="T184" s="182">
        <f t="shared" si="295"/>
        <v>1.2</v>
      </c>
      <c r="U184" s="169" t="s">
        <v>130</v>
      </c>
      <c r="V184" s="1" t="str">
        <f t="shared" si="320"/>
        <v>T9a*0,5</v>
      </c>
      <c r="W184" s="182">
        <f t="shared" si="321"/>
        <v>1</v>
      </c>
      <c r="AH184" s="1" t="s">
        <v>1931</v>
      </c>
      <c r="AI184" s="1" t="s">
        <v>1859</v>
      </c>
      <c r="AJ184" s="1">
        <v>0.5</v>
      </c>
    </row>
    <row r="185" spans="1:36" ht="15.75" customHeight="1" x14ac:dyDescent="0.3">
      <c r="A185" s="205" t="e">
        <f t="shared" ref="A185:C185" si="368">IF($B$1="Solo",IF(L184="","",L184),IF($B$1="Duet",IF(O184="","",O184),IF($B$1="Mixed",IF(R184="","",R184),IF(U184="","",U184))))</f>
        <v>#N/A</v>
      </c>
      <c r="B185" s="182" t="e">
        <f t="shared" si="368"/>
        <v>#N/A</v>
      </c>
      <c r="C185" s="182" t="e">
        <f t="shared" si="368"/>
        <v>#N/A</v>
      </c>
      <c r="D185" s="182" t="e">
        <f t="shared" ref="D185:E185" si="369">IF($D$1="Team",IF(AD184="","",AD184),"")</f>
        <v>#N/A</v>
      </c>
      <c r="E185" s="182" t="e">
        <f t="shared" si="369"/>
        <v>#N/A</v>
      </c>
      <c r="J185" s="170"/>
      <c r="K185" s="170"/>
      <c r="N185" s="182"/>
      <c r="O185" s="169" t="s">
        <v>131</v>
      </c>
      <c r="P185" s="1" t="str">
        <f t="shared" si="292"/>
        <v>SCD3*0,5</v>
      </c>
      <c r="Q185" s="182">
        <f t="shared" si="293"/>
        <v>1.2250000000000001</v>
      </c>
      <c r="R185" s="169" t="s">
        <v>131</v>
      </c>
      <c r="S185" s="1" t="str">
        <f t="shared" si="294"/>
        <v>SCD3*0,5</v>
      </c>
      <c r="T185" s="182">
        <f t="shared" si="295"/>
        <v>1.2250000000000001</v>
      </c>
      <c r="U185" s="169" t="s">
        <v>130</v>
      </c>
      <c r="V185" s="1" t="str">
        <f t="shared" si="320"/>
        <v>T9b*0,5</v>
      </c>
      <c r="W185" s="182">
        <f t="shared" si="321"/>
        <v>1</v>
      </c>
      <c r="AH185" s="1" t="s">
        <v>1933</v>
      </c>
      <c r="AI185" s="1" t="s">
        <v>1860</v>
      </c>
      <c r="AJ185" s="1">
        <v>0.5</v>
      </c>
    </row>
    <row r="186" spans="1:36" ht="15.75" customHeight="1" x14ac:dyDescent="0.3">
      <c r="A186" s="205" t="e">
        <f t="shared" ref="A186:C186" si="370">IF($B$1="Solo",IF(L185="","",L185),IF($B$1="Duet",IF(O185="","",O185),IF($B$1="Mixed",IF(R185="","",R185),IF(U185="","",U185))))</f>
        <v>#N/A</v>
      </c>
      <c r="B186" s="182" t="e">
        <f t="shared" si="370"/>
        <v>#N/A</v>
      </c>
      <c r="C186" s="182" t="e">
        <f t="shared" si="370"/>
        <v>#N/A</v>
      </c>
      <c r="D186" s="182" t="e">
        <f t="shared" ref="D186:E186" si="371">IF($D$1="Team",IF(AD185="","",AD185),"")</f>
        <v>#N/A</v>
      </c>
      <c r="E186" s="182" t="e">
        <f t="shared" si="371"/>
        <v>#N/A</v>
      </c>
      <c r="J186" s="170"/>
      <c r="K186" s="170"/>
      <c r="N186" s="182"/>
      <c r="O186" s="169" t="s">
        <v>131</v>
      </c>
      <c r="P186" s="1" t="str">
        <f t="shared" si="292"/>
        <v>S4*0,5</v>
      </c>
      <c r="Q186" s="182">
        <f t="shared" si="293"/>
        <v>0.77500000000000002</v>
      </c>
      <c r="R186" s="169" t="s">
        <v>131</v>
      </c>
      <c r="S186" s="1" t="str">
        <f t="shared" si="294"/>
        <v>S4*0,5</v>
      </c>
      <c r="T186" s="182">
        <f t="shared" si="295"/>
        <v>0.77500000000000002</v>
      </c>
      <c r="U186" s="169" t="s">
        <v>131</v>
      </c>
      <c r="V186" s="1" t="str">
        <f t="shared" si="320"/>
        <v>SB*0,5</v>
      </c>
      <c r="W186" s="182">
        <f t="shared" si="321"/>
        <v>7.4999999999999997E-2</v>
      </c>
      <c r="AH186" s="1" t="s">
        <v>2030</v>
      </c>
      <c r="AI186" s="1" t="s">
        <v>1861</v>
      </c>
      <c r="AJ186" s="1">
        <v>0.5</v>
      </c>
    </row>
    <row r="187" spans="1:36" ht="15.75" customHeight="1" x14ac:dyDescent="0.3">
      <c r="A187" s="205" t="e">
        <f t="shared" ref="A187:C187" si="372">IF($B$1="Solo",IF(L186="","",L186),IF($B$1="Duet",IF(O186="","",O186),IF($B$1="Mixed",IF(R186="","",R186),IF(U186="","",U186))))</f>
        <v>#N/A</v>
      </c>
      <c r="B187" s="182" t="e">
        <f t="shared" si="372"/>
        <v>#N/A</v>
      </c>
      <c r="C187" s="182" t="e">
        <f t="shared" si="372"/>
        <v>#N/A</v>
      </c>
      <c r="D187" s="182" t="e">
        <f t="shared" ref="D187:E187" si="373">IF($D$1="Team",IF(AD186="","",AD186),"")</f>
        <v>#N/A</v>
      </c>
      <c r="E187" s="182" t="e">
        <f t="shared" si="373"/>
        <v>#N/A</v>
      </c>
      <c r="J187" s="170"/>
      <c r="K187" s="170"/>
      <c r="N187" s="182"/>
      <c r="O187" s="169" t="s">
        <v>131</v>
      </c>
      <c r="P187" s="1" t="str">
        <f t="shared" si="292"/>
        <v>SC4*0,5</v>
      </c>
      <c r="Q187" s="182">
        <f t="shared" si="293"/>
        <v>1.6</v>
      </c>
      <c r="R187" s="169" t="s">
        <v>131</v>
      </c>
      <c r="S187" s="1" t="str">
        <f t="shared" si="294"/>
        <v>SC4*0,5</v>
      </c>
      <c r="T187" s="182">
        <f t="shared" si="295"/>
        <v>1.6</v>
      </c>
      <c r="U187" s="169" t="s">
        <v>131</v>
      </c>
      <c r="V187" s="1" t="str">
        <f t="shared" si="320"/>
        <v>SCB*0,5</v>
      </c>
      <c r="W187" s="182">
        <f t="shared" si="321"/>
        <v>0.17499999999999999</v>
      </c>
      <c r="AH187" s="1" t="s">
        <v>2031</v>
      </c>
      <c r="AI187" s="1" t="s">
        <v>1863</v>
      </c>
      <c r="AJ187" s="1">
        <v>0.5</v>
      </c>
    </row>
    <row r="188" spans="1:36" ht="15.75" customHeight="1" x14ac:dyDescent="0.3">
      <c r="A188" s="205" t="e">
        <f t="shared" ref="A188:C188" si="374">IF($B$1="Solo",IF(L187="","",L187),IF($B$1="Duet",IF(O187="","",O187),IF($B$1="Mixed",IF(R187="","",R187),IF(U187="","",U187))))</f>
        <v>#N/A</v>
      </c>
      <c r="B188" s="182" t="e">
        <f t="shared" si="374"/>
        <v>#N/A</v>
      </c>
      <c r="C188" s="182" t="e">
        <f t="shared" si="374"/>
        <v>#N/A</v>
      </c>
      <c r="D188" s="182" t="e">
        <f t="shared" ref="D188:E188" si="375">IF($D$1="Team",IF(AD187="","",AD187),"")</f>
        <v>#N/A</v>
      </c>
      <c r="E188" s="182" t="e">
        <f t="shared" si="375"/>
        <v>#N/A</v>
      </c>
      <c r="J188" s="170"/>
      <c r="K188" s="170"/>
      <c r="N188" s="182"/>
      <c r="O188" s="169" t="s">
        <v>131</v>
      </c>
      <c r="P188" s="1" t="str">
        <f t="shared" si="292"/>
        <v>SCD4*0,5</v>
      </c>
      <c r="Q188" s="182">
        <f t="shared" si="293"/>
        <v>1.625</v>
      </c>
      <c r="R188" s="169" t="s">
        <v>131</v>
      </c>
      <c r="S188" s="1" t="str">
        <f t="shared" si="294"/>
        <v>SCD4*0,5</v>
      </c>
      <c r="T188" s="182">
        <f t="shared" si="295"/>
        <v>1.625</v>
      </c>
      <c r="U188" s="169" t="s">
        <v>131</v>
      </c>
      <c r="V188" s="1" t="str">
        <f t="shared" si="320"/>
        <v>SCDB*0,5</v>
      </c>
      <c r="W188" s="182">
        <f t="shared" si="321"/>
        <v>0.2</v>
      </c>
      <c r="AH188" s="1" t="s">
        <v>2032</v>
      </c>
      <c r="AI188" s="1" t="s">
        <v>1865</v>
      </c>
      <c r="AJ188" s="1">
        <v>0.5</v>
      </c>
    </row>
    <row r="189" spans="1:36" ht="15.75" customHeight="1" x14ac:dyDescent="0.3">
      <c r="A189" s="205" t="e">
        <f t="shared" ref="A189:C189" si="376">IF($B$1="Solo",IF(L188="","",L188),IF($B$1="Duet",IF(O188="","",O188),IF($B$1="Mixed",IF(R188="","",R188),IF(U188="","",U188))))</f>
        <v>#N/A</v>
      </c>
      <c r="B189" s="182" t="e">
        <f t="shared" si="376"/>
        <v>#N/A</v>
      </c>
      <c r="C189" s="182" t="e">
        <f t="shared" si="376"/>
        <v>#N/A</v>
      </c>
      <c r="D189" s="182" t="e">
        <f t="shared" ref="D189:E189" si="377">IF($D$1="Team",IF(AD188="","",AD188),"")</f>
        <v>#N/A</v>
      </c>
      <c r="E189" s="182" t="e">
        <f t="shared" si="377"/>
        <v>#N/A</v>
      </c>
      <c r="J189" s="170"/>
      <c r="K189" s="170"/>
      <c r="N189" s="182"/>
      <c r="O189" s="169" t="s">
        <v>131</v>
      </c>
      <c r="P189" s="1" t="str">
        <f t="shared" si="292"/>
        <v>S5*0,5</v>
      </c>
      <c r="Q189" s="182">
        <f t="shared" si="293"/>
        <v>0.97499999999999998</v>
      </c>
      <c r="R189" s="169" t="s">
        <v>131</v>
      </c>
      <c r="S189" s="1" t="str">
        <f t="shared" si="294"/>
        <v>S5*0,5</v>
      </c>
      <c r="T189" s="182">
        <f t="shared" si="295"/>
        <v>0.97499999999999998</v>
      </c>
      <c r="U189" s="169" t="s">
        <v>131</v>
      </c>
      <c r="V189" s="1" t="str">
        <f t="shared" si="320"/>
        <v>S1*0,5</v>
      </c>
      <c r="W189" s="182">
        <f t="shared" si="321"/>
        <v>0.17499999999999999</v>
      </c>
      <c r="AH189" s="1" t="s">
        <v>2033</v>
      </c>
      <c r="AI189" s="1" t="s">
        <v>1867</v>
      </c>
      <c r="AJ189" s="1">
        <v>0.5</v>
      </c>
    </row>
    <row r="190" spans="1:36" ht="15.75" customHeight="1" x14ac:dyDescent="0.3">
      <c r="A190" s="205" t="e">
        <f t="shared" ref="A190:C190" si="378">IF($B$1="Solo",IF(L189="","",L189),IF($B$1="Duet",IF(O189="","",O189),IF($B$1="Mixed",IF(R189="","",R189),IF(U189="","",U189))))</f>
        <v>#N/A</v>
      </c>
      <c r="B190" s="182" t="e">
        <f t="shared" si="378"/>
        <v>#N/A</v>
      </c>
      <c r="C190" s="182" t="e">
        <f t="shared" si="378"/>
        <v>#N/A</v>
      </c>
      <c r="D190" s="182" t="e">
        <f t="shared" ref="D190:E190" si="379">IF($D$1="Team",IF(AD189="","",AD189),"")</f>
        <v>#N/A</v>
      </c>
      <c r="E190" s="182" t="e">
        <f t="shared" si="379"/>
        <v>#N/A</v>
      </c>
      <c r="J190" s="170"/>
      <c r="K190" s="170"/>
      <c r="N190" s="182"/>
      <c r="O190" s="169" t="s">
        <v>131</v>
      </c>
      <c r="P190" s="1" t="str">
        <f t="shared" si="292"/>
        <v>SC5*0,5</v>
      </c>
      <c r="Q190" s="182">
        <f t="shared" si="293"/>
        <v>2</v>
      </c>
      <c r="R190" s="169" t="s">
        <v>131</v>
      </c>
      <c r="S190" s="1" t="str">
        <f t="shared" si="294"/>
        <v>SC5*0,5</v>
      </c>
      <c r="T190" s="182">
        <f t="shared" si="295"/>
        <v>2</v>
      </c>
      <c r="U190" s="169" t="s">
        <v>131</v>
      </c>
      <c r="V190" s="1" t="str">
        <f t="shared" si="320"/>
        <v>SC1*0,5</v>
      </c>
      <c r="W190" s="182">
        <f t="shared" si="321"/>
        <v>0.4</v>
      </c>
      <c r="AH190" s="1" t="s">
        <v>2034</v>
      </c>
      <c r="AI190" s="1" t="s">
        <v>1869</v>
      </c>
      <c r="AJ190" s="1">
        <v>0.5</v>
      </c>
    </row>
    <row r="191" spans="1:36" ht="15.75" customHeight="1" x14ac:dyDescent="0.3">
      <c r="A191" s="205" t="e">
        <f t="shared" ref="A191:C191" si="380">IF($B$1="Solo",IF(L190="","",L190),IF($B$1="Duet",IF(O190="","",O190),IF($B$1="Mixed",IF(R190="","",R190),IF(U190="","",U190))))</f>
        <v>#N/A</v>
      </c>
      <c r="B191" s="182" t="e">
        <f t="shared" si="380"/>
        <v>#N/A</v>
      </c>
      <c r="C191" s="182" t="e">
        <f t="shared" si="380"/>
        <v>#N/A</v>
      </c>
      <c r="D191" s="182" t="e">
        <f t="shared" ref="D191:E191" si="381">IF($D$1="Team",IF(AD190="","",AD190),"")</f>
        <v>#N/A</v>
      </c>
      <c r="E191" s="182" t="e">
        <f t="shared" si="381"/>
        <v>#N/A</v>
      </c>
      <c r="J191" s="170"/>
      <c r="K191" s="170"/>
      <c r="N191" s="182"/>
      <c r="O191" s="169" t="s">
        <v>131</v>
      </c>
      <c r="P191" s="1" t="str">
        <f t="shared" si="292"/>
        <v>SCD5*0,5</v>
      </c>
      <c r="Q191" s="182">
        <f t="shared" si="293"/>
        <v>2.0249999999999999</v>
      </c>
      <c r="R191" s="169" t="s">
        <v>131</v>
      </c>
      <c r="S191" s="1" t="str">
        <f t="shared" si="294"/>
        <v>SCD5*0,5</v>
      </c>
      <c r="T191" s="182">
        <f t="shared" si="295"/>
        <v>2.0249999999999999</v>
      </c>
      <c r="U191" s="169" t="s">
        <v>131</v>
      </c>
      <c r="V191" s="1" t="str">
        <f t="shared" si="320"/>
        <v>SCD1*0,5</v>
      </c>
      <c r="W191" s="182">
        <f t="shared" si="321"/>
        <v>0.42499999999999999</v>
      </c>
      <c r="AH191" s="1" t="s">
        <v>2035</v>
      </c>
      <c r="AI191" s="1" t="s">
        <v>1871</v>
      </c>
      <c r="AJ191" s="1">
        <v>0.5</v>
      </c>
    </row>
    <row r="192" spans="1:36" ht="15.75" customHeight="1" x14ac:dyDescent="0.3">
      <c r="A192" s="205" t="e">
        <f t="shared" ref="A192:C192" si="382">IF($B$1="Solo",IF(L191="","",L191),IF($B$1="Duet",IF(O191="","",O191),IF($B$1="Mixed",IF(R191="","",R191),IF(U191="","",U191))))</f>
        <v>#N/A</v>
      </c>
      <c r="B192" s="182" t="e">
        <f t="shared" si="382"/>
        <v>#N/A</v>
      </c>
      <c r="C192" s="182" t="e">
        <f t="shared" si="382"/>
        <v>#N/A</v>
      </c>
      <c r="D192" s="182" t="e">
        <f t="shared" ref="D192:E192" si="383">IF($D$1="Team",IF(AD191="","",AD191),"")</f>
        <v>#N/A</v>
      </c>
      <c r="E192" s="182" t="e">
        <f t="shared" si="383"/>
        <v>#N/A</v>
      </c>
      <c r="J192" s="170"/>
      <c r="K192" s="170"/>
      <c r="N192" s="182"/>
      <c r="O192" s="169" t="s">
        <v>131</v>
      </c>
      <c r="P192" s="1" t="str">
        <f t="shared" si="292"/>
        <v>S6*0,5</v>
      </c>
      <c r="Q192" s="182">
        <f t="shared" si="293"/>
        <v>1.175</v>
      </c>
      <c r="R192" s="169" t="s">
        <v>131</v>
      </c>
      <c r="S192" s="1" t="str">
        <f t="shared" si="294"/>
        <v>S6*0,5</v>
      </c>
      <c r="T192" s="182">
        <f t="shared" si="295"/>
        <v>1.175</v>
      </c>
      <c r="U192" s="169" t="s">
        <v>131</v>
      </c>
      <c r="V192" s="1" t="str">
        <f t="shared" si="320"/>
        <v>S2*0,5</v>
      </c>
      <c r="W192" s="182">
        <f t="shared" si="321"/>
        <v>0.375</v>
      </c>
      <c r="AH192" s="1" t="s">
        <v>2036</v>
      </c>
      <c r="AI192" s="1" t="s">
        <v>1873</v>
      </c>
      <c r="AJ192" s="1">
        <v>0.5</v>
      </c>
    </row>
    <row r="193" spans="1:36" ht="15.75" customHeight="1" x14ac:dyDescent="0.3">
      <c r="A193" s="205" t="e">
        <f t="shared" ref="A193:C193" si="384">IF($B$1="Solo",IF(L192="","",L192),IF($B$1="Duet",IF(O192="","",O192),IF($B$1="Mixed",IF(R192="","",R192),IF(U192="","",U192))))</f>
        <v>#N/A</v>
      </c>
      <c r="B193" s="182" t="e">
        <f t="shared" si="384"/>
        <v>#N/A</v>
      </c>
      <c r="C193" s="182" t="e">
        <f t="shared" si="384"/>
        <v>#N/A</v>
      </c>
      <c r="D193" s="182" t="e">
        <f t="shared" ref="D193:E193" si="385">IF($D$1="Team",IF(AD192="","",AD192),"")</f>
        <v>#N/A</v>
      </c>
      <c r="E193" s="182" t="e">
        <f t="shared" si="385"/>
        <v>#N/A</v>
      </c>
      <c r="J193" s="170"/>
      <c r="K193" s="170"/>
      <c r="N193" s="182"/>
      <c r="O193" s="169" t="s">
        <v>131</v>
      </c>
      <c r="P193" s="1" t="str">
        <f t="shared" si="292"/>
        <v>SC6*0,5</v>
      </c>
      <c r="Q193" s="182">
        <f t="shared" si="293"/>
        <v>2.4</v>
      </c>
      <c r="R193" s="169" t="s">
        <v>131</v>
      </c>
      <c r="S193" s="1" t="str">
        <f t="shared" si="294"/>
        <v>SC6*0,5</v>
      </c>
      <c r="T193" s="182">
        <f t="shared" si="295"/>
        <v>2.4</v>
      </c>
      <c r="U193" s="169" t="s">
        <v>131</v>
      </c>
      <c r="V193" s="1" t="str">
        <f t="shared" si="320"/>
        <v>SC2*0,5</v>
      </c>
      <c r="W193" s="182">
        <f t="shared" si="321"/>
        <v>0.8</v>
      </c>
      <c r="AH193" s="1" t="s">
        <v>2037</v>
      </c>
      <c r="AI193" s="1" t="s">
        <v>1875</v>
      </c>
      <c r="AJ193" s="1">
        <v>0.5</v>
      </c>
    </row>
    <row r="194" spans="1:36" ht="15.75" customHeight="1" x14ac:dyDescent="0.3">
      <c r="A194" s="205" t="e">
        <f t="shared" ref="A194:C194" si="386">IF($B$1="Solo",IF(L193="","",L193),IF($B$1="Duet",IF(O193="","",O193),IF($B$1="Mixed",IF(R193="","",R193),IF(U193="","",U193))))</f>
        <v>#N/A</v>
      </c>
      <c r="B194" s="182" t="e">
        <f t="shared" si="386"/>
        <v>#N/A</v>
      </c>
      <c r="C194" s="182" t="e">
        <f t="shared" si="386"/>
        <v>#N/A</v>
      </c>
      <c r="D194" s="182" t="e">
        <f t="shared" ref="D194:E194" si="387">IF($D$1="Team",IF(AD193="","",AD193),"")</f>
        <v>#N/A</v>
      </c>
      <c r="E194" s="182" t="e">
        <f t="shared" si="387"/>
        <v>#N/A</v>
      </c>
      <c r="J194" s="170"/>
      <c r="K194" s="170"/>
      <c r="N194" s="182"/>
      <c r="O194" s="169" t="s">
        <v>131</v>
      </c>
      <c r="P194" s="1" t="str">
        <f t="shared" si="292"/>
        <v>SCD6*0,5</v>
      </c>
      <c r="Q194" s="182">
        <f t="shared" si="293"/>
        <v>2.4249999999999998</v>
      </c>
      <c r="R194" s="169" t="s">
        <v>131</v>
      </c>
      <c r="S194" s="1" t="str">
        <f t="shared" si="294"/>
        <v>SCD6*0,5</v>
      </c>
      <c r="T194" s="182">
        <f t="shared" si="295"/>
        <v>2.4249999999999998</v>
      </c>
      <c r="U194" s="169" t="s">
        <v>131</v>
      </c>
      <c r="V194" s="1" t="str">
        <f t="shared" si="320"/>
        <v>SCD2*0,5</v>
      </c>
      <c r="W194" s="182">
        <f t="shared" si="321"/>
        <v>0.82499999999999996</v>
      </c>
      <c r="AH194" s="1" t="s">
        <v>2038</v>
      </c>
      <c r="AI194" s="1" t="s">
        <v>1877</v>
      </c>
      <c r="AJ194" s="1">
        <v>0.5</v>
      </c>
    </row>
    <row r="195" spans="1:36" ht="15.75" customHeight="1" x14ac:dyDescent="0.3">
      <c r="A195" s="205" t="e">
        <f t="shared" ref="A195:C195" si="388">IF($B$1="Solo",IF(L194="","",L194),IF($B$1="Duet",IF(O194="","",O194),IF($B$1="Mixed",IF(R194="","",R194),IF(U194="","",U194))))</f>
        <v>#N/A</v>
      </c>
      <c r="B195" s="182" t="e">
        <f t="shared" si="388"/>
        <v>#N/A</v>
      </c>
      <c r="C195" s="182" t="e">
        <f t="shared" si="388"/>
        <v>#N/A</v>
      </c>
      <c r="D195" s="182" t="e">
        <f t="shared" ref="D195:E195" si="389">IF($D$1="Team",IF(AD194="","",AD194),"")</f>
        <v>#N/A</v>
      </c>
      <c r="E195" s="182" t="e">
        <f t="shared" si="389"/>
        <v>#N/A</v>
      </c>
      <c r="J195" s="170"/>
      <c r="K195" s="170"/>
      <c r="N195" s="182"/>
      <c r="O195" s="169" t="s">
        <v>131</v>
      </c>
      <c r="P195" s="1" t="str">
        <f t="shared" si="292"/>
        <v>S7*0,5</v>
      </c>
      <c r="Q195" s="182">
        <f t="shared" si="293"/>
        <v>1.375</v>
      </c>
      <c r="R195" s="169" t="s">
        <v>131</v>
      </c>
      <c r="S195" s="1" t="str">
        <f t="shared" si="294"/>
        <v>S7*0,5</v>
      </c>
      <c r="T195" s="182">
        <f t="shared" si="295"/>
        <v>1.375</v>
      </c>
      <c r="U195" s="169" t="s">
        <v>131</v>
      </c>
      <c r="V195" s="1" t="str">
        <f t="shared" si="320"/>
        <v>S3*0,5</v>
      </c>
      <c r="W195" s="182">
        <f t="shared" si="321"/>
        <v>0.57499999999999996</v>
      </c>
      <c r="AH195" s="1" t="s">
        <v>2039</v>
      </c>
      <c r="AI195" s="1" t="s">
        <v>1879</v>
      </c>
      <c r="AJ195" s="1">
        <v>0.5</v>
      </c>
    </row>
    <row r="196" spans="1:36" ht="15.75" customHeight="1" x14ac:dyDescent="0.3">
      <c r="A196" s="205" t="e">
        <f t="shared" ref="A196:C196" si="390">IF($B$1="Solo",IF(L195="","",L195),IF($B$1="Duet",IF(O195="","",O195),IF($B$1="Mixed",IF(R195="","",R195),IF(U195="","",U195))))</f>
        <v>#N/A</v>
      </c>
      <c r="B196" s="182" t="e">
        <f t="shared" si="390"/>
        <v>#N/A</v>
      </c>
      <c r="C196" s="182" t="e">
        <f t="shared" si="390"/>
        <v>#N/A</v>
      </c>
      <c r="D196" s="182" t="e">
        <f t="shared" ref="D196:E196" si="391">IF($D$1="Team",IF(AD195="","",AD195),"")</f>
        <v>#N/A</v>
      </c>
      <c r="E196" s="182" t="e">
        <f t="shared" si="391"/>
        <v>#N/A</v>
      </c>
      <c r="J196" s="170"/>
      <c r="K196" s="170"/>
      <c r="N196" s="182"/>
      <c r="O196" s="169" t="s">
        <v>131</v>
      </c>
      <c r="P196" s="1" t="str">
        <f t="shared" si="292"/>
        <v>S8*0,5</v>
      </c>
      <c r="Q196" s="182">
        <f t="shared" si="293"/>
        <v>1.575</v>
      </c>
      <c r="R196" s="169" t="s">
        <v>131</v>
      </c>
      <c r="S196" s="1" t="str">
        <f t="shared" si="294"/>
        <v>S8*0,5</v>
      </c>
      <c r="T196" s="182">
        <f t="shared" si="295"/>
        <v>1.575</v>
      </c>
      <c r="U196" s="169" t="s">
        <v>131</v>
      </c>
      <c r="V196" s="1" t="str">
        <f t="shared" si="320"/>
        <v>SC3*0,5</v>
      </c>
      <c r="W196" s="182">
        <f t="shared" si="321"/>
        <v>1.2</v>
      </c>
      <c r="AH196" s="1" t="s">
        <v>2040</v>
      </c>
      <c r="AI196" s="1" t="s">
        <v>1881</v>
      </c>
      <c r="AJ196" s="1">
        <v>0.5</v>
      </c>
    </row>
    <row r="197" spans="1:36" ht="15.75" customHeight="1" x14ac:dyDescent="0.3">
      <c r="A197" s="205" t="e">
        <f t="shared" ref="A197:C197" si="392">IF($B$1="Solo",IF(L196="","",L196),IF($B$1="Duet",IF(O196="","",O196),IF($B$1="Mixed",IF(R196="","",R196),IF(U196="","",U196))))</f>
        <v>#N/A</v>
      </c>
      <c r="B197" s="182" t="e">
        <f t="shared" si="392"/>
        <v>#N/A</v>
      </c>
      <c r="C197" s="182" t="e">
        <f t="shared" si="392"/>
        <v>#N/A</v>
      </c>
      <c r="D197" s="182" t="e">
        <f t="shared" ref="D197:E197" si="393">IF($D$1="Team",IF(AD196="","",AD196),"")</f>
        <v>#N/A</v>
      </c>
      <c r="E197" s="182" t="e">
        <f t="shared" si="393"/>
        <v>#N/A</v>
      </c>
      <c r="J197" s="170"/>
      <c r="K197" s="170"/>
      <c r="N197" s="182"/>
      <c r="O197" s="169" t="s">
        <v>131</v>
      </c>
      <c r="P197" s="1" t="str">
        <f t="shared" si="292"/>
        <v>S9*0,5</v>
      </c>
      <c r="Q197" s="182">
        <f t="shared" si="293"/>
        <v>1.7749999999999999</v>
      </c>
      <c r="R197" s="169" t="s">
        <v>131</v>
      </c>
      <c r="S197" s="1" t="str">
        <f t="shared" si="294"/>
        <v>S9*0,5</v>
      </c>
      <c r="T197" s="182">
        <f t="shared" si="295"/>
        <v>1.7749999999999999</v>
      </c>
      <c r="U197" s="169" t="s">
        <v>131</v>
      </c>
      <c r="V197" s="1" t="str">
        <f t="shared" si="320"/>
        <v>SCD3*0,5</v>
      </c>
      <c r="W197" s="182">
        <f t="shared" si="321"/>
        <v>1.2250000000000001</v>
      </c>
      <c r="AH197" s="1" t="s">
        <v>2041</v>
      </c>
      <c r="AI197" s="1" t="s">
        <v>1883</v>
      </c>
      <c r="AJ197" s="1">
        <v>0.5</v>
      </c>
    </row>
    <row r="198" spans="1:36" ht="15.75" customHeight="1" x14ac:dyDescent="0.3">
      <c r="A198" s="205" t="e">
        <f t="shared" ref="A198:C198" si="394">IF($B$1="Solo",IF(L197="","",L197),IF($B$1="Duet",IF(O197="","",O197),IF($B$1="Mixed",IF(R197="","",R197),IF(U197="","",U197))))</f>
        <v>#N/A</v>
      </c>
      <c r="B198" s="182" t="e">
        <f t="shared" si="394"/>
        <v>#N/A</v>
      </c>
      <c r="C198" s="182" t="e">
        <f t="shared" si="394"/>
        <v>#N/A</v>
      </c>
      <c r="D198" s="182" t="e">
        <f t="shared" ref="D198:E198" si="395">IF($D$1="Team",IF(AD197="","",AD197),"")</f>
        <v>#N/A</v>
      </c>
      <c r="E198" s="182" t="e">
        <f t="shared" si="395"/>
        <v>#N/A</v>
      </c>
      <c r="J198" s="170"/>
      <c r="K198" s="170"/>
      <c r="N198" s="182"/>
      <c r="O198" s="169" t="s">
        <v>131</v>
      </c>
      <c r="P198" s="1" t="str">
        <f t="shared" si="292"/>
        <v>S10*0,5</v>
      </c>
      <c r="Q198" s="182">
        <f t="shared" si="293"/>
        <v>1.9750000000000001</v>
      </c>
      <c r="R198" s="169" t="s">
        <v>131</v>
      </c>
      <c r="S198" s="1" t="str">
        <f t="shared" si="294"/>
        <v>S10*0,5</v>
      </c>
      <c r="T198" s="182">
        <f t="shared" si="295"/>
        <v>1.9750000000000001</v>
      </c>
      <c r="U198" s="169" t="s">
        <v>131</v>
      </c>
      <c r="V198" s="1" t="str">
        <f t="shared" si="320"/>
        <v>S4*0,5</v>
      </c>
      <c r="W198" s="182">
        <f t="shared" si="321"/>
        <v>0.77500000000000002</v>
      </c>
      <c r="AH198" s="1" t="s">
        <v>2042</v>
      </c>
      <c r="AI198" s="1" t="s">
        <v>1885</v>
      </c>
      <c r="AJ198" s="1">
        <v>0.5</v>
      </c>
    </row>
    <row r="199" spans="1:36" ht="15.75" customHeight="1" x14ac:dyDescent="0.3">
      <c r="A199" s="205" t="e">
        <f t="shared" ref="A199:C199" si="396">IF($B$1="Solo",IF(L198="","",L198),IF($B$1="Duet",IF(O198="","",O198),IF($B$1="Mixed",IF(R198="","",R198),IF(U198="","",U198))))</f>
        <v>#N/A</v>
      </c>
      <c r="B199" s="182" t="e">
        <f t="shared" si="396"/>
        <v>#N/A</v>
      </c>
      <c r="C199" s="182" t="e">
        <f t="shared" si="396"/>
        <v>#N/A</v>
      </c>
      <c r="D199" s="182" t="e">
        <f t="shared" ref="D199:E199" si="397">IF($D$1="Team",IF(AD198="","",AD198),"")</f>
        <v>#N/A</v>
      </c>
      <c r="E199" s="182" t="e">
        <f t="shared" si="397"/>
        <v>#N/A</v>
      </c>
      <c r="J199" s="170"/>
      <c r="K199" s="170"/>
      <c r="N199" s="182"/>
      <c r="O199" s="169" t="s">
        <v>132</v>
      </c>
      <c r="P199" s="1" t="str">
        <f t="shared" si="292"/>
        <v>RB*0,5</v>
      </c>
      <c r="Q199" s="182">
        <f t="shared" si="293"/>
        <v>0.05</v>
      </c>
      <c r="R199" s="169" t="s">
        <v>132</v>
      </c>
      <c r="S199" s="1" t="str">
        <f t="shared" si="294"/>
        <v>RB*0,5</v>
      </c>
      <c r="T199" s="182">
        <f t="shared" si="295"/>
        <v>0.05</v>
      </c>
      <c r="U199" s="169" t="s">
        <v>131</v>
      </c>
      <c r="V199" s="1" t="str">
        <f t="shared" si="320"/>
        <v>SC4*0,5</v>
      </c>
      <c r="W199" s="182">
        <f t="shared" si="321"/>
        <v>1.6</v>
      </c>
      <c r="AH199" s="1" t="s">
        <v>2043</v>
      </c>
      <c r="AI199" s="1" t="s">
        <v>1887</v>
      </c>
      <c r="AJ199" s="1">
        <v>0.5</v>
      </c>
    </row>
    <row r="200" spans="1:36" ht="15.75" customHeight="1" x14ac:dyDescent="0.3">
      <c r="A200" s="205" t="e">
        <f t="shared" ref="A200:C200" si="398">IF($B$1="Solo",IF(L199="","",L199),IF($B$1="Duet",IF(O199="","",O199),IF($B$1="Mixed",IF(R199="","",R199),IF(U199="","",U199))))</f>
        <v>#N/A</v>
      </c>
      <c r="B200" s="182" t="e">
        <f t="shared" si="398"/>
        <v>#N/A</v>
      </c>
      <c r="C200" s="182" t="e">
        <f t="shared" si="398"/>
        <v>#N/A</v>
      </c>
      <c r="D200" s="182" t="e">
        <f t="shared" ref="D200:E200" si="399">IF($D$1="Team",IF(AD199="","",AD199),"")</f>
        <v>#N/A</v>
      </c>
      <c r="E200" s="182" t="e">
        <f t="shared" si="399"/>
        <v>#N/A</v>
      </c>
      <c r="J200" s="170"/>
      <c r="K200" s="170"/>
      <c r="N200" s="182"/>
      <c r="O200" s="169" t="s">
        <v>132</v>
      </c>
      <c r="P200" s="1" t="str">
        <f t="shared" si="292"/>
        <v>1RB*0,5</v>
      </c>
      <c r="Q200" s="182">
        <f t="shared" si="293"/>
        <v>7.4999999999999997E-2</v>
      </c>
      <c r="R200" s="169" t="s">
        <v>132</v>
      </c>
      <c r="S200" s="1" t="str">
        <f t="shared" si="294"/>
        <v>1RB*0,5</v>
      </c>
      <c r="T200" s="182">
        <f t="shared" si="295"/>
        <v>7.4999999999999997E-2</v>
      </c>
      <c r="U200" s="169" t="s">
        <v>131</v>
      </c>
      <c r="V200" s="1" t="str">
        <f t="shared" si="320"/>
        <v>SCD4*0,5</v>
      </c>
      <c r="W200" s="182">
        <f t="shared" si="321"/>
        <v>1.625</v>
      </c>
      <c r="AH200" s="1" t="s">
        <v>2044</v>
      </c>
      <c r="AI200" s="1" t="s">
        <v>1889</v>
      </c>
      <c r="AJ200" s="1">
        <v>0.5</v>
      </c>
    </row>
    <row r="201" spans="1:36" ht="15.75" customHeight="1" x14ac:dyDescent="0.3">
      <c r="A201" s="205" t="e">
        <f t="shared" ref="A201:C201" si="400">IF($B$1="Solo",IF(L200="","",L200),IF($B$1="Duet",IF(O200="","",O200),IF($B$1="Mixed",IF(R200="","",R200),IF(U200="","",U200))))</f>
        <v>#N/A</v>
      </c>
      <c r="B201" s="182" t="e">
        <f t="shared" si="400"/>
        <v>#N/A</v>
      </c>
      <c r="C201" s="182" t="e">
        <f t="shared" si="400"/>
        <v>#N/A</v>
      </c>
      <c r="D201" s="182" t="e">
        <f t="shared" ref="D201:E201" si="401">IF($D$1="Team",IF(AD200="","",AD200),"")</f>
        <v>#N/A</v>
      </c>
      <c r="E201" s="182" t="e">
        <f t="shared" si="401"/>
        <v>#N/A</v>
      </c>
      <c r="J201" s="170"/>
      <c r="K201" s="170"/>
      <c r="N201" s="182"/>
      <c r="O201" s="169" t="s">
        <v>132</v>
      </c>
      <c r="P201" s="1" t="str">
        <f t="shared" si="292"/>
        <v>2RB*0,5</v>
      </c>
      <c r="Q201" s="182">
        <f t="shared" si="293"/>
        <v>0.1</v>
      </c>
      <c r="R201" s="169" t="s">
        <v>132</v>
      </c>
      <c r="S201" s="1" t="str">
        <f t="shared" si="294"/>
        <v>2RB*0,5</v>
      </c>
      <c r="T201" s="182">
        <f t="shared" si="295"/>
        <v>0.1</v>
      </c>
      <c r="U201" s="169" t="s">
        <v>131</v>
      </c>
      <c r="V201" s="1" t="str">
        <f t="shared" si="320"/>
        <v>S5*0,5</v>
      </c>
      <c r="W201" s="182">
        <f t="shared" si="321"/>
        <v>0.97499999999999998</v>
      </c>
      <c r="AH201" s="1" t="s">
        <v>2045</v>
      </c>
      <c r="AI201" s="1" t="s">
        <v>1891</v>
      </c>
      <c r="AJ201" s="1">
        <v>0.5</v>
      </c>
    </row>
    <row r="202" spans="1:36" ht="15.75" customHeight="1" x14ac:dyDescent="0.3">
      <c r="A202" s="205" t="e">
        <f t="shared" ref="A202:C202" si="402">IF($B$1="Solo",IF(L201="","",L201),IF($B$1="Duet",IF(O201="","",O201),IF($B$1="Mixed",IF(R201="","",R201),IF(U201="","",U201))))</f>
        <v>#N/A</v>
      </c>
      <c r="B202" s="182" t="e">
        <f t="shared" si="402"/>
        <v>#N/A</v>
      </c>
      <c r="C202" s="182" t="e">
        <f t="shared" si="402"/>
        <v>#N/A</v>
      </c>
      <c r="D202" s="182" t="e">
        <f t="shared" ref="D202:E202" si="403">IF($D$1="Team",IF(AD201="","",AD201),"")</f>
        <v>#N/A</v>
      </c>
      <c r="E202" s="182" t="e">
        <f t="shared" si="403"/>
        <v>#N/A</v>
      </c>
      <c r="J202" s="170"/>
      <c r="K202" s="170"/>
      <c r="N202" s="182"/>
      <c r="O202" s="169" t="s">
        <v>132</v>
      </c>
      <c r="P202" s="1" t="str">
        <f t="shared" si="292"/>
        <v>ROB*0,5</v>
      </c>
      <c r="Q202" s="182">
        <f t="shared" si="293"/>
        <v>0.125</v>
      </c>
      <c r="R202" s="169" t="s">
        <v>132</v>
      </c>
      <c r="S202" s="1" t="str">
        <f t="shared" si="294"/>
        <v>ROB*0,5</v>
      </c>
      <c r="T202" s="182">
        <f t="shared" si="295"/>
        <v>0.125</v>
      </c>
      <c r="U202" s="169" t="s">
        <v>131</v>
      </c>
      <c r="V202" s="1" t="str">
        <f t="shared" si="320"/>
        <v>SC5*0,5</v>
      </c>
      <c r="W202" s="182">
        <f t="shared" si="321"/>
        <v>2</v>
      </c>
      <c r="AH202" s="1" t="s">
        <v>2046</v>
      </c>
      <c r="AI202" s="1" t="s">
        <v>1893</v>
      </c>
      <c r="AJ202" s="1">
        <v>0.5</v>
      </c>
    </row>
    <row r="203" spans="1:36" ht="15.75" customHeight="1" x14ac:dyDescent="0.3">
      <c r="A203" s="205" t="e">
        <f t="shared" ref="A203:C203" si="404">IF($B$1="Solo",IF(L202="","",L202),IF($B$1="Duet",IF(O202="","",O202),IF($B$1="Mixed",IF(R202="","",R202),IF(U202="","",U202))))</f>
        <v>#N/A</v>
      </c>
      <c r="B203" s="182" t="e">
        <f t="shared" si="404"/>
        <v>#N/A</v>
      </c>
      <c r="C203" s="182" t="e">
        <f t="shared" si="404"/>
        <v>#N/A</v>
      </c>
      <c r="D203" s="182" t="e">
        <f t="shared" ref="D203:E203" si="405">IF($D$1="Team",IF(AD202="","",AD202),"")</f>
        <v>#N/A</v>
      </c>
      <c r="E203" s="182" t="e">
        <f t="shared" si="405"/>
        <v>#N/A</v>
      </c>
      <c r="J203" s="170"/>
      <c r="K203" s="170"/>
      <c r="N203" s="182"/>
      <c r="O203" s="169" t="s">
        <v>132</v>
      </c>
      <c r="P203" s="1" t="str">
        <f t="shared" si="292"/>
        <v>RCB*0,5</v>
      </c>
      <c r="Q203" s="182">
        <f t="shared" si="293"/>
        <v>0.125</v>
      </c>
      <c r="R203" s="169" t="s">
        <v>132</v>
      </c>
      <c r="S203" s="1" t="str">
        <f t="shared" si="294"/>
        <v>RCB*0,5</v>
      </c>
      <c r="T203" s="182">
        <f t="shared" si="295"/>
        <v>0.125</v>
      </c>
      <c r="U203" s="169" t="s">
        <v>131</v>
      </c>
      <c r="V203" s="1" t="str">
        <f t="shared" si="320"/>
        <v>SCD5*0,5</v>
      </c>
      <c r="W203" s="182">
        <f t="shared" si="321"/>
        <v>2.0249999999999999</v>
      </c>
      <c r="AH203" s="1" t="s">
        <v>2047</v>
      </c>
      <c r="AI203" s="1" t="s">
        <v>1895</v>
      </c>
      <c r="AJ203" s="1">
        <v>0.5</v>
      </c>
    </row>
    <row r="204" spans="1:36" ht="15.75" customHeight="1" x14ac:dyDescent="0.3">
      <c r="A204" s="205" t="e">
        <f t="shared" ref="A204:C204" si="406">IF($B$1="Solo",IF(L203="","",L203),IF($B$1="Duet",IF(O203="","",O203),IF($B$1="Mixed",IF(R203="","",R203),IF(U203="","",U203))))</f>
        <v>#N/A</v>
      </c>
      <c r="B204" s="182" t="e">
        <f t="shared" si="406"/>
        <v>#N/A</v>
      </c>
      <c r="C204" s="182" t="e">
        <f t="shared" si="406"/>
        <v>#N/A</v>
      </c>
      <c r="D204" s="182" t="e">
        <f t="shared" ref="D204:E204" si="407">IF($D$1="Team",IF(AD203="","",AD203),"")</f>
        <v>#N/A</v>
      </c>
      <c r="E204" s="182" t="e">
        <f t="shared" si="407"/>
        <v>#N/A</v>
      </c>
      <c r="J204" s="170"/>
      <c r="K204" s="170"/>
      <c r="N204" s="182"/>
      <c r="O204" s="169" t="s">
        <v>132</v>
      </c>
      <c r="P204" s="1" t="str">
        <f t="shared" si="292"/>
        <v>R1*0,5</v>
      </c>
      <c r="Q204" s="182">
        <f t="shared" si="293"/>
        <v>0.1</v>
      </c>
      <c r="R204" s="169" t="s">
        <v>132</v>
      </c>
      <c r="S204" s="1" t="str">
        <f t="shared" si="294"/>
        <v>R1*0,5</v>
      </c>
      <c r="T204" s="182">
        <f t="shared" si="295"/>
        <v>0.1</v>
      </c>
      <c r="U204" s="169" t="s">
        <v>131</v>
      </c>
      <c r="V204" s="1" t="str">
        <f t="shared" si="320"/>
        <v>S6*0,5</v>
      </c>
      <c r="W204" s="182">
        <f t="shared" si="321"/>
        <v>1.175</v>
      </c>
      <c r="AH204" s="1" t="s">
        <v>2048</v>
      </c>
      <c r="AI204" s="1" t="s">
        <v>1897</v>
      </c>
      <c r="AJ204" s="1">
        <v>0.5</v>
      </c>
    </row>
    <row r="205" spans="1:36" ht="15.75" customHeight="1" x14ac:dyDescent="0.3">
      <c r="A205" s="205" t="e">
        <f t="shared" ref="A205:C205" si="408">IF($B$1="Solo",IF(L204="","",L204),IF($B$1="Duet",IF(O204="","",O204),IF($B$1="Mixed",IF(R204="","",R204),IF(U204="","",U204))))</f>
        <v>#N/A</v>
      </c>
      <c r="B205" s="182" t="e">
        <f t="shared" si="408"/>
        <v>#N/A</v>
      </c>
      <c r="C205" s="182" t="e">
        <f t="shared" si="408"/>
        <v>#N/A</v>
      </c>
      <c r="D205" s="182" t="e">
        <f t="shared" ref="D205:E205" si="409">IF($D$1="Team",IF(AD204="","",AD204),"")</f>
        <v>#N/A</v>
      </c>
      <c r="E205" s="182" t="e">
        <f t="shared" si="409"/>
        <v>#N/A</v>
      </c>
      <c r="J205" s="170"/>
      <c r="K205" s="170"/>
      <c r="N205" s="182"/>
      <c r="O205" s="169" t="s">
        <v>132</v>
      </c>
      <c r="P205" s="1" t="str">
        <f t="shared" si="292"/>
        <v>1R1*0,5</v>
      </c>
      <c r="Q205" s="182">
        <f t="shared" si="293"/>
        <v>0.17499999999999999</v>
      </c>
      <c r="R205" s="169" t="s">
        <v>132</v>
      </c>
      <c r="S205" s="1" t="str">
        <f t="shared" si="294"/>
        <v>1R1*0,5</v>
      </c>
      <c r="T205" s="182">
        <f t="shared" si="295"/>
        <v>0.17499999999999999</v>
      </c>
      <c r="U205" s="169" t="s">
        <v>131</v>
      </c>
      <c r="V205" s="1" t="str">
        <f t="shared" si="320"/>
        <v>SC6*0,5</v>
      </c>
      <c r="W205" s="182">
        <f t="shared" si="321"/>
        <v>2.4</v>
      </c>
      <c r="AH205" s="1" t="s">
        <v>2049</v>
      </c>
      <c r="AI205" s="1" t="s">
        <v>1899</v>
      </c>
      <c r="AJ205" s="1">
        <v>0.5</v>
      </c>
    </row>
    <row r="206" spans="1:36" ht="15.75" customHeight="1" x14ac:dyDescent="0.3">
      <c r="A206" s="205" t="e">
        <f t="shared" ref="A206:C206" si="410">IF($B$1="Solo",IF(L205="","",L205),IF($B$1="Duet",IF(O205="","",O205),IF($B$1="Mixed",IF(R205="","",R205),IF(U205="","",U205))))</f>
        <v>#N/A</v>
      </c>
      <c r="B206" s="182" t="e">
        <f t="shared" si="410"/>
        <v>#N/A</v>
      </c>
      <c r="C206" s="182" t="e">
        <f t="shared" si="410"/>
        <v>#N/A</v>
      </c>
      <c r="D206" s="182" t="e">
        <f t="shared" ref="D206:E206" si="411">IF($D$1="Team",IF(AD205="","",AD205),"")</f>
        <v>#N/A</v>
      </c>
      <c r="E206" s="182" t="e">
        <f t="shared" si="411"/>
        <v>#N/A</v>
      </c>
      <c r="J206" s="170"/>
      <c r="K206" s="170"/>
      <c r="N206" s="182"/>
      <c r="O206" s="169" t="s">
        <v>132</v>
      </c>
      <c r="P206" s="1" t="str">
        <f t="shared" si="292"/>
        <v>2R1*0,5</v>
      </c>
      <c r="Q206" s="182">
        <f t="shared" si="293"/>
        <v>0.22500000000000001</v>
      </c>
      <c r="R206" s="169" t="s">
        <v>132</v>
      </c>
      <c r="S206" s="1" t="str">
        <f t="shared" si="294"/>
        <v>2R1*0,5</v>
      </c>
      <c r="T206" s="182">
        <f t="shared" si="295"/>
        <v>0.22500000000000001</v>
      </c>
      <c r="U206" s="169" t="s">
        <v>131</v>
      </c>
      <c r="V206" s="1" t="str">
        <f t="shared" si="320"/>
        <v>SCD6*0,5</v>
      </c>
      <c r="W206" s="182">
        <f t="shared" si="321"/>
        <v>2.4249999999999998</v>
      </c>
      <c r="AH206" s="1" t="s">
        <v>2050</v>
      </c>
      <c r="AI206" s="1" t="s">
        <v>1901</v>
      </c>
      <c r="AJ206" s="1">
        <v>0.5</v>
      </c>
    </row>
    <row r="207" spans="1:36" ht="15.75" customHeight="1" x14ac:dyDescent="0.3">
      <c r="A207" s="205" t="e">
        <f t="shared" ref="A207:C207" si="412">IF($B$1="Solo",IF(L206="","",L206),IF($B$1="Duet",IF(O206="","",O206),IF($B$1="Mixed",IF(R206="","",R206),IF(U206="","",U206))))</f>
        <v>#N/A</v>
      </c>
      <c r="B207" s="182" t="e">
        <f t="shared" si="412"/>
        <v>#N/A</v>
      </c>
      <c r="C207" s="182" t="e">
        <f t="shared" si="412"/>
        <v>#N/A</v>
      </c>
      <c r="D207" s="182" t="e">
        <f t="shared" ref="D207:E207" si="413">IF($D$1="Team",IF(AD206="","",AD206),"")</f>
        <v>#N/A</v>
      </c>
      <c r="E207" s="182" t="e">
        <f t="shared" si="413"/>
        <v>#N/A</v>
      </c>
      <c r="J207" s="170"/>
      <c r="K207" s="170"/>
      <c r="N207" s="182"/>
      <c r="O207" s="169" t="s">
        <v>132</v>
      </c>
      <c r="P207" s="1" t="str">
        <f t="shared" si="292"/>
        <v>RD1*0,5</v>
      </c>
      <c r="Q207" s="182">
        <f t="shared" si="293"/>
        <v>0.25</v>
      </c>
      <c r="R207" s="169" t="s">
        <v>132</v>
      </c>
      <c r="S207" s="1" t="str">
        <f t="shared" si="294"/>
        <v>RD1*0,5</v>
      </c>
      <c r="T207" s="182">
        <f t="shared" si="295"/>
        <v>0.25</v>
      </c>
      <c r="U207" s="169" t="s">
        <v>131</v>
      </c>
      <c r="V207" s="1" t="str">
        <f t="shared" si="320"/>
        <v>S7*0,5</v>
      </c>
      <c r="W207" s="182">
        <f t="shared" si="321"/>
        <v>1.375</v>
      </c>
      <c r="AH207" s="1" t="s">
        <v>2051</v>
      </c>
      <c r="AI207" s="1" t="s">
        <v>1903</v>
      </c>
      <c r="AJ207" s="1">
        <v>0.5</v>
      </c>
    </row>
    <row r="208" spans="1:36" ht="15.75" customHeight="1" x14ac:dyDescent="0.3">
      <c r="A208" s="205" t="e">
        <f t="shared" ref="A208:C208" si="414">IF($B$1="Solo",IF(L207="","",L207),IF($B$1="Duet",IF(O207="","",O207),IF($B$1="Mixed",IF(R207="","",R207),IF(U207="","",U207))))</f>
        <v>#N/A</v>
      </c>
      <c r="B208" s="182" t="e">
        <f t="shared" si="414"/>
        <v>#N/A</v>
      </c>
      <c r="C208" s="182" t="e">
        <f t="shared" si="414"/>
        <v>#N/A</v>
      </c>
      <c r="D208" s="182" t="e">
        <f t="shared" ref="D208:E208" si="415">IF($D$1="Team",IF(AD207="","",AD207),"")</f>
        <v>#N/A</v>
      </c>
      <c r="E208" s="182" t="e">
        <f t="shared" si="415"/>
        <v>#N/A</v>
      </c>
      <c r="J208" s="170"/>
      <c r="K208" s="170"/>
      <c r="N208" s="182"/>
      <c r="O208" s="169" t="s">
        <v>132</v>
      </c>
      <c r="P208" s="1" t="str">
        <f t="shared" si="292"/>
        <v>RU1*0,5</v>
      </c>
      <c r="Q208" s="182">
        <f t="shared" si="293"/>
        <v>0.27500000000000002</v>
      </c>
      <c r="R208" s="169" t="s">
        <v>132</v>
      </c>
      <c r="S208" s="1" t="str">
        <f t="shared" si="294"/>
        <v>RU1*0,5</v>
      </c>
      <c r="T208" s="182">
        <f t="shared" si="295"/>
        <v>0.27500000000000002</v>
      </c>
      <c r="U208" s="169" t="s">
        <v>131</v>
      </c>
      <c r="V208" s="1" t="str">
        <f t="shared" si="320"/>
        <v>S8*0,5</v>
      </c>
      <c r="W208" s="182">
        <f t="shared" si="321"/>
        <v>1.575</v>
      </c>
      <c r="AH208" s="1" t="s">
        <v>2052</v>
      </c>
      <c r="AI208" s="1" t="s">
        <v>1905</v>
      </c>
      <c r="AJ208" s="1">
        <v>0.5</v>
      </c>
    </row>
    <row r="209" spans="1:36" ht="15.75" customHeight="1" x14ac:dyDescent="0.3">
      <c r="A209" s="205" t="e">
        <f t="shared" ref="A209:C209" si="416">IF($B$1="Solo",IF(L208="","",L208),IF($B$1="Duet",IF(O208="","",O208),IF($B$1="Mixed",IF(R208="","",R208),IF(U208="","",U208))))</f>
        <v>#N/A</v>
      </c>
      <c r="B209" s="182" t="e">
        <f t="shared" si="416"/>
        <v>#N/A</v>
      </c>
      <c r="C209" s="182" t="e">
        <f t="shared" si="416"/>
        <v>#N/A</v>
      </c>
      <c r="D209" s="182" t="e">
        <f t="shared" ref="D209:E209" si="417">IF($D$1="Team",IF(AD208="","",AD208),"")</f>
        <v>#N/A</v>
      </c>
      <c r="E209" s="182" t="e">
        <f t="shared" si="417"/>
        <v>#N/A</v>
      </c>
      <c r="J209" s="170"/>
      <c r="K209" s="170"/>
      <c r="N209" s="182"/>
      <c r="O209" s="169" t="s">
        <v>132</v>
      </c>
      <c r="P209" s="1" t="str">
        <f t="shared" si="292"/>
        <v>RO1*0,5</v>
      </c>
      <c r="Q209" s="182">
        <f t="shared" si="293"/>
        <v>0.27500000000000002</v>
      </c>
      <c r="R209" s="169" t="s">
        <v>132</v>
      </c>
      <c r="S209" s="1" t="str">
        <f t="shared" si="294"/>
        <v>RO1*0,5</v>
      </c>
      <c r="T209" s="182">
        <f t="shared" si="295"/>
        <v>0.27500000000000002</v>
      </c>
      <c r="U209" s="169" t="s">
        <v>131</v>
      </c>
      <c r="V209" s="1" t="str">
        <f t="shared" si="320"/>
        <v>S9*0,5</v>
      </c>
      <c r="W209" s="182">
        <f t="shared" si="321"/>
        <v>1.7749999999999999</v>
      </c>
      <c r="AH209" s="1" t="s">
        <v>2053</v>
      </c>
      <c r="AI209" s="1" t="s">
        <v>1907</v>
      </c>
      <c r="AJ209" s="1">
        <v>0.5</v>
      </c>
    </row>
    <row r="210" spans="1:36" ht="15.75" customHeight="1" x14ac:dyDescent="0.3">
      <c r="A210" s="205" t="e">
        <f t="shared" ref="A210:C210" si="418">IF($B$1="Solo",IF(L209="","",L209),IF($B$1="Duet",IF(O209="","",O209),IF($B$1="Mixed",IF(R209="","",R209),IF(U209="","",U209))))</f>
        <v>#N/A</v>
      </c>
      <c r="B210" s="182" t="e">
        <f t="shared" si="418"/>
        <v>#N/A</v>
      </c>
      <c r="C210" s="182" t="e">
        <f t="shared" si="418"/>
        <v>#N/A</v>
      </c>
      <c r="D210" s="182" t="e">
        <f t="shared" ref="D210:E210" si="419">IF($D$1="Team",IF(AD209="","",AD209),"")</f>
        <v>#N/A</v>
      </c>
      <c r="E210" s="182" t="e">
        <f t="shared" si="419"/>
        <v>#N/A</v>
      </c>
      <c r="J210" s="170"/>
      <c r="K210" s="170"/>
      <c r="N210" s="182"/>
      <c r="O210" s="169" t="s">
        <v>132</v>
      </c>
      <c r="P210" s="1" t="str">
        <f t="shared" si="292"/>
        <v>RC1*0,5</v>
      </c>
      <c r="Q210" s="182">
        <f t="shared" si="293"/>
        <v>0.27500000000000002</v>
      </c>
      <c r="R210" s="169" t="s">
        <v>132</v>
      </c>
      <c r="S210" s="1" t="str">
        <f t="shared" si="294"/>
        <v>RC1*0,5</v>
      </c>
      <c r="T210" s="182">
        <f t="shared" si="295"/>
        <v>0.27500000000000002</v>
      </c>
      <c r="U210" s="169" t="s">
        <v>131</v>
      </c>
      <c r="V210" s="1" t="str">
        <f t="shared" si="320"/>
        <v>S10*0,5</v>
      </c>
      <c r="W210" s="182">
        <f t="shared" si="321"/>
        <v>1.9750000000000001</v>
      </c>
      <c r="AH210" s="1" t="s">
        <v>2054</v>
      </c>
      <c r="AI210" s="1" t="s">
        <v>1909</v>
      </c>
      <c r="AJ210" s="1">
        <v>0.5</v>
      </c>
    </row>
    <row r="211" spans="1:36" ht="15.75" customHeight="1" x14ac:dyDescent="0.3">
      <c r="A211" s="205" t="e">
        <f t="shared" ref="A211:C211" si="420">IF($B$1="Solo",IF(L210="","",L210),IF($B$1="Duet",IF(O210="","",O210),IF($B$1="Mixed",IF(R210="","",R210),IF(U210="","",U210))))</f>
        <v>#N/A</v>
      </c>
      <c r="B211" s="182" t="e">
        <f t="shared" si="420"/>
        <v>#N/A</v>
      </c>
      <c r="C211" s="182" t="e">
        <f t="shared" si="420"/>
        <v>#N/A</v>
      </c>
      <c r="D211" s="182" t="e">
        <f t="shared" ref="D211:E211" si="421">IF($D$1="Team",IF(AD210="","",AD210),"")</f>
        <v>#N/A</v>
      </c>
      <c r="E211" s="182" t="e">
        <f t="shared" si="421"/>
        <v>#N/A</v>
      </c>
      <c r="J211" s="170"/>
      <c r="K211" s="170"/>
      <c r="N211" s="182"/>
      <c r="O211" s="169" t="s">
        <v>132</v>
      </c>
      <c r="P211" s="1" t="str">
        <f t="shared" si="292"/>
        <v>R2*0,5</v>
      </c>
      <c r="Q211" s="182">
        <f t="shared" si="293"/>
        <v>0.2</v>
      </c>
      <c r="R211" s="169" t="s">
        <v>132</v>
      </c>
      <c r="S211" s="1" t="str">
        <f t="shared" si="294"/>
        <v>R2*0,5</v>
      </c>
      <c r="T211" s="182">
        <f t="shared" si="295"/>
        <v>0.2</v>
      </c>
      <c r="U211" s="169" t="s">
        <v>132</v>
      </c>
      <c r="V211" s="1" t="str">
        <f t="shared" si="320"/>
        <v>RB*0,5</v>
      </c>
      <c r="W211" s="182">
        <f t="shared" si="321"/>
        <v>0.05</v>
      </c>
      <c r="AH211" s="1" t="s">
        <v>2055</v>
      </c>
      <c r="AI211" s="1" t="s">
        <v>1911</v>
      </c>
      <c r="AJ211" s="1">
        <v>0.5</v>
      </c>
    </row>
    <row r="212" spans="1:36" ht="15.75" customHeight="1" x14ac:dyDescent="0.3">
      <c r="A212" s="205" t="e">
        <f t="shared" ref="A212:C212" si="422">IF($B$1="Solo",IF(L211="","",L211),IF($B$1="Duet",IF(O211="","",O211),IF($B$1="Mixed",IF(R211="","",R211),IF(U211="","",U211))))</f>
        <v>#N/A</v>
      </c>
      <c r="B212" s="182" t="e">
        <f t="shared" si="422"/>
        <v>#N/A</v>
      </c>
      <c r="C212" s="182" t="e">
        <f t="shared" si="422"/>
        <v>#N/A</v>
      </c>
      <c r="D212" s="182" t="e">
        <f t="shared" ref="D212:E212" si="423">IF($D$1="Team",IF(AD211="","",AD211),"")</f>
        <v>#N/A</v>
      </c>
      <c r="E212" s="182" t="e">
        <f t="shared" si="423"/>
        <v>#N/A</v>
      </c>
      <c r="J212" s="170"/>
      <c r="K212" s="170"/>
      <c r="N212" s="182"/>
      <c r="O212" s="169" t="s">
        <v>132</v>
      </c>
      <c r="P212" s="1" t="str">
        <f t="shared" si="292"/>
        <v>1R2*0,5</v>
      </c>
      <c r="Q212" s="182">
        <f t="shared" si="293"/>
        <v>0.375</v>
      </c>
      <c r="R212" s="169" t="s">
        <v>132</v>
      </c>
      <c r="S212" s="1" t="str">
        <f t="shared" si="294"/>
        <v>1R2*0,5</v>
      </c>
      <c r="T212" s="182">
        <f t="shared" si="295"/>
        <v>0.375</v>
      </c>
      <c r="U212" s="169" t="s">
        <v>132</v>
      </c>
      <c r="V212" s="1" t="str">
        <f t="shared" si="320"/>
        <v>1RB*0,5</v>
      </c>
      <c r="W212" s="182">
        <f t="shared" si="321"/>
        <v>7.4999999999999997E-2</v>
      </c>
      <c r="AH212" s="1" t="s">
        <v>2056</v>
      </c>
      <c r="AI212" s="1" t="s">
        <v>1913</v>
      </c>
      <c r="AJ212" s="1">
        <v>0.5</v>
      </c>
    </row>
    <row r="213" spans="1:36" ht="15.75" customHeight="1" x14ac:dyDescent="0.3">
      <c r="A213" s="205" t="e">
        <f t="shared" ref="A213:C213" si="424">IF($B$1="Solo",IF(L212="","",L212),IF($B$1="Duet",IF(O212="","",O212),IF($B$1="Mixed",IF(R212="","",R212),IF(U212="","",U212))))</f>
        <v>#N/A</v>
      </c>
      <c r="B213" s="182" t="e">
        <f t="shared" si="424"/>
        <v>#N/A</v>
      </c>
      <c r="C213" s="182" t="e">
        <f t="shared" si="424"/>
        <v>#N/A</v>
      </c>
      <c r="D213" s="182" t="e">
        <f t="shared" ref="D213:E213" si="425">IF($D$1="Team",IF(AD212="","",AD212),"")</f>
        <v>#N/A</v>
      </c>
      <c r="E213" s="182" t="e">
        <f t="shared" si="425"/>
        <v>#N/A</v>
      </c>
      <c r="J213" s="170"/>
      <c r="K213" s="170"/>
      <c r="N213" s="182"/>
      <c r="O213" s="169" t="s">
        <v>132</v>
      </c>
      <c r="P213" s="1" t="str">
        <f t="shared" si="292"/>
        <v>2R2*0,5</v>
      </c>
      <c r="Q213" s="182">
        <f t="shared" si="293"/>
        <v>0.47499999999999998</v>
      </c>
      <c r="R213" s="169" t="s">
        <v>132</v>
      </c>
      <c r="S213" s="1" t="str">
        <f t="shared" si="294"/>
        <v>2R2*0,5</v>
      </c>
      <c r="T213" s="182">
        <f t="shared" si="295"/>
        <v>0.47499999999999998</v>
      </c>
      <c r="U213" s="169" t="s">
        <v>132</v>
      </c>
      <c r="V213" s="1" t="str">
        <f t="shared" si="320"/>
        <v>2RB*0,5</v>
      </c>
      <c r="W213" s="182">
        <f t="shared" si="321"/>
        <v>0.1</v>
      </c>
      <c r="AH213" s="1" t="s">
        <v>2057</v>
      </c>
      <c r="AI213" s="1" t="s">
        <v>1915</v>
      </c>
      <c r="AJ213" s="1">
        <v>0.5</v>
      </c>
    </row>
    <row r="214" spans="1:36" ht="15.75" customHeight="1" x14ac:dyDescent="0.3">
      <c r="A214" s="205" t="e">
        <f t="shared" ref="A214:C214" si="426">IF($B$1="Solo",IF(L213="","",L213),IF($B$1="Duet",IF(O213="","",O213),IF($B$1="Mixed",IF(R213="","",R213),IF(U213="","",U213))))</f>
        <v>#N/A</v>
      </c>
      <c r="B214" s="182" t="e">
        <f t="shared" si="426"/>
        <v>#N/A</v>
      </c>
      <c r="C214" s="182" t="e">
        <f t="shared" si="426"/>
        <v>#N/A</v>
      </c>
      <c r="D214" s="182" t="e">
        <f t="shared" ref="D214:E214" si="427">IF($D$1="Team",IF(AD213="","",AD213),"")</f>
        <v>#N/A</v>
      </c>
      <c r="E214" s="182" t="e">
        <f t="shared" si="427"/>
        <v>#N/A</v>
      </c>
      <c r="J214" s="170"/>
      <c r="K214" s="170"/>
      <c r="N214" s="182"/>
      <c r="O214" s="169" t="s">
        <v>132</v>
      </c>
      <c r="P214" s="1" t="str">
        <f t="shared" si="292"/>
        <v>RD2*0,5</v>
      </c>
      <c r="Q214" s="182">
        <f t="shared" si="293"/>
        <v>0.52500000000000002</v>
      </c>
      <c r="R214" s="169" t="s">
        <v>132</v>
      </c>
      <c r="S214" s="1" t="str">
        <f t="shared" si="294"/>
        <v>RD2*0,5</v>
      </c>
      <c r="T214" s="182">
        <f t="shared" si="295"/>
        <v>0.52500000000000002</v>
      </c>
      <c r="U214" s="169" t="s">
        <v>132</v>
      </c>
      <c r="V214" s="1" t="str">
        <f t="shared" si="320"/>
        <v>ROB*0,5</v>
      </c>
      <c r="W214" s="182">
        <f t="shared" si="321"/>
        <v>0.125</v>
      </c>
      <c r="AH214" s="1" t="s">
        <v>2058</v>
      </c>
      <c r="AI214" s="1" t="s">
        <v>1917</v>
      </c>
      <c r="AJ214" s="1">
        <v>0.5</v>
      </c>
    </row>
    <row r="215" spans="1:36" ht="15.75" customHeight="1" x14ac:dyDescent="0.3">
      <c r="A215" s="205" t="e">
        <f t="shared" ref="A215:C215" si="428">IF($B$1="Solo",IF(L214="","",L214),IF($B$1="Duet",IF(O214="","",O214),IF($B$1="Mixed",IF(R214="","",R214),IF(U214="","",U214))))</f>
        <v>#N/A</v>
      </c>
      <c r="B215" s="182" t="e">
        <f t="shared" si="428"/>
        <v>#N/A</v>
      </c>
      <c r="C215" s="182" t="e">
        <f t="shared" si="428"/>
        <v>#N/A</v>
      </c>
      <c r="D215" s="182" t="e">
        <f t="shared" ref="D215:E215" si="429">IF($D$1="Team",IF(AD214="","",AD214),"")</f>
        <v>#N/A</v>
      </c>
      <c r="E215" s="182" t="e">
        <f t="shared" si="429"/>
        <v>#N/A</v>
      </c>
      <c r="J215" s="170"/>
      <c r="K215" s="170"/>
      <c r="N215" s="182"/>
      <c r="O215" s="169" t="s">
        <v>132</v>
      </c>
      <c r="P215" s="1" t="str">
        <f t="shared" si="292"/>
        <v>RU2*0,5</v>
      </c>
      <c r="Q215" s="182">
        <f t="shared" si="293"/>
        <v>0.57499999999999996</v>
      </c>
      <c r="R215" s="169" t="s">
        <v>132</v>
      </c>
      <c r="S215" s="1" t="str">
        <f t="shared" si="294"/>
        <v>RU2*0,5</v>
      </c>
      <c r="T215" s="182">
        <f t="shared" si="295"/>
        <v>0.57499999999999996</v>
      </c>
      <c r="U215" s="169" t="s">
        <v>132</v>
      </c>
      <c r="V215" s="1" t="str">
        <f t="shared" si="320"/>
        <v>RCB*0,5</v>
      </c>
      <c r="W215" s="182">
        <f t="shared" si="321"/>
        <v>0.125</v>
      </c>
      <c r="AH215" s="1" t="s">
        <v>2059</v>
      </c>
      <c r="AI215" s="1" t="s">
        <v>1919</v>
      </c>
      <c r="AJ215" s="1">
        <v>0.5</v>
      </c>
    </row>
    <row r="216" spans="1:36" ht="15.75" customHeight="1" x14ac:dyDescent="0.3">
      <c r="A216" s="205" t="e">
        <f t="shared" ref="A216:C216" si="430">IF($B$1="Solo",IF(L215="","",L215),IF($B$1="Duet",IF(O215="","",O215),IF($B$1="Mixed",IF(R215="","",R215),IF(U215="","",U215))))</f>
        <v>#N/A</v>
      </c>
      <c r="B216" s="182" t="e">
        <f t="shared" si="430"/>
        <v>#N/A</v>
      </c>
      <c r="C216" s="182" t="e">
        <f t="shared" si="430"/>
        <v>#N/A</v>
      </c>
      <c r="D216" s="182" t="e">
        <f t="shared" ref="D216:E216" si="431">IF($D$1="Team",IF(AD215="","",AD215),"")</f>
        <v>#N/A</v>
      </c>
      <c r="E216" s="182" t="e">
        <f t="shared" si="431"/>
        <v>#N/A</v>
      </c>
      <c r="J216" s="170"/>
      <c r="K216" s="170"/>
      <c r="N216" s="182"/>
      <c r="O216" s="169" t="s">
        <v>132</v>
      </c>
      <c r="P216" s="1" t="str">
        <f t="shared" si="292"/>
        <v>R3*0,5</v>
      </c>
      <c r="Q216" s="182">
        <f t="shared" si="293"/>
        <v>0.3</v>
      </c>
      <c r="R216" s="169" t="s">
        <v>132</v>
      </c>
      <c r="S216" s="1" t="str">
        <f t="shared" si="294"/>
        <v>R3*0,5</v>
      </c>
      <c r="T216" s="182">
        <f t="shared" si="295"/>
        <v>0.3</v>
      </c>
      <c r="U216" s="169" t="s">
        <v>132</v>
      </c>
      <c r="V216" s="1" t="str">
        <f t="shared" si="320"/>
        <v>R1*0,5</v>
      </c>
      <c r="W216" s="182">
        <f t="shared" si="321"/>
        <v>0.1</v>
      </c>
      <c r="AH216" s="1" t="s">
        <v>2060</v>
      </c>
      <c r="AI216" s="1" t="s">
        <v>1363</v>
      </c>
      <c r="AJ216" s="1">
        <v>0.5</v>
      </c>
    </row>
    <row r="217" spans="1:36" ht="15.75" customHeight="1" x14ac:dyDescent="0.3">
      <c r="A217" s="205" t="e">
        <f t="shared" ref="A217:C217" si="432">IF($B$1="Solo",IF(L216="","",L216),IF($B$1="Duet",IF(O216="","",O216),IF($B$1="Mixed",IF(R216="","",R216),IF(U216="","",U216))))</f>
        <v>#N/A</v>
      </c>
      <c r="B217" s="182" t="e">
        <f t="shared" si="432"/>
        <v>#N/A</v>
      </c>
      <c r="C217" s="182" t="e">
        <f t="shared" si="432"/>
        <v>#N/A</v>
      </c>
      <c r="D217" s="182" t="e">
        <f t="shared" ref="D217:E217" si="433">IF($D$1="Team",IF(AD216="","",AD216),"")</f>
        <v>#N/A</v>
      </c>
      <c r="E217" s="182" t="e">
        <f t="shared" si="433"/>
        <v>#N/A</v>
      </c>
      <c r="J217" s="170"/>
      <c r="K217" s="170"/>
      <c r="N217" s="182"/>
      <c r="O217" s="169" t="s">
        <v>132</v>
      </c>
      <c r="P217" s="1" t="str">
        <f t="shared" si="292"/>
        <v>1R3*0,5</v>
      </c>
      <c r="Q217" s="182">
        <f t="shared" si="293"/>
        <v>0.57499999999999996</v>
      </c>
      <c r="R217" s="169" t="s">
        <v>132</v>
      </c>
      <c r="S217" s="1" t="str">
        <f t="shared" si="294"/>
        <v>1R3*0,5</v>
      </c>
      <c r="T217" s="182">
        <f t="shared" si="295"/>
        <v>0.57499999999999996</v>
      </c>
      <c r="U217" s="169" t="s">
        <v>132</v>
      </c>
      <c r="V217" s="1" t="str">
        <f t="shared" si="320"/>
        <v>1R1*0,5</v>
      </c>
      <c r="W217" s="182">
        <f t="shared" si="321"/>
        <v>0.17499999999999999</v>
      </c>
      <c r="AH217" s="1" t="s">
        <v>2061</v>
      </c>
      <c r="AI217" s="1" t="s">
        <v>1922</v>
      </c>
      <c r="AJ217" s="1">
        <v>0.5</v>
      </c>
    </row>
    <row r="218" spans="1:36" ht="15.75" customHeight="1" x14ac:dyDescent="0.3">
      <c r="A218" s="205" t="e">
        <f t="shared" ref="A218:C218" si="434">IF($B$1="Solo",IF(L217="","",L217),IF($B$1="Duet",IF(O217="","",O217),IF($B$1="Mixed",IF(R217="","",R217),IF(U217="","",U217))))</f>
        <v>#N/A</v>
      </c>
      <c r="B218" s="182" t="e">
        <f t="shared" si="434"/>
        <v>#N/A</v>
      </c>
      <c r="C218" s="182" t="e">
        <f t="shared" si="434"/>
        <v>#N/A</v>
      </c>
      <c r="D218" s="182" t="e">
        <f t="shared" ref="D218:E218" si="435">IF($D$1="Team",IF(AD217="","",AD217),"")</f>
        <v>#N/A</v>
      </c>
      <c r="E218" s="182" t="e">
        <f t="shared" si="435"/>
        <v>#N/A</v>
      </c>
      <c r="J218" s="170"/>
      <c r="K218" s="170"/>
      <c r="N218" s="182"/>
      <c r="O218" s="169" t="s">
        <v>132</v>
      </c>
      <c r="P218" s="1" t="str">
        <f t="shared" si="292"/>
        <v>2R3*0,5</v>
      </c>
      <c r="Q218" s="182">
        <f t="shared" si="293"/>
        <v>0.72499999999999998</v>
      </c>
      <c r="R218" s="169" t="s">
        <v>132</v>
      </c>
      <c r="S218" s="1" t="str">
        <f t="shared" si="294"/>
        <v>2R3*0,5</v>
      </c>
      <c r="T218" s="182">
        <f t="shared" si="295"/>
        <v>0.72499999999999998</v>
      </c>
      <c r="U218" s="169" t="s">
        <v>132</v>
      </c>
      <c r="V218" s="1" t="str">
        <f t="shared" si="320"/>
        <v>2R1*0,5</v>
      </c>
      <c r="W218" s="182">
        <f t="shared" si="321"/>
        <v>0.22500000000000001</v>
      </c>
      <c r="AH218" s="1" t="s">
        <v>2062</v>
      </c>
      <c r="AI218" s="1" t="s">
        <v>1924</v>
      </c>
      <c r="AJ218" s="1">
        <v>0.5</v>
      </c>
    </row>
    <row r="219" spans="1:36" ht="15.75" customHeight="1" x14ac:dyDescent="0.3">
      <c r="A219" s="205" t="e">
        <f t="shared" ref="A219:C219" si="436">IF($B$1="Solo",IF(L218="","",L218),IF($B$1="Duet",IF(O218="","",O218),IF($B$1="Mixed",IF(R218="","",R218),IF(U218="","",U218))))</f>
        <v>#N/A</v>
      </c>
      <c r="B219" s="182" t="e">
        <f t="shared" si="436"/>
        <v>#N/A</v>
      </c>
      <c r="C219" s="182" t="e">
        <f t="shared" si="436"/>
        <v>#N/A</v>
      </c>
      <c r="D219" s="182" t="e">
        <f t="shared" ref="D219:E219" si="437">IF($D$1="Team",IF(AD218="","",AD218),"")</f>
        <v>#N/A</v>
      </c>
      <c r="E219" s="182" t="e">
        <f t="shared" si="437"/>
        <v>#N/A</v>
      </c>
      <c r="J219" s="170"/>
      <c r="K219" s="170"/>
      <c r="N219" s="182"/>
      <c r="O219" s="169" t="s">
        <v>132</v>
      </c>
      <c r="P219" s="1" t="str">
        <f t="shared" si="292"/>
        <v>RU3*0,5</v>
      </c>
      <c r="Q219" s="182">
        <f t="shared" si="293"/>
        <v>0.875</v>
      </c>
      <c r="R219" s="169" t="s">
        <v>132</v>
      </c>
      <c r="S219" s="1" t="str">
        <f t="shared" si="294"/>
        <v>RU3*0,5</v>
      </c>
      <c r="T219" s="182">
        <f t="shared" si="295"/>
        <v>0.875</v>
      </c>
      <c r="U219" s="169" t="s">
        <v>132</v>
      </c>
      <c r="V219" s="1" t="str">
        <f t="shared" si="320"/>
        <v>RD1*0,5</v>
      </c>
      <c r="W219" s="182">
        <f t="shared" si="321"/>
        <v>0.25</v>
      </c>
      <c r="AH219" s="1" t="s">
        <v>2063</v>
      </c>
      <c r="AI219" s="1" t="s">
        <v>1926</v>
      </c>
      <c r="AJ219" s="1">
        <v>0.5</v>
      </c>
    </row>
    <row r="220" spans="1:36" ht="15.75" customHeight="1" x14ac:dyDescent="0.3">
      <c r="A220" s="205" t="e">
        <f t="shared" ref="A220:C220" si="438">IF($B$1="Solo",IF(L219="","",L219),IF($B$1="Duet",IF(O219="","",O219),IF($B$1="Mixed",IF(R219="","",R219),IF(U219="","",U219))))</f>
        <v>#N/A</v>
      </c>
      <c r="B220" s="182" t="e">
        <f t="shared" si="438"/>
        <v>#N/A</v>
      </c>
      <c r="C220" s="182" t="e">
        <f t="shared" si="438"/>
        <v>#N/A</v>
      </c>
      <c r="D220" s="182" t="e">
        <f t="shared" ref="D220:E220" si="439">IF($D$1="Team",IF(AD219="","",AD219),"")</f>
        <v>#N/A</v>
      </c>
      <c r="E220" s="182" t="e">
        <f t="shared" si="439"/>
        <v>#N/A</v>
      </c>
      <c r="J220" s="170"/>
      <c r="K220" s="170"/>
      <c r="N220" s="182"/>
      <c r="O220" s="169" t="s">
        <v>132</v>
      </c>
      <c r="P220" s="1" t="str">
        <f t="shared" si="292"/>
        <v>R4*0,5</v>
      </c>
      <c r="Q220" s="182">
        <f t="shared" si="293"/>
        <v>0.4</v>
      </c>
      <c r="R220" s="169" t="s">
        <v>132</v>
      </c>
      <c r="S220" s="1" t="str">
        <f t="shared" si="294"/>
        <v>R4*0,5</v>
      </c>
      <c r="T220" s="182">
        <f t="shared" si="295"/>
        <v>0.4</v>
      </c>
      <c r="U220" s="169" t="s">
        <v>132</v>
      </c>
      <c r="V220" s="1" t="str">
        <f t="shared" si="320"/>
        <v>RU1*0,5</v>
      </c>
      <c r="W220" s="182">
        <f t="shared" si="321"/>
        <v>0.27500000000000002</v>
      </c>
      <c r="AH220" s="1" t="s">
        <v>2064</v>
      </c>
      <c r="AI220" s="1" t="s">
        <v>1928</v>
      </c>
      <c r="AJ220" s="1">
        <v>0.5</v>
      </c>
    </row>
    <row r="221" spans="1:36" ht="15.75" customHeight="1" x14ac:dyDescent="0.3">
      <c r="A221" s="205" t="e">
        <f t="shared" ref="A221:C221" si="440">IF($B$1="Solo",IF(L220="","",L220),IF($B$1="Duet",IF(O220="","",O220),IF($B$1="Mixed",IF(R220="","",R220),IF(U220="","",U220))))</f>
        <v>#N/A</v>
      </c>
      <c r="B221" s="182" t="e">
        <f t="shared" si="440"/>
        <v>#N/A</v>
      </c>
      <c r="C221" s="182" t="e">
        <f t="shared" si="440"/>
        <v>#N/A</v>
      </c>
      <c r="D221" s="182" t="e">
        <f t="shared" ref="D221:E221" si="441">IF($D$1="Team",IF(AD220="","",AD220),"")</f>
        <v>#N/A</v>
      </c>
      <c r="E221" s="182" t="e">
        <f t="shared" si="441"/>
        <v>#N/A</v>
      </c>
      <c r="J221" s="170"/>
      <c r="K221" s="170"/>
      <c r="N221" s="182"/>
      <c r="O221" s="169" t="s">
        <v>132</v>
      </c>
      <c r="P221" s="1" t="str">
        <f t="shared" si="292"/>
        <v>1R4*0,5</v>
      </c>
      <c r="Q221" s="182">
        <f t="shared" si="293"/>
        <v>0.77500000000000002</v>
      </c>
      <c r="R221" s="169" t="s">
        <v>132</v>
      </c>
      <c r="S221" s="1" t="str">
        <f t="shared" si="294"/>
        <v>1R4*0,5</v>
      </c>
      <c r="T221" s="182">
        <f t="shared" si="295"/>
        <v>0.77500000000000002</v>
      </c>
      <c r="U221" s="169" t="s">
        <v>132</v>
      </c>
      <c r="V221" s="1" t="str">
        <f t="shared" si="320"/>
        <v>RO1*0,5</v>
      </c>
      <c r="W221" s="182">
        <f t="shared" si="321"/>
        <v>0.27500000000000002</v>
      </c>
      <c r="AH221" s="1" t="s">
        <v>2065</v>
      </c>
      <c r="AI221" s="1" t="s">
        <v>1930</v>
      </c>
      <c r="AJ221" s="1">
        <v>0.5</v>
      </c>
    </row>
    <row r="222" spans="1:36" ht="15.75" customHeight="1" x14ac:dyDescent="0.3">
      <c r="A222" s="205" t="e">
        <f t="shared" ref="A222:C222" si="442">IF($B$1="Solo",IF(L221="","",L221),IF($B$1="Duet",IF(O221="","",O221),IF($B$1="Mixed",IF(R221="","",R221),IF(U221="","",U221))))</f>
        <v>#N/A</v>
      </c>
      <c r="B222" s="182" t="e">
        <f t="shared" si="442"/>
        <v>#N/A</v>
      </c>
      <c r="C222" s="182" t="e">
        <f t="shared" si="442"/>
        <v>#N/A</v>
      </c>
      <c r="D222" s="182" t="e">
        <f t="shared" ref="D222:E222" si="443">IF($D$1="Team",IF(AD221="","",AD221),"")</f>
        <v>#N/A</v>
      </c>
      <c r="E222" s="182" t="e">
        <f t="shared" si="443"/>
        <v>#N/A</v>
      </c>
      <c r="J222" s="170"/>
      <c r="K222" s="170"/>
      <c r="N222" s="182"/>
      <c r="O222" s="169" t="s">
        <v>132</v>
      </c>
      <c r="P222" s="1" t="str">
        <f t="shared" si="292"/>
        <v>2R4*0,5</v>
      </c>
      <c r="Q222" s="182">
        <f t="shared" si="293"/>
        <v>0.97499999999999998</v>
      </c>
      <c r="R222" s="169" t="s">
        <v>132</v>
      </c>
      <c r="S222" s="1" t="str">
        <f t="shared" si="294"/>
        <v>2R4*0,5</v>
      </c>
      <c r="T222" s="182">
        <f t="shared" si="295"/>
        <v>0.97499999999999998</v>
      </c>
      <c r="U222" s="169" t="s">
        <v>132</v>
      </c>
      <c r="V222" s="1" t="str">
        <f t="shared" si="320"/>
        <v>RC1*0,5</v>
      </c>
      <c r="W222" s="182">
        <f t="shared" si="321"/>
        <v>0.27500000000000002</v>
      </c>
      <c r="AH222" s="1" t="s">
        <v>2066</v>
      </c>
      <c r="AI222" s="1" t="s">
        <v>1932</v>
      </c>
      <c r="AJ222" s="1">
        <v>0.5</v>
      </c>
    </row>
    <row r="223" spans="1:36" ht="15.75" customHeight="1" x14ac:dyDescent="0.3">
      <c r="A223" s="205" t="e">
        <f t="shared" ref="A223:C223" si="444">IF($B$1="Solo",IF(L222="","",L222),IF($B$1="Duet",IF(O222="","",O222),IF($B$1="Mixed",IF(R222="","",R222),IF(U222="","",U222))))</f>
        <v>#N/A</v>
      </c>
      <c r="B223" s="182" t="e">
        <f t="shared" si="444"/>
        <v>#N/A</v>
      </c>
      <c r="C223" s="182" t="e">
        <f t="shared" si="444"/>
        <v>#N/A</v>
      </c>
      <c r="D223" s="182" t="e">
        <f t="shared" ref="D223:E223" si="445">IF($D$1="Team",IF(AD222="","",AD222),"")</f>
        <v>#N/A</v>
      </c>
      <c r="E223" s="182" t="e">
        <f t="shared" si="445"/>
        <v>#N/A</v>
      </c>
      <c r="J223" s="170"/>
      <c r="K223" s="170"/>
      <c r="N223" s="182"/>
      <c r="O223" s="169" t="s">
        <v>132</v>
      </c>
      <c r="P223" s="1" t="str">
        <f t="shared" si="292"/>
        <v>RD4*0,5</v>
      </c>
      <c r="Q223" s="182">
        <f t="shared" si="293"/>
        <v>1.075</v>
      </c>
      <c r="R223" s="169" t="s">
        <v>132</v>
      </c>
      <c r="S223" s="1" t="str">
        <f t="shared" si="294"/>
        <v>RD4*0,5</v>
      </c>
      <c r="T223" s="182">
        <f t="shared" si="295"/>
        <v>1.075</v>
      </c>
      <c r="U223" s="169" t="s">
        <v>132</v>
      </c>
      <c r="V223" s="1" t="str">
        <f t="shared" si="320"/>
        <v>R2*0,5</v>
      </c>
      <c r="W223" s="182">
        <f t="shared" si="321"/>
        <v>0.2</v>
      </c>
      <c r="AH223" s="1" t="s">
        <v>2067</v>
      </c>
      <c r="AI223" s="1" t="s">
        <v>1934</v>
      </c>
      <c r="AJ223" s="1">
        <v>0.5</v>
      </c>
    </row>
    <row r="224" spans="1:36" ht="15.75" customHeight="1" x14ac:dyDescent="0.3">
      <c r="A224" s="205" t="e">
        <f t="shared" ref="A224:C224" si="446">IF($B$1="Solo",IF(L223="","",L223),IF($B$1="Duet",IF(O223="","",O223),IF($B$1="Mixed",IF(R223="","",R223),IF(U223="","",U223))))</f>
        <v>#N/A</v>
      </c>
      <c r="B224" s="182" t="e">
        <f t="shared" si="446"/>
        <v>#N/A</v>
      </c>
      <c r="C224" s="182" t="e">
        <f t="shared" si="446"/>
        <v>#N/A</v>
      </c>
      <c r="D224" s="182" t="e">
        <f t="shared" ref="D224:E224" si="447">IF($D$1="Team",IF(AD223="","",AD223),"")</f>
        <v>#N/A</v>
      </c>
      <c r="E224" s="182" t="e">
        <f t="shared" si="447"/>
        <v>#N/A</v>
      </c>
      <c r="J224" s="170"/>
      <c r="K224" s="170"/>
      <c r="N224" s="182"/>
      <c r="O224" s="169" t="s">
        <v>132</v>
      </c>
      <c r="P224" s="1" t="str">
        <f t="shared" si="292"/>
        <v>RU4*0,5</v>
      </c>
      <c r="Q224" s="182">
        <f t="shared" si="293"/>
        <v>1.175</v>
      </c>
      <c r="R224" s="169" t="s">
        <v>132</v>
      </c>
      <c r="S224" s="1" t="str">
        <f t="shared" si="294"/>
        <v>RU4*0,5</v>
      </c>
      <c r="T224" s="182">
        <f t="shared" si="295"/>
        <v>1.175</v>
      </c>
      <c r="U224" s="169" t="s">
        <v>132</v>
      </c>
      <c r="V224" s="1" t="str">
        <f t="shared" si="320"/>
        <v>1R2*0,5</v>
      </c>
      <c r="W224" s="182">
        <f t="shared" si="321"/>
        <v>0.375</v>
      </c>
      <c r="AH224" s="1" t="s">
        <v>2068</v>
      </c>
      <c r="AI224" s="1" t="s">
        <v>1936</v>
      </c>
      <c r="AJ224" s="1">
        <v>0.5</v>
      </c>
    </row>
    <row r="225" spans="1:36" ht="15.75" customHeight="1" x14ac:dyDescent="0.3">
      <c r="A225" s="205" t="e">
        <f t="shared" ref="A225:C225" si="448">IF($B$1="Solo",IF(L224="","",L224),IF($B$1="Duet",IF(O224="","",O224),IF($B$1="Mixed",IF(R224="","",R224),IF(U224="","",U224))))</f>
        <v>#N/A</v>
      </c>
      <c r="B225" s="182" t="e">
        <f t="shared" si="448"/>
        <v>#N/A</v>
      </c>
      <c r="C225" s="182" t="e">
        <f t="shared" si="448"/>
        <v>#N/A</v>
      </c>
      <c r="D225" s="182" t="e">
        <f t="shared" ref="D225:E225" si="449">IF($D$1="Team",IF(AD224="","",AD224),"")</f>
        <v>#N/A</v>
      </c>
      <c r="E225" s="182" t="e">
        <f t="shared" si="449"/>
        <v>#N/A</v>
      </c>
      <c r="J225" s="170"/>
      <c r="K225" s="170"/>
      <c r="N225" s="182"/>
      <c r="O225" s="169" t="s">
        <v>132</v>
      </c>
      <c r="P225" s="1" t="str">
        <f t="shared" si="292"/>
        <v>1R5*0,5</v>
      </c>
      <c r="Q225" s="182">
        <f t="shared" si="293"/>
        <v>0.97499999999999998</v>
      </c>
      <c r="R225" s="169" t="s">
        <v>132</v>
      </c>
      <c r="S225" s="1" t="str">
        <f t="shared" si="294"/>
        <v>1R5*0,5</v>
      </c>
      <c r="T225" s="182">
        <f t="shared" si="295"/>
        <v>0.97499999999999998</v>
      </c>
      <c r="U225" s="169" t="s">
        <v>132</v>
      </c>
      <c r="V225" s="1" t="str">
        <f t="shared" si="320"/>
        <v>2R2*0,5</v>
      </c>
      <c r="W225" s="182">
        <f t="shared" si="321"/>
        <v>0.47499999999999998</v>
      </c>
      <c r="AH225" s="1" t="s">
        <v>2069</v>
      </c>
      <c r="AI225" s="1" t="s">
        <v>1938</v>
      </c>
      <c r="AJ225" s="1">
        <v>0.5</v>
      </c>
    </row>
    <row r="226" spans="1:36" ht="15.75" customHeight="1" x14ac:dyDescent="0.3">
      <c r="A226" s="205" t="e">
        <f t="shared" ref="A226:C226" si="450">IF($B$1="Solo",IF(L225="","",L225),IF($B$1="Duet",IF(O225="","",O225),IF($B$1="Mixed",IF(R225="","",R225),IF(U225="","",U225))))</f>
        <v>#N/A</v>
      </c>
      <c r="B226" s="182" t="e">
        <f t="shared" si="450"/>
        <v>#N/A</v>
      </c>
      <c r="C226" s="182" t="e">
        <f t="shared" si="450"/>
        <v>#N/A</v>
      </c>
      <c r="D226" s="182" t="e">
        <f t="shared" ref="D226:E226" si="451">IF($D$1="Team",IF(AD225="","",AD225),"")</f>
        <v>#N/A</v>
      </c>
      <c r="E226" s="182" t="e">
        <f t="shared" si="451"/>
        <v>#N/A</v>
      </c>
      <c r="J226" s="170"/>
      <c r="K226" s="170"/>
      <c r="N226" s="182"/>
      <c r="O226" s="169" t="s">
        <v>132</v>
      </c>
      <c r="P226" s="1" t="str">
        <f t="shared" si="292"/>
        <v>2R5*0,5</v>
      </c>
      <c r="Q226" s="182">
        <f t="shared" si="293"/>
        <v>1.2250000000000001</v>
      </c>
      <c r="R226" s="169" t="s">
        <v>132</v>
      </c>
      <c r="S226" s="1" t="str">
        <f t="shared" si="294"/>
        <v>2R5*0,5</v>
      </c>
      <c r="T226" s="182">
        <f t="shared" si="295"/>
        <v>1.2250000000000001</v>
      </c>
      <c r="U226" s="169" t="s">
        <v>132</v>
      </c>
      <c r="V226" s="1" t="str">
        <f t="shared" si="320"/>
        <v>RD2*0,5</v>
      </c>
      <c r="W226" s="182">
        <f t="shared" si="321"/>
        <v>0.52500000000000002</v>
      </c>
      <c r="AH226" s="1" t="s">
        <v>2070</v>
      </c>
      <c r="AI226" s="1" t="s">
        <v>1940</v>
      </c>
      <c r="AJ226" s="1">
        <v>0.5</v>
      </c>
    </row>
    <row r="227" spans="1:36" ht="15.75" customHeight="1" x14ac:dyDescent="0.3">
      <c r="A227" s="205" t="e">
        <f t="shared" ref="A227:C227" si="452">IF($B$1="Solo",IF(L226="","",L226),IF($B$1="Duet",IF(O226="","",O226),IF($B$1="Mixed",IF(R226="","",R226),IF(U226="","",U226))))</f>
        <v>#N/A</v>
      </c>
      <c r="B227" s="182" t="e">
        <f t="shared" si="452"/>
        <v>#N/A</v>
      </c>
      <c r="C227" s="182" t="e">
        <f t="shared" si="452"/>
        <v>#N/A</v>
      </c>
      <c r="D227" s="182" t="e">
        <f t="shared" ref="D227:E227" si="453">IF($D$1="Team",IF(AD226="","",AD226),"")</f>
        <v>#N/A</v>
      </c>
      <c r="E227" s="182" t="e">
        <f t="shared" si="453"/>
        <v>#N/A</v>
      </c>
      <c r="J227" s="170"/>
      <c r="K227" s="170"/>
      <c r="N227" s="182"/>
      <c r="O227" s="169" t="s">
        <v>132</v>
      </c>
      <c r="P227" s="1" t="str">
        <f t="shared" si="292"/>
        <v>RU5*0,5</v>
      </c>
      <c r="Q227" s="182">
        <f t="shared" si="293"/>
        <v>1.4750000000000001</v>
      </c>
      <c r="R227" s="169" t="s">
        <v>132</v>
      </c>
      <c r="S227" s="1" t="str">
        <f t="shared" si="294"/>
        <v>RU5*0,5</v>
      </c>
      <c r="T227" s="182">
        <f t="shared" si="295"/>
        <v>1.4750000000000001</v>
      </c>
      <c r="U227" s="169" t="s">
        <v>132</v>
      </c>
      <c r="V227" s="1" t="str">
        <f t="shared" si="320"/>
        <v>RU2*0,5</v>
      </c>
      <c r="W227" s="182">
        <f t="shared" si="321"/>
        <v>0.57499999999999996</v>
      </c>
      <c r="AH227" s="1" t="s">
        <v>2071</v>
      </c>
      <c r="AI227" s="1" t="s">
        <v>1942</v>
      </c>
      <c r="AJ227" s="1">
        <v>0.5</v>
      </c>
    </row>
    <row r="228" spans="1:36" ht="15.75" customHeight="1" x14ac:dyDescent="0.3">
      <c r="A228" s="205" t="e">
        <f t="shared" ref="A228:C228" si="454">IF($B$1="Solo",IF(L227="","",L227),IF($B$1="Duet",IF(O227="","",O227),IF($B$1="Mixed",IF(R227="","",R227),IF(U227="","",U227))))</f>
        <v>#N/A</v>
      </c>
      <c r="B228" s="182" t="e">
        <f t="shared" si="454"/>
        <v>#N/A</v>
      </c>
      <c r="C228" s="182" t="e">
        <f t="shared" si="454"/>
        <v>#N/A</v>
      </c>
      <c r="D228" s="182" t="e">
        <f t="shared" ref="D228:E228" si="455">IF($D$1="Team",IF(AD227="","",AD227),"")</f>
        <v>#N/A</v>
      </c>
      <c r="E228" s="182" t="e">
        <f t="shared" si="455"/>
        <v>#N/A</v>
      </c>
      <c r="J228" s="170"/>
      <c r="K228" s="170"/>
      <c r="N228" s="182"/>
      <c r="O228" s="169" t="s">
        <v>132</v>
      </c>
      <c r="P228" s="1" t="str">
        <f t="shared" si="292"/>
        <v>1R6*0,5</v>
      </c>
      <c r="Q228" s="182">
        <f t="shared" si="293"/>
        <v>1.175</v>
      </c>
      <c r="R228" s="169" t="s">
        <v>132</v>
      </c>
      <c r="S228" s="1" t="str">
        <f t="shared" si="294"/>
        <v>1R6*0,5</v>
      </c>
      <c r="T228" s="182">
        <f t="shared" si="295"/>
        <v>1.175</v>
      </c>
      <c r="U228" s="169" t="s">
        <v>132</v>
      </c>
      <c r="V228" s="1" t="str">
        <f t="shared" si="320"/>
        <v>R3*0,5</v>
      </c>
      <c r="W228" s="182">
        <f t="shared" si="321"/>
        <v>0.3</v>
      </c>
      <c r="AH228" s="1" t="s">
        <v>2072</v>
      </c>
      <c r="AI228" s="1" t="s">
        <v>1944</v>
      </c>
      <c r="AJ228" s="1">
        <v>0.5</v>
      </c>
    </row>
    <row r="229" spans="1:36" ht="15.75" customHeight="1" x14ac:dyDescent="0.3">
      <c r="A229" s="205" t="e">
        <f t="shared" ref="A229:C229" si="456">IF($B$1="Solo",IF(L228="","",L228),IF($B$1="Duet",IF(O228="","",O228),IF($B$1="Mixed",IF(R228="","",R228),IF(U228="","",U228))))</f>
        <v>#N/A</v>
      </c>
      <c r="B229" s="182" t="e">
        <f t="shared" si="456"/>
        <v>#N/A</v>
      </c>
      <c r="C229" s="182" t="e">
        <f t="shared" si="456"/>
        <v>#N/A</v>
      </c>
      <c r="D229" s="182" t="e">
        <f t="shared" ref="D229:E229" si="457">IF($D$1="Team",IF(AD228="","",AD228),"")</f>
        <v>#N/A</v>
      </c>
      <c r="E229" s="182" t="e">
        <f t="shared" si="457"/>
        <v>#N/A</v>
      </c>
      <c r="J229" s="170"/>
      <c r="K229" s="170"/>
      <c r="N229" s="182"/>
      <c r="O229" s="169" t="s">
        <v>132</v>
      </c>
      <c r="P229" s="1" t="str">
        <f t="shared" si="292"/>
        <v>2R6*0,5</v>
      </c>
      <c r="Q229" s="182">
        <f t="shared" si="293"/>
        <v>1.4750000000000001</v>
      </c>
      <c r="R229" s="169" t="s">
        <v>132</v>
      </c>
      <c r="S229" s="1" t="str">
        <f t="shared" si="294"/>
        <v>2R6*0,5</v>
      </c>
      <c r="T229" s="182">
        <f t="shared" si="295"/>
        <v>1.4750000000000001</v>
      </c>
      <c r="U229" s="169" t="s">
        <v>132</v>
      </c>
      <c r="V229" s="1" t="str">
        <f t="shared" si="320"/>
        <v>1R3*0,5</v>
      </c>
      <c r="W229" s="182">
        <f t="shared" si="321"/>
        <v>0.57499999999999996</v>
      </c>
      <c r="AH229" s="1" t="s">
        <v>2073</v>
      </c>
      <c r="AI229" s="1" t="s">
        <v>1946</v>
      </c>
      <c r="AJ229" s="1">
        <v>0.5</v>
      </c>
    </row>
    <row r="230" spans="1:36" ht="15.75" customHeight="1" x14ac:dyDescent="0.3">
      <c r="A230" s="205" t="e">
        <f t="shared" ref="A230:C230" si="458">IF($B$1="Solo",IF(L229="","",L229),IF($B$1="Duet",IF(O229="","",O229),IF($B$1="Mixed",IF(R229="","",R229),IF(U229="","",U229))))</f>
        <v>#N/A</v>
      </c>
      <c r="B230" s="182" t="e">
        <f t="shared" si="458"/>
        <v>#N/A</v>
      </c>
      <c r="C230" s="182" t="e">
        <f t="shared" si="458"/>
        <v>#N/A</v>
      </c>
      <c r="D230" s="182" t="e">
        <f t="shared" ref="D230:E230" si="459">IF($D$1="Team",IF(AD229="","",AD229),"")</f>
        <v>#N/A</v>
      </c>
      <c r="E230" s="182" t="e">
        <f t="shared" si="459"/>
        <v>#N/A</v>
      </c>
      <c r="J230" s="170"/>
      <c r="K230" s="170"/>
      <c r="N230" s="182"/>
      <c r="O230" s="169" t="s">
        <v>132</v>
      </c>
      <c r="P230" s="1" t="str">
        <f t="shared" si="292"/>
        <v>RD6*0,5</v>
      </c>
      <c r="Q230" s="182">
        <f t="shared" si="293"/>
        <v>1.675</v>
      </c>
      <c r="R230" s="169" t="s">
        <v>132</v>
      </c>
      <c r="S230" s="1" t="str">
        <f t="shared" si="294"/>
        <v>RD6*0,5</v>
      </c>
      <c r="T230" s="182">
        <f t="shared" si="295"/>
        <v>1.675</v>
      </c>
      <c r="U230" s="169" t="s">
        <v>132</v>
      </c>
      <c r="V230" s="1" t="str">
        <f t="shared" si="320"/>
        <v>2R3*0,5</v>
      </c>
      <c r="W230" s="182">
        <f t="shared" si="321"/>
        <v>0.72499999999999998</v>
      </c>
      <c r="AH230" s="1" t="s">
        <v>2074</v>
      </c>
      <c r="AI230" s="1" t="s">
        <v>1948</v>
      </c>
      <c r="AJ230" s="1">
        <v>0.5</v>
      </c>
    </row>
    <row r="231" spans="1:36" ht="15.75" customHeight="1" x14ac:dyDescent="0.3">
      <c r="A231" s="205" t="e">
        <f t="shared" ref="A231:C231" si="460">IF($B$1="Solo",IF(L230="","",L230),IF($B$1="Duet",IF(O230="","",O230),IF($B$1="Mixed",IF(R230="","",R230),IF(U230="","",U230))))</f>
        <v>#N/A</v>
      </c>
      <c r="B231" s="182" t="e">
        <f t="shared" si="460"/>
        <v>#N/A</v>
      </c>
      <c r="C231" s="182" t="e">
        <f t="shared" si="460"/>
        <v>#N/A</v>
      </c>
      <c r="D231" s="182" t="e">
        <f t="shared" ref="D231:E231" si="461">IF($D$1="Team",IF(AD230="","",AD230),"")</f>
        <v>#N/A</v>
      </c>
      <c r="E231" s="182" t="e">
        <f t="shared" si="461"/>
        <v>#N/A</v>
      </c>
      <c r="J231" s="170"/>
      <c r="K231" s="170"/>
      <c r="N231" s="182"/>
      <c r="O231" s="169" t="s">
        <v>132</v>
      </c>
      <c r="P231" s="1" t="str">
        <f t="shared" si="292"/>
        <v>RU6*0,5</v>
      </c>
      <c r="Q231" s="182">
        <f t="shared" si="293"/>
        <v>1.7749999999999999</v>
      </c>
      <c r="R231" s="169" t="s">
        <v>132</v>
      </c>
      <c r="S231" s="1" t="str">
        <f t="shared" si="294"/>
        <v>RU6*0,5</v>
      </c>
      <c r="T231" s="182">
        <f t="shared" si="295"/>
        <v>1.7749999999999999</v>
      </c>
      <c r="U231" s="169" t="s">
        <v>132</v>
      </c>
      <c r="V231" s="1" t="str">
        <f t="shared" si="320"/>
        <v>RU3*0,5</v>
      </c>
      <c r="W231" s="182">
        <f t="shared" si="321"/>
        <v>0.875</v>
      </c>
      <c r="AH231" s="1" t="s">
        <v>2075</v>
      </c>
      <c r="AI231" s="1" t="s">
        <v>1950</v>
      </c>
      <c r="AJ231" s="1">
        <v>0.5</v>
      </c>
    </row>
    <row r="232" spans="1:36" ht="15.75" customHeight="1" x14ac:dyDescent="0.3">
      <c r="A232" s="205" t="e">
        <f t="shared" ref="A232:C232" si="462">IF($B$1="Solo",IF(L231="","",L231),IF($B$1="Duet",IF(O231="","",O231),IF($B$1="Mixed",IF(R231="","",R231),IF(U231="","",U231))))</f>
        <v>#N/A</v>
      </c>
      <c r="B232" s="182" t="e">
        <f t="shared" si="462"/>
        <v>#N/A</v>
      </c>
      <c r="C232" s="182" t="e">
        <f t="shared" si="462"/>
        <v>#N/A</v>
      </c>
      <c r="D232" s="182" t="e">
        <f t="shared" ref="D232:E232" si="463">IF($D$1="Team",IF(AD231="","",AD231),"")</f>
        <v>#N/A</v>
      </c>
      <c r="E232" s="182" t="e">
        <f t="shared" si="463"/>
        <v>#N/A</v>
      </c>
      <c r="J232" s="170"/>
      <c r="K232" s="170"/>
      <c r="N232" s="182"/>
      <c r="O232" s="169" t="s">
        <v>132</v>
      </c>
      <c r="P232" s="1" t="str">
        <f t="shared" si="292"/>
        <v>2R7*0,5</v>
      </c>
      <c r="Q232" s="182">
        <f t="shared" si="293"/>
        <v>1.7250000000000001</v>
      </c>
      <c r="R232" s="169" t="s">
        <v>132</v>
      </c>
      <c r="S232" s="1" t="str">
        <f t="shared" si="294"/>
        <v>2R7*0,5</v>
      </c>
      <c r="T232" s="182">
        <f t="shared" si="295"/>
        <v>1.7250000000000001</v>
      </c>
      <c r="U232" s="169" t="s">
        <v>132</v>
      </c>
      <c r="V232" s="1" t="str">
        <f t="shared" si="320"/>
        <v>R4*0,5</v>
      </c>
      <c r="W232" s="182">
        <f t="shared" si="321"/>
        <v>0.4</v>
      </c>
      <c r="AH232" s="1" t="s">
        <v>2076</v>
      </c>
      <c r="AI232" s="1" t="s">
        <v>1952</v>
      </c>
      <c r="AJ232" s="1">
        <v>0.5</v>
      </c>
    </row>
    <row r="233" spans="1:36" ht="15.75" customHeight="1" x14ac:dyDescent="0.3">
      <c r="A233" s="205" t="e">
        <f t="shared" ref="A233:C233" si="464">IF($B$1="Solo",IF(L232="","",L232),IF($B$1="Duet",IF(O232="","",O232),IF($B$1="Mixed",IF(R232="","",R232),IF(U232="","",U232))))</f>
        <v>#N/A</v>
      </c>
      <c r="B233" s="182" t="e">
        <f t="shared" si="464"/>
        <v>#N/A</v>
      </c>
      <c r="C233" s="182" t="e">
        <f t="shared" si="464"/>
        <v>#N/A</v>
      </c>
      <c r="D233" s="182" t="e">
        <f t="shared" ref="D233:E233" si="465">IF($D$1="Team",IF(AD232="","",AD232),"")</f>
        <v>#N/A</v>
      </c>
      <c r="E233" s="182" t="e">
        <f t="shared" si="465"/>
        <v>#N/A</v>
      </c>
      <c r="J233" s="170"/>
      <c r="K233" s="170"/>
      <c r="N233" s="182"/>
      <c r="O233" s="169" t="s">
        <v>132</v>
      </c>
      <c r="P233" s="1" t="str">
        <f t="shared" si="292"/>
        <v>RU7*0,5</v>
      </c>
      <c r="Q233" s="182">
        <f t="shared" si="293"/>
        <v>2.0750000000000002</v>
      </c>
      <c r="R233" s="169" t="s">
        <v>132</v>
      </c>
      <c r="S233" s="1" t="str">
        <f t="shared" si="294"/>
        <v>RU7*0,5</v>
      </c>
      <c r="T233" s="182">
        <f t="shared" si="295"/>
        <v>2.0750000000000002</v>
      </c>
      <c r="U233" s="169" t="s">
        <v>132</v>
      </c>
      <c r="V233" s="1" t="str">
        <f t="shared" si="320"/>
        <v>1R4*0,5</v>
      </c>
      <c r="W233" s="182">
        <f t="shared" si="321"/>
        <v>0.77500000000000002</v>
      </c>
      <c r="AH233" s="1" t="s">
        <v>2077</v>
      </c>
      <c r="AI233" s="1" t="s">
        <v>1954</v>
      </c>
      <c r="AJ233" s="1">
        <v>0.5</v>
      </c>
    </row>
    <row r="234" spans="1:36" ht="15.75" customHeight="1" x14ac:dyDescent="0.3">
      <c r="A234" s="205" t="e">
        <f t="shared" ref="A234:C234" si="466">IF($B$1="Solo",IF(L233="","",L233),IF($B$1="Duet",IF(O233="","",O233),IF($B$1="Mixed",IF(R233="","",R233),IF(U233="","",U233))))</f>
        <v>#N/A</v>
      </c>
      <c r="B234" s="182" t="e">
        <f t="shared" si="466"/>
        <v>#N/A</v>
      </c>
      <c r="C234" s="182" t="e">
        <f t="shared" si="466"/>
        <v>#N/A</v>
      </c>
      <c r="D234" s="182" t="e">
        <f t="shared" ref="D234:E234" si="467">IF($D$1="Team",IF(AD233="","",AD233),"")</f>
        <v>#N/A</v>
      </c>
      <c r="E234" s="182" t="e">
        <f t="shared" si="467"/>
        <v>#N/A</v>
      </c>
      <c r="J234" s="170"/>
      <c r="K234" s="170"/>
      <c r="N234" s="182"/>
      <c r="O234" s="169" t="s">
        <v>132</v>
      </c>
      <c r="P234" s="1" t="str">
        <f t="shared" si="292"/>
        <v>2R8*0,5</v>
      </c>
      <c r="Q234" s="182">
        <f t="shared" si="293"/>
        <v>1.9750000000000001</v>
      </c>
      <c r="R234" s="169" t="s">
        <v>132</v>
      </c>
      <c r="S234" s="1" t="str">
        <f t="shared" si="294"/>
        <v>2R8*0,5</v>
      </c>
      <c r="T234" s="182">
        <f t="shared" si="295"/>
        <v>1.9750000000000001</v>
      </c>
      <c r="U234" s="169" t="s">
        <v>132</v>
      </c>
      <c r="V234" s="1" t="str">
        <f t="shared" si="320"/>
        <v>2R4*0,5</v>
      </c>
      <c r="W234" s="182">
        <f t="shared" si="321"/>
        <v>0.97499999999999998</v>
      </c>
      <c r="AH234" s="1" t="s">
        <v>2078</v>
      </c>
      <c r="AI234" s="1" t="s">
        <v>1956</v>
      </c>
      <c r="AJ234" s="1">
        <v>0.5</v>
      </c>
    </row>
    <row r="235" spans="1:36" ht="15.75" customHeight="1" x14ac:dyDescent="0.3">
      <c r="A235" s="205" t="e">
        <f t="shared" ref="A235:C235" si="468">IF($B$1="Solo",IF(L234="","",L234),IF($B$1="Duet",IF(O234="","",O234),IF($B$1="Mixed",IF(R234="","",R234),IF(U234="","",U234))))</f>
        <v>#N/A</v>
      </c>
      <c r="B235" s="182" t="e">
        <f t="shared" si="468"/>
        <v>#N/A</v>
      </c>
      <c r="C235" s="182" t="e">
        <f t="shared" si="468"/>
        <v>#N/A</v>
      </c>
      <c r="D235" s="182" t="e">
        <f t="shared" ref="D235:E235" si="469">IF($D$1="Team",IF(AD234="","",AD234),"")</f>
        <v>#N/A</v>
      </c>
      <c r="E235" s="182" t="e">
        <f t="shared" si="469"/>
        <v>#N/A</v>
      </c>
      <c r="J235" s="170"/>
      <c r="K235" s="170"/>
      <c r="N235" s="182"/>
      <c r="O235" s="169" t="s">
        <v>132</v>
      </c>
      <c r="P235" s="1" t="str">
        <f t="shared" si="292"/>
        <v>RU8*0,5</v>
      </c>
      <c r="Q235" s="182">
        <f t="shared" si="293"/>
        <v>2.375</v>
      </c>
      <c r="R235" s="169" t="s">
        <v>132</v>
      </c>
      <c r="S235" s="1" t="str">
        <f t="shared" si="294"/>
        <v>RU8*0,5</v>
      </c>
      <c r="T235" s="182">
        <f t="shared" si="295"/>
        <v>2.375</v>
      </c>
      <c r="U235" s="169" t="s">
        <v>132</v>
      </c>
      <c r="V235" s="1" t="str">
        <f t="shared" si="320"/>
        <v>RD4*0,5</v>
      </c>
      <c r="W235" s="182">
        <f t="shared" si="321"/>
        <v>1.075</v>
      </c>
      <c r="AH235" s="1" t="s">
        <v>2079</v>
      </c>
      <c r="AI235" s="1" t="s">
        <v>1958</v>
      </c>
      <c r="AJ235" s="1">
        <v>0.5</v>
      </c>
    </row>
    <row r="236" spans="1:36" ht="15.75" customHeight="1" x14ac:dyDescent="0.3">
      <c r="A236" s="205" t="e">
        <f t="shared" ref="A236:C236" si="470">IF($B$1="Solo",IF(L235="","",L235),IF($B$1="Duet",IF(O235="","",O235),IF($B$1="Mixed",IF(R235="","",R235),IF(U235="","",U235))))</f>
        <v>#N/A</v>
      </c>
      <c r="B236" s="182" t="e">
        <f t="shared" si="470"/>
        <v>#N/A</v>
      </c>
      <c r="C236" s="182" t="e">
        <f t="shared" si="470"/>
        <v>#N/A</v>
      </c>
      <c r="D236" s="182" t="e">
        <f t="shared" ref="D236:E236" si="471">IF($D$1="Team",IF(AD235="","",AD235),"")</f>
        <v>#N/A</v>
      </c>
      <c r="E236" s="182" t="e">
        <f t="shared" si="471"/>
        <v>#N/A</v>
      </c>
      <c r="J236" s="170"/>
      <c r="K236" s="170"/>
      <c r="N236" s="182"/>
      <c r="O236" s="169" t="s">
        <v>132</v>
      </c>
      <c r="P236" s="1" t="str">
        <f t="shared" si="292"/>
        <v>2R9*0,5</v>
      </c>
      <c r="Q236" s="182">
        <f t="shared" si="293"/>
        <v>2.2250000000000001</v>
      </c>
      <c r="R236" s="169" t="s">
        <v>132</v>
      </c>
      <c r="S236" s="1" t="str">
        <f t="shared" si="294"/>
        <v>2R9*0,5</v>
      </c>
      <c r="T236" s="182">
        <f t="shared" si="295"/>
        <v>2.2250000000000001</v>
      </c>
      <c r="U236" s="169" t="s">
        <v>132</v>
      </c>
      <c r="V236" s="1" t="str">
        <f t="shared" si="320"/>
        <v>RU4*0,5</v>
      </c>
      <c r="W236" s="182">
        <f t="shared" si="321"/>
        <v>1.175</v>
      </c>
      <c r="AH236" s="1" t="s">
        <v>2080</v>
      </c>
      <c r="AI236" s="1" t="s">
        <v>1959</v>
      </c>
      <c r="AJ236" s="1">
        <v>0.5</v>
      </c>
    </row>
    <row r="237" spans="1:36" ht="15.75" customHeight="1" x14ac:dyDescent="0.3">
      <c r="A237" s="205" t="e">
        <f t="shared" ref="A237:C237" si="472">IF($B$1="Solo",IF(L236="","",L236),IF($B$1="Duet",IF(O236="","",O236),IF($B$1="Mixed",IF(R236="","",R236),IF(U236="","",U236))))</f>
        <v>#N/A</v>
      </c>
      <c r="B237" s="182" t="e">
        <f t="shared" si="472"/>
        <v>#N/A</v>
      </c>
      <c r="C237" s="182" t="e">
        <f t="shared" si="472"/>
        <v>#N/A</v>
      </c>
      <c r="D237" s="182" t="e">
        <f t="shared" ref="D237:E237" si="473">IF($D$1="Team",IF(AD236="","",AD236),"")</f>
        <v>#N/A</v>
      </c>
      <c r="E237" s="182" t="e">
        <f t="shared" si="473"/>
        <v>#N/A</v>
      </c>
      <c r="J237" s="170"/>
      <c r="K237" s="170"/>
      <c r="N237" s="182"/>
      <c r="O237" s="169" t="s">
        <v>132</v>
      </c>
      <c r="P237" s="1" t="str">
        <f t="shared" si="292"/>
        <v>RU9*0,5</v>
      </c>
      <c r="Q237" s="182">
        <f t="shared" si="293"/>
        <v>2.6749999999999998</v>
      </c>
      <c r="R237" s="169" t="s">
        <v>132</v>
      </c>
      <c r="S237" s="1" t="str">
        <f t="shared" si="294"/>
        <v>RU9*0,5</v>
      </c>
      <c r="T237" s="182">
        <f t="shared" si="295"/>
        <v>2.6749999999999998</v>
      </c>
      <c r="U237" s="169" t="s">
        <v>132</v>
      </c>
      <c r="V237" s="1" t="str">
        <f t="shared" si="320"/>
        <v>1R5*0,5</v>
      </c>
      <c r="W237" s="182">
        <f t="shared" si="321"/>
        <v>0.97499999999999998</v>
      </c>
      <c r="AH237" s="1" t="s">
        <v>2081</v>
      </c>
      <c r="AI237" s="1" t="s">
        <v>1960</v>
      </c>
      <c r="AJ237" s="1">
        <v>0.5</v>
      </c>
    </row>
    <row r="238" spans="1:36" ht="15.75" customHeight="1" x14ac:dyDescent="0.3">
      <c r="A238" s="205" t="e">
        <f t="shared" ref="A238:C238" si="474">IF($B$1="Solo",IF(L237="","",L237),IF($B$1="Duet",IF(O237="","",O237),IF($B$1="Mixed",IF(R237="","",R237),IF(U237="","",U237))))</f>
        <v>#N/A</v>
      </c>
      <c r="B238" s="182" t="e">
        <f t="shared" si="474"/>
        <v>#N/A</v>
      </c>
      <c r="C238" s="182" t="e">
        <f t="shared" si="474"/>
        <v>#N/A</v>
      </c>
      <c r="D238" s="182" t="e">
        <f t="shared" ref="D238:E238" si="475">IF($D$1="Team",IF(AD237="","",AD237),"")</f>
        <v>#N/A</v>
      </c>
      <c r="E238" s="182" t="e">
        <f t="shared" si="475"/>
        <v>#N/A</v>
      </c>
      <c r="J238" s="170"/>
      <c r="K238" s="170"/>
      <c r="N238" s="182"/>
      <c r="O238" s="169" t="s">
        <v>132</v>
      </c>
      <c r="P238" s="1" t="str">
        <f t="shared" si="292"/>
        <v>2R10*0,5</v>
      </c>
      <c r="Q238" s="182">
        <f t="shared" si="293"/>
        <v>2.4750000000000001</v>
      </c>
      <c r="R238" s="169" t="s">
        <v>132</v>
      </c>
      <c r="S238" s="1" t="str">
        <f t="shared" si="294"/>
        <v>2R10*0,5</v>
      </c>
      <c r="T238" s="182">
        <f t="shared" si="295"/>
        <v>2.4750000000000001</v>
      </c>
      <c r="U238" s="169" t="s">
        <v>132</v>
      </c>
      <c r="V238" s="1" t="str">
        <f t="shared" si="320"/>
        <v>2R5*0,5</v>
      </c>
      <c r="W238" s="182">
        <f t="shared" si="321"/>
        <v>1.2250000000000001</v>
      </c>
      <c r="AH238" s="1" t="s">
        <v>2082</v>
      </c>
      <c r="AI238" s="1" t="s">
        <v>1961</v>
      </c>
      <c r="AJ238" s="1">
        <v>0.5</v>
      </c>
    </row>
    <row r="239" spans="1:36" ht="15.75" customHeight="1" x14ac:dyDescent="0.3">
      <c r="A239" s="205" t="e">
        <f t="shared" ref="A239:C239" si="476">IF($B$1="Solo",IF(L238="","",L238),IF($B$1="Duet",IF(O238="","",O238),IF($B$1="Mixed",IF(R238="","",R238),IF(U238="","",U238))))</f>
        <v>#N/A</v>
      </c>
      <c r="B239" s="182" t="e">
        <f t="shared" si="476"/>
        <v>#N/A</v>
      </c>
      <c r="C239" s="182" t="e">
        <f t="shared" si="476"/>
        <v>#N/A</v>
      </c>
      <c r="D239" s="182" t="e">
        <f t="shared" ref="D239:E239" si="477">IF($D$1="Team",IF(AD238="","",AD238),"")</f>
        <v>#N/A</v>
      </c>
      <c r="E239" s="182" t="e">
        <f t="shared" si="477"/>
        <v>#N/A</v>
      </c>
      <c r="J239" s="170"/>
      <c r="K239" s="170"/>
      <c r="N239" s="182"/>
      <c r="O239" s="169" t="s">
        <v>132</v>
      </c>
      <c r="P239" s="1" t="str">
        <f t="shared" si="292"/>
        <v>RU10*0,5</v>
      </c>
      <c r="Q239" s="182">
        <f t="shared" si="293"/>
        <v>2.9750000000000001</v>
      </c>
      <c r="R239" s="169" t="s">
        <v>132</v>
      </c>
      <c r="S239" s="1" t="str">
        <f t="shared" si="294"/>
        <v>RU10*0,5</v>
      </c>
      <c r="T239" s="182">
        <f t="shared" si="295"/>
        <v>2.9750000000000001</v>
      </c>
      <c r="U239" s="169" t="s">
        <v>132</v>
      </c>
      <c r="V239" s="1" t="str">
        <f t="shared" si="320"/>
        <v>RU5*0,5</v>
      </c>
      <c r="W239" s="182">
        <f t="shared" si="321"/>
        <v>1.4750000000000001</v>
      </c>
      <c r="AH239" s="1" t="s">
        <v>2083</v>
      </c>
      <c r="AI239" s="1" t="s">
        <v>1962</v>
      </c>
      <c r="AJ239" s="1">
        <v>0.5</v>
      </c>
    </row>
    <row r="240" spans="1:36" ht="15.75" customHeight="1" x14ac:dyDescent="0.3">
      <c r="A240" s="205" t="e">
        <f t="shared" ref="A240:C240" si="478">IF($B$1="Solo",IF(L239="","",L239),IF($B$1="Duet",IF(O239="","",O239),IF($B$1="Mixed",IF(R239="","",R239),IF(U239="","",U239))))</f>
        <v>#N/A</v>
      </c>
      <c r="B240" s="182" t="e">
        <f t="shared" si="478"/>
        <v>#N/A</v>
      </c>
      <c r="C240" s="182" t="e">
        <f t="shared" si="478"/>
        <v>#N/A</v>
      </c>
      <c r="D240" s="182" t="e">
        <f t="shared" ref="D240:E240" si="479">IF($D$1="Team",IF(AD239="","",AD239),"")</f>
        <v>#N/A</v>
      </c>
      <c r="E240" s="182" t="e">
        <f t="shared" si="479"/>
        <v>#N/A</v>
      </c>
      <c r="J240" s="170"/>
      <c r="K240" s="170"/>
      <c r="N240" s="182"/>
      <c r="O240" s="169" t="s">
        <v>9</v>
      </c>
      <c r="P240" s="1" t="str">
        <f t="shared" si="292"/>
        <v>AB*0,5</v>
      </c>
      <c r="Q240" s="182">
        <f t="shared" si="293"/>
        <v>2.5000000000000001E-2</v>
      </c>
      <c r="R240" s="169" t="s">
        <v>9</v>
      </c>
      <c r="S240" s="1" t="str">
        <f t="shared" si="294"/>
        <v>AB*0,5</v>
      </c>
      <c r="T240" s="182">
        <f t="shared" si="295"/>
        <v>2.5000000000000001E-2</v>
      </c>
      <c r="U240" s="169" t="s">
        <v>132</v>
      </c>
      <c r="V240" s="1" t="str">
        <f t="shared" si="320"/>
        <v>1R6*0,5</v>
      </c>
      <c r="W240" s="182">
        <f t="shared" si="321"/>
        <v>1.175</v>
      </c>
      <c r="AH240" s="1" t="s">
        <v>2084</v>
      </c>
      <c r="AI240" s="1" t="s">
        <v>1963</v>
      </c>
      <c r="AJ240" s="1">
        <v>0.5</v>
      </c>
    </row>
    <row r="241" spans="1:36" ht="15.75" customHeight="1" x14ac:dyDescent="0.3">
      <c r="A241" s="205" t="e">
        <f t="shared" ref="A241:C241" si="480">IF($B$1="Solo",IF(L240="","",L240),IF($B$1="Duet",IF(O240="","",O240),IF($B$1="Mixed",IF(R240="","",R240),IF(U240="","",U240))))</f>
        <v>#N/A</v>
      </c>
      <c r="B241" s="182" t="e">
        <f t="shared" si="480"/>
        <v>#N/A</v>
      </c>
      <c r="C241" s="182" t="e">
        <f t="shared" si="480"/>
        <v>#N/A</v>
      </c>
      <c r="D241" s="182" t="e">
        <f t="shared" ref="D241:E241" si="481">IF($D$1="Team",IF(AD240="","",AD240),"")</f>
        <v>#N/A</v>
      </c>
      <c r="E241" s="182" t="e">
        <f t="shared" si="481"/>
        <v>#N/A</v>
      </c>
      <c r="J241" s="170"/>
      <c r="K241" s="170"/>
      <c r="N241" s="182"/>
      <c r="O241" s="169" t="s">
        <v>9</v>
      </c>
      <c r="P241" s="1" t="str">
        <f t="shared" si="292"/>
        <v>A1a*0,5</v>
      </c>
      <c r="Q241" s="182">
        <f t="shared" si="293"/>
        <v>0.05</v>
      </c>
      <c r="R241" s="169" t="s">
        <v>9</v>
      </c>
      <c r="S241" s="1" t="str">
        <f t="shared" si="294"/>
        <v>A1a*0,5</v>
      </c>
      <c r="T241" s="182">
        <f t="shared" si="295"/>
        <v>0.05</v>
      </c>
      <c r="U241" s="169" t="s">
        <v>132</v>
      </c>
      <c r="V241" s="1" t="str">
        <f t="shared" si="320"/>
        <v>2R6*0,5</v>
      </c>
      <c r="W241" s="182">
        <f t="shared" si="321"/>
        <v>1.4750000000000001</v>
      </c>
      <c r="AH241" s="1" t="s">
        <v>2085</v>
      </c>
      <c r="AI241" s="1" t="s">
        <v>1964</v>
      </c>
      <c r="AJ241" s="1">
        <v>0.5</v>
      </c>
    </row>
    <row r="242" spans="1:36" ht="15.75" customHeight="1" x14ac:dyDescent="0.3">
      <c r="A242" s="205" t="e">
        <f t="shared" ref="A242:C242" si="482">IF($B$1="Solo",IF(L241="","",L241),IF($B$1="Duet",IF(O241="","",O241),IF($B$1="Mixed",IF(R241="","",R241),IF(U241="","",U241))))</f>
        <v>#N/A</v>
      </c>
      <c r="B242" s="182" t="e">
        <f t="shared" si="482"/>
        <v>#N/A</v>
      </c>
      <c r="C242" s="182" t="e">
        <f t="shared" si="482"/>
        <v>#N/A</v>
      </c>
      <c r="D242" s="182" t="e">
        <f t="shared" ref="D242:E242" si="483">IF($D$1="Team",IF(AD241="","",AD241),"")</f>
        <v>#N/A</v>
      </c>
      <c r="E242" s="182" t="e">
        <f t="shared" si="483"/>
        <v>#N/A</v>
      </c>
      <c r="J242" s="170"/>
      <c r="K242" s="170"/>
      <c r="N242" s="182"/>
      <c r="O242" s="169" t="s">
        <v>9</v>
      </c>
      <c r="P242" s="1" t="str">
        <f t="shared" si="292"/>
        <v>A1b*0,5</v>
      </c>
      <c r="Q242" s="182">
        <f t="shared" si="293"/>
        <v>0.05</v>
      </c>
      <c r="R242" s="169" t="s">
        <v>9</v>
      </c>
      <c r="S242" s="1" t="str">
        <f t="shared" si="294"/>
        <v>A1b*0,5</v>
      </c>
      <c r="T242" s="182">
        <f t="shared" si="295"/>
        <v>0.05</v>
      </c>
      <c r="U242" s="169" t="s">
        <v>132</v>
      </c>
      <c r="V242" s="1" t="str">
        <f t="shared" si="320"/>
        <v>RD6*0,5</v>
      </c>
      <c r="W242" s="182">
        <f t="shared" si="321"/>
        <v>1.675</v>
      </c>
      <c r="AH242" s="1" t="s">
        <v>2086</v>
      </c>
      <c r="AI242" s="1" t="s">
        <v>1965</v>
      </c>
      <c r="AJ242" s="1">
        <v>0.5</v>
      </c>
    </row>
    <row r="243" spans="1:36" ht="15.75" customHeight="1" x14ac:dyDescent="0.3">
      <c r="A243" s="205" t="e">
        <f t="shared" ref="A243:C243" si="484">IF($B$1="Solo",IF(L242="","",L242),IF($B$1="Duet",IF(O242="","",O242),IF($B$1="Mixed",IF(R242="","",R242),IF(U242="","",U242))))</f>
        <v>#N/A</v>
      </c>
      <c r="B243" s="182" t="e">
        <f t="shared" si="484"/>
        <v>#N/A</v>
      </c>
      <c r="C243" s="182" t="e">
        <f t="shared" si="484"/>
        <v>#N/A</v>
      </c>
      <c r="D243" s="182" t="e">
        <f t="shared" ref="D243:E243" si="485">IF($D$1="Team",IF(AD242="","",AD242),"")</f>
        <v>#N/A</v>
      </c>
      <c r="E243" s="182" t="e">
        <f t="shared" si="485"/>
        <v>#N/A</v>
      </c>
      <c r="J243" s="170"/>
      <c r="K243" s="170"/>
      <c r="N243" s="182"/>
      <c r="O243" s="169" t="s">
        <v>9</v>
      </c>
      <c r="P243" s="1" t="str">
        <f t="shared" si="292"/>
        <v>A1c*0,5</v>
      </c>
      <c r="Q243" s="182">
        <f t="shared" si="293"/>
        <v>0.05</v>
      </c>
      <c r="R243" s="169" t="s">
        <v>9</v>
      </c>
      <c r="S243" s="1" t="str">
        <f t="shared" si="294"/>
        <v>A1c*0,5</v>
      </c>
      <c r="T243" s="182">
        <f t="shared" si="295"/>
        <v>0.05</v>
      </c>
      <c r="U243" s="169" t="s">
        <v>132</v>
      </c>
      <c r="V243" s="1" t="str">
        <f t="shared" si="320"/>
        <v>RU6*0,5</v>
      </c>
      <c r="W243" s="182">
        <f t="shared" si="321"/>
        <v>1.7749999999999999</v>
      </c>
      <c r="AH243" s="1" t="s">
        <v>2087</v>
      </c>
      <c r="AI243" s="1" t="s">
        <v>1966</v>
      </c>
      <c r="AJ243" s="1">
        <v>0.5</v>
      </c>
    </row>
    <row r="244" spans="1:36" ht="15.75" customHeight="1" x14ac:dyDescent="0.3">
      <c r="A244" s="205" t="e">
        <f t="shared" ref="A244:C244" si="486">IF($B$1="Solo",IF(L243="","",L243),IF($B$1="Duet",IF(O243="","",O243),IF($B$1="Mixed",IF(R243="","",R243),IF(U243="","",U243))))</f>
        <v>#N/A</v>
      </c>
      <c r="B244" s="182" t="e">
        <f t="shared" si="486"/>
        <v>#N/A</v>
      </c>
      <c r="C244" s="182" t="e">
        <f t="shared" si="486"/>
        <v>#N/A</v>
      </c>
      <c r="D244" s="182" t="e">
        <f t="shared" ref="D244:E244" si="487">IF($D$1="Team",IF(AD243="","",AD243),"")</f>
        <v>#N/A</v>
      </c>
      <c r="E244" s="182" t="e">
        <f t="shared" si="487"/>
        <v>#N/A</v>
      </c>
      <c r="J244" s="170"/>
      <c r="K244" s="170"/>
      <c r="N244" s="182"/>
      <c r="O244" s="169" t="s">
        <v>9</v>
      </c>
      <c r="P244" s="1" t="str">
        <f t="shared" si="292"/>
        <v>A1d*0,5</v>
      </c>
      <c r="Q244" s="182">
        <f t="shared" si="293"/>
        <v>0.05</v>
      </c>
      <c r="R244" s="169" t="s">
        <v>9</v>
      </c>
      <c r="S244" s="1" t="str">
        <f t="shared" si="294"/>
        <v>A1d*0,5</v>
      </c>
      <c r="T244" s="182">
        <f t="shared" si="295"/>
        <v>0.05</v>
      </c>
      <c r="U244" s="169" t="s">
        <v>132</v>
      </c>
      <c r="V244" s="1" t="str">
        <f t="shared" si="320"/>
        <v>2R7*0,5</v>
      </c>
      <c r="W244" s="182">
        <f t="shared" si="321"/>
        <v>1.7250000000000001</v>
      </c>
      <c r="AH244" s="1" t="s">
        <v>2088</v>
      </c>
      <c r="AI244" s="1" t="s">
        <v>1967</v>
      </c>
      <c r="AJ244" s="1">
        <v>0.5</v>
      </c>
    </row>
    <row r="245" spans="1:36" ht="15.75" customHeight="1" x14ac:dyDescent="0.3">
      <c r="A245" s="205" t="e">
        <f t="shared" ref="A245:C245" si="488">IF($B$1="Solo",IF(L244="","",L244),IF($B$1="Duet",IF(O244="","",O244),IF($B$1="Mixed",IF(R244="","",R244),IF(U244="","",U244))))</f>
        <v>#N/A</v>
      </c>
      <c r="B245" s="182" t="e">
        <f t="shared" si="488"/>
        <v>#N/A</v>
      </c>
      <c r="C245" s="182" t="e">
        <f t="shared" si="488"/>
        <v>#N/A</v>
      </c>
      <c r="D245" s="182" t="e">
        <f t="shared" ref="D245:E245" si="489">IF($D$1="Team",IF(AD244="","",AD244),"")</f>
        <v>#N/A</v>
      </c>
      <c r="E245" s="182" t="e">
        <f t="shared" si="489"/>
        <v>#N/A</v>
      </c>
      <c r="J245" s="170"/>
      <c r="K245" s="170"/>
      <c r="N245" s="182"/>
      <c r="O245" s="169" t="s">
        <v>9</v>
      </c>
      <c r="P245" s="1" t="str">
        <f t="shared" si="292"/>
        <v>A2a*0,5</v>
      </c>
      <c r="Q245" s="182">
        <f t="shared" si="293"/>
        <v>7.4999999999999997E-2</v>
      </c>
      <c r="R245" s="169" t="s">
        <v>9</v>
      </c>
      <c r="S245" s="1" t="str">
        <f t="shared" si="294"/>
        <v>A2a*0,5</v>
      </c>
      <c r="T245" s="182">
        <f t="shared" si="295"/>
        <v>7.4999999999999997E-2</v>
      </c>
      <c r="U245" s="169" t="s">
        <v>132</v>
      </c>
      <c r="V245" s="1" t="str">
        <f t="shared" si="320"/>
        <v>RU7*0,5</v>
      </c>
      <c r="W245" s="182">
        <f t="shared" si="321"/>
        <v>2.0750000000000002</v>
      </c>
      <c r="AH245" s="1" t="s">
        <v>2089</v>
      </c>
      <c r="AI245" s="1" t="s">
        <v>1968</v>
      </c>
      <c r="AJ245" s="1">
        <v>0.5</v>
      </c>
    </row>
    <row r="246" spans="1:36" ht="15.75" customHeight="1" x14ac:dyDescent="0.3">
      <c r="A246" s="205" t="e">
        <f t="shared" ref="A246:C246" si="490">IF($B$1="Solo",IF(L245="","",L245),IF($B$1="Duet",IF(O245="","",O245),IF($B$1="Mixed",IF(R245="","",R245),IF(U245="","",U245))))</f>
        <v>#N/A</v>
      </c>
      <c r="B246" s="182" t="e">
        <f t="shared" si="490"/>
        <v>#N/A</v>
      </c>
      <c r="C246" s="182" t="e">
        <f t="shared" si="490"/>
        <v>#N/A</v>
      </c>
      <c r="D246" s="182" t="e">
        <f t="shared" ref="D246:E246" si="491">IF($D$1="Team",IF(AD245="","",AD245),"")</f>
        <v>#N/A</v>
      </c>
      <c r="E246" s="182" t="e">
        <f t="shared" si="491"/>
        <v>#N/A</v>
      </c>
      <c r="J246" s="170"/>
      <c r="K246" s="170"/>
      <c r="N246" s="182"/>
      <c r="O246" s="169" t="s">
        <v>9</v>
      </c>
      <c r="P246" s="1" t="str">
        <f t="shared" si="292"/>
        <v>A2b*0,5</v>
      </c>
      <c r="Q246" s="182">
        <f t="shared" si="293"/>
        <v>7.4999999999999997E-2</v>
      </c>
      <c r="R246" s="169" t="s">
        <v>9</v>
      </c>
      <c r="S246" s="1" t="str">
        <f t="shared" si="294"/>
        <v>A2b*0,5</v>
      </c>
      <c r="T246" s="182">
        <f t="shared" si="295"/>
        <v>7.4999999999999997E-2</v>
      </c>
      <c r="U246" s="169" t="s">
        <v>132</v>
      </c>
      <c r="V246" s="1" t="str">
        <f t="shared" si="320"/>
        <v>2R8*0,5</v>
      </c>
      <c r="W246" s="182">
        <f t="shared" si="321"/>
        <v>1.9750000000000001</v>
      </c>
      <c r="AH246" s="1" t="s">
        <v>2090</v>
      </c>
      <c r="AI246" s="1" t="s">
        <v>1969</v>
      </c>
      <c r="AJ246" s="1">
        <v>0.5</v>
      </c>
    </row>
    <row r="247" spans="1:36" ht="15.75" customHeight="1" x14ac:dyDescent="0.3">
      <c r="A247" s="205" t="e">
        <f t="shared" ref="A247:C247" si="492">IF($B$1="Solo",IF(L246="","",L246),IF($B$1="Duet",IF(O246="","",O246),IF($B$1="Mixed",IF(R246="","",R246),IF(U246="","",U246))))</f>
        <v>#N/A</v>
      </c>
      <c r="B247" s="182" t="e">
        <f t="shared" si="492"/>
        <v>#N/A</v>
      </c>
      <c r="C247" s="182" t="e">
        <f t="shared" si="492"/>
        <v>#N/A</v>
      </c>
      <c r="D247" s="182" t="e">
        <f t="shared" ref="D247:E247" si="493">IF($D$1="Team",IF(AD246="","",AD246),"")</f>
        <v>#N/A</v>
      </c>
      <c r="E247" s="182" t="e">
        <f t="shared" si="493"/>
        <v>#N/A</v>
      </c>
      <c r="J247" s="170"/>
      <c r="K247" s="170"/>
      <c r="N247" s="182"/>
      <c r="O247" s="169" t="s">
        <v>9</v>
      </c>
      <c r="P247" s="1" t="str">
        <f t="shared" si="292"/>
        <v>A3a*0,5</v>
      </c>
      <c r="Q247" s="182">
        <f t="shared" si="293"/>
        <v>0.1</v>
      </c>
      <c r="R247" s="169" t="s">
        <v>9</v>
      </c>
      <c r="S247" s="1" t="str">
        <f t="shared" si="294"/>
        <v>A3a*0,5</v>
      </c>
      <c r="T247" s="182">
        <f t="shared" si="295"/>
        <v>0.1</v>
      </c>
      <c r="U247" s="169" t="s">
        <v>132</v>
      </c>
      <c r="V247" s="1" t="str">
        <f t="shared" si="320"/>
        <v>RU8*0,5</v>
      </c>
      <c r="W247" s="182">
        <f t="shared" si="321"/>
        <v>2.375</v>
      </c>
      <c r="AH247" s="1" t="s">
        <v>2091</v>
      </c>
      <c r="AI247" s="1" t="s">
        <v>1970</v>
      </c>
      <c r="AJ247" s="1">
        <v>0.5</v>
      </c>
    </row>
    <row r="248" spans="1:36" ht="15.75" customHeight="1" x14ac:dyDescent="0.3">
      <c r="A248" s="205" t="e">
        <f t="shared" ref="A248:C248" si="494">IF($B$1="Solo",IF(L247="","",L247),IF($B$1="Duet",IF(O247="","",O247),IF($B$1="Mixed",IF(R247="","",R247),IF(U247="","",U247))))</f>
        <v>#N/A</v>
      </c>
      <c r="B248" s="182" t="e">
        <f t="shared" si="494"/>
        <v>#N/A</v>
      </c>
      <c r="C248" s="182" t="e">
        <f t="shared" si="494"/>
        <v>#N/A</v>
      </c>
      <c r="D248" s="182" t="e">
        <f t="shared" ref="D248:E248" si="495">IF($D$1="Team",IF(AD247="","",AD247),"")</f>
        <v>#N/A</v>
      </c>
      <c r="E248" s="182" t="e">
        <f t="shared" si="495"/>
        <v>#N/A</v>
      </c>
      <c r="J248" s="170"/>
      <c r="K248" s="170"/>
      <c r="N248" s="182"/>
      <c r="O248" s="169" t="s">
        <v>9</v>
      </c>
      <c r="P248" s="1" t="str">
        <f t="shared" si="292"/>
        <v>A3b*0,5</v>
      </c>
      <c r="Q248" s="182">
        <f t="shared" si="293"/>
        <v>0.1</v>
      </c>
      <c r="R248" s="169" t="s">
        <v>9</v>
      </c>
      <c r="S248" s="1" t="str">
        <f t="shared" si="294"/>
        <v>A3b*0,5</v>
      </c>
      <c r="T248" s="182">
        <f t="shared" si="295"/>
        <v>0.1</v>
      </c>
      <c r="U248" s="169" t="s">
        <v>132</v>
      </c>
      <c r="V248" s="1" t="str">
        <f t="shared" si="320"/>
        <v>2R9*0,5</v>
      </c>
      <c r="W248" s="182">
        <f t="shared" si="321"/>
        <v>2.2250000000000001</v>
      </c>
      <c r="AH248" s="1" t="s">
        <v>2092</v>
      </c>
      <c r="AI248" s="1" t="s">
        <v>1971</v>
      </c>
      <c r="AJ248" s="1">
        <v>0.5</v>
      </c>
    </row>
    <row r="249" spans="1:36" ht="15.75" customHeight="1" x14ac:dyDescent="0.3">
      <c r="A249" s="205" t="e">
        <f t="shared" ref="A249:C249" si="496">IF($B$1="Solo",IF(L248="","",L248),IF($B$1="Duet",IF(O248="","",O248),IF($B$1="Mixed",IF(R248="","",R248),IF(U248="","",U248))))</f>
        <v>#N/A</v>
      </c>
      <c r="B249" s="182" t="e">
        <f t="shared" si="496"/>
        <v>#N/A</v>
      </c>
      <c r="C249" s="182" t="e">
        <f t="shared" si="496"/>
        <v>#N/A</v>
      </c>
      <c r="D249" s="182" t="e">
        <f t="shared" ref="D249:E249" si="497">IF($D$1="Team",IF(AD248="","",AD248),"")</f>
        <v>#N/A</v>
      </c>
      <c r="E249" s="182" t="e">
        <f t="shared" si="497"/>
        <v>#N/A</v>
      </c>
      <c r="J249" s="170"/>
      <c r="K249" s="170"/>
      <c r="N249" s="182"/>
      <c r="O249" s="169" t="s">
        <v>9</v>
      </c>
      <c r="P249" s="1" t="str">
        <f t="shared" si="292"/>
        <v>A4a*0,5</v>
      </c>
      <c r="Q249" s="182">
        <f t="shared" si="293"/>
        <v>0.22500000000000001</v>
      </c>
      <c r="R249" s="169" t="s">
        <v>9</v>
      </c>
      <c r="S249" s="1" t="str">
        <f t="shared" si="294"/>
        <v>A4a*0,5</v>
      </c>
      <c r="T249" s="182">
        <f t="shared" si="295"/>
        <v>0.22500000000000001</v>
      </c>
      <c r="U249" s="169" t="s">
        <v>132</v>
      </c>
      <c r="V249" s="1" t="str">
        <f t="shared" si="320"/>
        <v>RU9*0,5</v>
      </c>
      <c r="W249" s="182">
        <f t="shared" si="321"/>
        <v>2.6749999999999998</v>
      </c>
      <c r="AH249" s="1" t="s">
        <v>2093</v>
      </c>
      <c r="AI249" s="1" t="s">
        <v>1972</v>
      </c>
      <c r="AJ249" s="1">
        <v>0.5</v>
      </c>
    </row>
    <row r="250" spans="1:36" ht="15.75" customHeight="1" x14ac:dyDescent="0.3">
      <c r="A250" s="205" t="e">
        <f t="shared" ref="A250:C250" si="498">IF($B$1="Solo",IF(L249="","",L249),IF($B$1="Duet",IF(O249="","",O249),IF($B$1="Mixed",IF(R249="","",R249),IF(U249="","",U249))))</f>
        <v>#N/A</v>
      </c>
      <c r="B250" s="182" t="e">
        <f t="shared" si="498"/>
        <v>#N/A</v>
      </c>
      <c r="C250" s="182" t="e">
        <f t="shared" si="498"/>
        <v>#N/A</v>
      </c>
      <c r="D250" s="182" t="e">
        <f t="shared" ref="D250:E250" si="499">IF($D$1="Team",IF(AD249="","",AD249),"")</f>
        <v>#N/A</v>
      </c>
      <c r="E250" s="182" t="e">
        <f t="shared" si="499"/>
        <v>#N/A</v>
      </c>
      <c r="J250" s="170"/>
      <c r="K250" s="170"/>
      <c r="N250" s="182"/>
      <c r="O250" s="169" t="s">
        <v>9</v>
      </c>
      <c r="P250" s="1" t="str">
        <f t="shared" si="292"/>
        <v>A4b*0,5</v>
      </c>
      <c r="Q250" s="182">
        <f t="shared" si="293"/>
        <v>0.22500000000000001</v>
      </c>
      <c r="R250" s="169" t="s">
        <v>9</v>
      </c>
      <c r="S250" s="1" t="str">
        <f t="shared" si="294"/>
        <v>A4b*0,5</v>
      </c>
      <c r="T250" s="182">
        <f t="shared" si="295"/>
        <v>0.22500000000000001</v>
      </c>
      <c r="U250" s="169" t="s">
        <v>132</v>
      </c>
      <c r="V250" s="1" t="str">
        <f t="shared" si="320"/>
        <v>2R10*0,5</v>
      </c>
      <c r="W250" s="182">
        <f t="shared" si="321"/>
        <v>2.4750000000000001</v>
      </c>
      <c r="AH250" s="1" t="s">
        <v>2094</v>
      </c>
      <c r="AI250" s="1" t="s">
        <v>1973</v>
      </c>
      <c r="AJ250" s="1">
        <v>0.5</v>
      </c>
    </row>
    <row r="251" spans="1:36" ht="15.75" customHeight="1" x14ac:dyDescent="0.3">
      <c r="A251" s="205" t="e">
        <f t="shared" ref="A251:C251" si="500">IF($B$1="Solo",IF(L250="","",L250),IF($B$1="Duet",IF(O250="","",O250),IF($B$1="Mixed",IF(R250="","",R250),IF(U250="","",U250))))</f>
        <v>#N/A</v>
      </c>
      <c r="B251" s="182" t="e">
        <f t="shared" si="500"/>
        <v>#N/A</v>
      </c>
      <c r="C251" s="182" t="e">
        <f t="shared" si="500"/>
        <v>#N/A</v>
      </c>
      <c r="D251" s="182" t="e">
        <f t="shared" ref="D251:E251" si="501">IF($D$1="Team",IF(AD250="","",AD250),"")</f>
        <v>#N/A</v>
      </c>
      <c r="E251" s="182" t="e">
        <f t="shared" si="501"/>
        <v>#N/A</v>
      </c>
      <c r="J251" s="170"/>
      <c r="K251" s="170"/>
      <c r="N251" s="182"/>
      <c r="O251" s="169" t="s">
        <v>9</v>
      </c>
      <c r="P251" s="1" t="str">
        <f t="shared" si="292"/>
        <v>A5*0,5</v>
      </c>
      <c r="Q251" s="182">
        <f t="shared" si="293"/>
        <v>0.32500000000000001</v>
      </c>
      <c r="R251" s="169" t="s">
        <v>9</v>
      </c>
      <c r="S251" s="1" t="str">
        <f t="shared" si="294"/>
        <v>A5*0,5</v>
      </c>
      <c r="T251" s="182">
        <f t="shared" si="295"/>
        <v>0.32500000000000001</v>
      </c>
      <c r="U251" s="169" t="s">
        <v>132</v>
      </c>
      <c r="V251" s="1" t="str">
        <f t="shared" si="320"/>
        <v>RU10*0,5</v>
      </c>
      <c r="W251" s="182">
        <f t="shared" si="321"/>
        <v>2.9750000000000001</v>
      </c>
      <c r="AH251" s="1" t="s">
        <v>2095</v>
      </c>
      <c r="AI251" s="1" t="s">
        <v>1974</v>
      </c>
      <c r="AJ251" s="1">
        <v>0.5</v>
      </c>
    </row>
    <row r="252" spans="1:36" ht="15.75" customHeight="1" x14ac:dyDescent="0.3">
      <c r="A252" s="205" t="e">
        <f t="shared" ref="A252:C252" si="502">IF($B$1="Solo",IF(L251="","",L251),IF($B$1="Duet",IF(O251="","",O251),IF($B$1="Mixed",IF(R251="","",R251),IF(U251="","",U251))))</f>
        <v>#N/A</v>
      </c>
      <c r="B252" s="182" t="e">
        <f t="shared" si="502"/>
        <v>#N/A</v>
      </c>
      <c r="C252" s="182" t="e">
        <f t="shared" si="502"/>
        <v>#N/A</v>
      </c>
      <c r="D252" s="182" t="e">
        <f t="shared" ref="D252:E252" si="503">IF($D$1="Team",IF(AD251="","",AD251),"")</f>
        <v>#N/A</v>
      </c>
      <c r="E252" s="182" t="e">
        <f t="shared" si="503"/>
        <v>#N/A</v>
      </c>
      <c r="J252" s="170"/>
      <c r="K252" s="170"/>
      <c r="N252" s="182"/>
      <c r="O252" s="169" t="s">
        <v>9</v>
      </c>
      <c r="P252" s="1" t="str">
        <f t="shared" si="292"/>
        <v>A6*0,5</v>
      </c>
      <c r="Q252" s="182">
        <f t="shared" si="293"/>
        <v>0.57499999999999996</v>
      </c>
      <c r="R252" s="169" t="s">
        <v>9</v>
      </c>
      <c r="S252" s="1" t="str">
        <f t="shared" si="294"/>
        <v>A6*0,5</v>
      </c>
      <c r="T252" s="182">
        <f t="shared" si="295"/>
        <v>0.57499999999999996</v>
      </c>
      <c r="U252" s="169" t="s">
        <v>9</v>
      </c>
      <c r="V252" s="1" t="str">
        <f t="shared" si="320"/>
        <v>AB*0,5</v>
      </c>
      <c r="W252" s="182">
        <f t="shared" si="321"/>
        <v>2.5000000000000001E-2</v>
      </c>
      <c r="AH252" s="1" t="s">
        <v>2096</v>
      </c>
      <c r="AI252" s="1" t="s">
        <v>1975</v>
      </c>
      <c r="AJ252" s="1">
        <v>0.5</v>
      </c>
    </row>
    <row r="253" spans="1:36" ht="15.75" customHeight="1" x14ac:dyDescent="0.3">
      <c r="A253" s="205" t="e">
        <f t="shared" ref="A253:C253" si="504">IF($B$1="Solo",IF(L252="","",L252),IF($B$1="Duet",IF(O252="","",O252),IF($B$1="Mixed",IF(R252="","",R252),IF(U252="","",U252))))</f>
        <v>#N/A</v>
      </c>
      <c r="B253" s="182" t="e">
        <f t="shared" si="504"/>
        <v>#N/A</v>
      </c>
      <c r="C253" s="182" t="e">
        <f t="shared" si="504"/>
        <v>#N/A</v>
      </c>
      <c r="D253" s="182" t="e">
        <f t="shared" ref="D253:E253" si="505">IF($D$1="Team",IF(AD252="","",AD252),"")</f>
        <v>#N/A</v>
      </c>
      <c r="E253" s="182" t="e">
        <f t="shared" si="505"/>
        <v>#N/A</v>
      </c>
      <c r="J253" s="170"/>
      <c r="K253" s="170"/>
      <c r="N253" s="182"/>
      <c r="O253" s="169" t="s">
        <v>9</v>
      </c>
      <c r="P253" s="1" t="str">
        <f t="shared" si="292"/>
        <v>A7*0,5</v>
      </c>
      <c r="Q253" s="182">
        <f t="shared" si="293"/>
        <v>0.72499999999999998</v>
      </c>
      <c r="R253" s="169" t="s">
        <v>9</v>
      </c>
      <c r="S253" s="1" t="str">
        <f t="shared" si="294"/>
        <v>A7*0,5</v>
      </c>
      <c r="T253" s="182">
        <f t="shared" si="295"/>
        <v>0.72499999999999998</v>
      </c>
      <c r="U253" s="169" t="s">
        <v>9</v>
      </c>
      <c r="V253" s="1" t="str">
        <f t="shared" si="320"/>
        <v>A1a*0,5</v>
      </c>
      <c r="W253" s="182">
        <f t="shared" si="321"/>
        <v>0.05</v>
      </c>
      <c r="AH253" s="1" t="s">
        <v>2097</v>
      </c>
      <c r="AI253" s="1" t="s">
        <v>1976</v>
      </c>
      <c r="AJ253" s="1">
        <v>0.5</v>
      </c>
    </row>
    <row r="254" spans="1:36" ht="15.75" customHeight="1" x14ac:dyDescent="0.3">
      <c r="A254" s="205" t="e">
        <f t="shared" ref="A254:C254" si="506">IF($B$1="Solo",IF(L253="","",L253),IF($B$1="Duet",IF(O253="","",O253),IF($B$1="Mixed",IF(R253="","",R253),IF(U253="","",U253))))</f>
        <v>#N/A</v>
      </c>
      <c r="B254" s="182" t="e">
        <f t="shared" si="506"/>
        <v>#N/A</v>
      </c>
      <c r="C254" s="182" t="e">
        <f t="shared" si="506"/>
        <v>#N/A</v>
      </c>
      <c r="D254" s="182" t="e">
        <f t="shared" ref="D254:E254" si="507">IF($D$1="Team",IF(AD253="","",AD253),"")</f>
        <v>#N/A</v>
      </c>
      <c r="E254" s="182" t="e">
        <f t="shared" si="507"/>
        <v>#N/A</v>
      </c>
      <c r="J254" s="170"/>
      <c r="K254" s="170"/>
      <c r="N254" s="182"/>
      <c r="O254" s="169" t="s">
        <v>9</v>
      </c>
      <c r="P254" s="1" t="str">
        <f t="shared" si="292"/>
        <v>A8*0,5</v>
      </c>
      <c r="Q254" s="182">
        <f t="shared" si="293"/>
        <v>0.82499999999999996</v>
      </c>
      <c r="R254" s="169" t="s">
        <v>9</v>
      </c>
      <c r="S254" s="1" t="str">
        <f t="shared" si="294"/>
        <v>A8*0,5</v>
      </c>
      <c r="T254" s="182">
        <f t="shared" si="295"/>
        <v>0.82499999999999996</v>
      </c>
      <c r="U254" s="169" t="s">
        <v>9</v>
      </c>
      <c r="V254" s="1" t="str">
        <f t="shared" si="320"/>
        <v>A1b*0,5</v>
      </c>
      <c r="W254" s="182">
        <f t="shared" si="321"/>
        <v>0.05</v>
      </c>
      <c r="AH254" s="1" t="s">
        <v>2098</v>
      </c>
      <c r="AI254" s="1" t="s">
        <v>1977</v>
      </c>
      <c r="AJ254" s="1">
        <v>0.5</v>
      </c>
    </row>
    <row r="255" spans="1:36" ht="15.75" customHeight="1" x14ac:dyDescent="0.3">
      <c r="A255" s="205" t="e">
        <f t="shared" ref="A255:C255" si="508">IF($B$1="Solo",IF(L254="","",L254),IF($B$1="Duet",IF(O254="","",O254),IF($B$1="Mixed",IF(R254="","",R254),IF(U254="","",U254))))</f>
        <v>#N/A</v>
      </c>
      <c r="B255" s="182" t="e">
        <f t="shared" si="508"/>
        <v>#N/A</v>
      </c>
      <c r="C255" s="182" t="e">
        <f t="shared" si="508"/>
        <v>#N/A</v>
      </c>
      <c r="D255" s="182" t="e">
        <f t="shared" ref="D255:E255" si="509">IF($D$1="Team",IF(AD254="","",AD254),"")</f>
        <v>#N/A</v>
      </c>
      <c r="E255" s="182" t="e">
        <f t="shared" si="509"/>
        <v>#N/A</v>
      </c>
      <c r="J255" s="170"/>
      <c r="K255" s="170"/>
      <c r="N255" s="182"/>
      <c r="O255" s="169" t="s">
        <v>133</v>
      </c>
      <c r="P255" s="1" t="str">
        <f t="shared" si="292"/>
        <v>FB*0,5</v>
      </c>
      <c r="Q255" s="182">
        <f t="shared" si="293"/>
        <v>2.5000000000000001E-2</v>
      </c>
      <c r="R255" s="169" t="s">
        <v>133</v>
      </c>
      <c r="S255" s="1" t="str">
        <f t="shared" si="294"/>
        <v>FB*0,5</v>
      </c>
      <c r="T255" s="182">
        <f t="shared" si="295"/>
        <v>2.5000000000000001E-2</v>
      </c>
      <c r="U255" s="169" t="s">
        <v>9</v>
      </c>
      <c r="V255" s="1" t="str">
        <f t="shared" si="320"/>
        <v>A1c*0,5</v>
      </c>
      <c r="W255" s="182">
        <f t="shared" si="321"/>
        <v>0.05</v>
      </c>
      <c r="AH255" s="1" t="s">
        <v>2099</v>
      </c>
      <c r="AI255" s="1" t="s">
        <v>1978</v>
      </c>
      <c r="AJ255" s="1">
        <v>0.5</v>
      </c>
    </row>
    <row r="256" spans="1:36" ht="15.75" customHeight="1" x14ac:dyDescent="0.3">
      <c r="A256" s="205" t="e">
        <f t="shared" ref="A256:C256" si="510">IF($B$1="Solo",IF(L255="","",L255),IF($B$1="Duet",IF(O255="","",O255),IF($B$1="Mixed",IF(R255="","",R255),IF(U255="","",U255))))</f>
        <v>#N/A</v>
      </c>
      <c r="B256" s="182" t="e">
        <f t="shared" si="510"/>
        <v>#N/A</v>
      </c>
      <c r="C256" s="182" t="e">
        <f t="shared" si="510"/>
        <v>#N/A</v>
      </c>
      <c r="D256" s="182" t="e">
        <f t="shared" ref="D256:E256" si="511">IF($D$1="Team",IF(AD255="","",AD255),"")</f>
        <v>#N/A</v>
      </c>
      <c r="E256" s="182" t="e">
        <f t="shared" si="511"/>
        <v>#N/A</v>
      </c>
      <c r="J256" s="170"/>
      <c r="K256" s="170"/>
      <c r="N256" s="182"/>
      <c r="O256" s="169" t="s">
        <v>133</v>
      </c>
      <c r="P256" s="1" t="str">
        <f t="shared" si="292"/>
        <v>F1a*0,5</v>
      </c>
      <c r="Q256" s="182">
        <f t="shared" si="293"/>
        <v>0.05</v>
      </c>
      <c r="R256" s="169" t="s">
        <v>133</v>
      </c>
      <c r="S256" s="1" t="str">
        <f t="shared" si="294"/>
        <v>F1a*0,5</v>
      </c>
      <c r="T256" s="182">
        <f t="shared" si="295"/>
        <v>0.05</v>
      </c>
      <c r="U256" s="169" t="s">
        <v>9</v>
      </c>
      <c r="V256" s="1" t="str">
        <f t="shared" si="320"/>
        <v>A1d*0,5</v>
      </c>
      <c r="W256" s="182">
        <f t="shared" si="321"/>
        <v>0.05</v>
      </c>
      <c r="AH256" s="1" t="s">
        <v>2100</v>
      </c>
      <c r="AI256" s="1" t="s">
        <v>1979</v>
      </c>
      <c r="AJ256" s="1">
        <v>0.5</v>
      </c>
    </row>
    <row r="257" spans="1:36" ht="15.75" customHeight="1" x14ac:dyDescent="0.3">
      <c r="A257" s="205" t="e">
        <f t="shared" ref="A257:C257" si="512">IF($B$1="Solo",IF(L256="","",L256),IF($B$1="Duet",IF(O256="","",O256),IF($B$1="Mixed",IF(R256="","",R256),IF(U256="","",U256))))</f>
        <v>#N/A</v>
      </c>
      <c r="B257" s="182" t="e">
        <f t="shared" si="512"/>
        <v>#N/A</v>
      </c>
      <c r="C257" s="182" t="e">
        <f t="shared" si="512"/>
        <v>#N/A</v>
      </c>
      <c r="D257" s="182" t="e">
        <f t="shared" ref="D257:E257" si="513">IF($D$1="Team",IF(AD256="","",AD256),"")</f>
        <v>#N/A</v>
      </c>
      <c r="E257" s="182" t="e">
        <f t="shared" si="513"/>
        <v>#N/A</v>
      </c>
      <c r="J257" s="170"/>
      <c r="K257" s="170"/>
      <c r="N257" s="182"/>
      <c r="O257" s="169" t="s">
        <v>133</v>
      </c>
      <c r="P257" s="1" t="str">
        <f t="shared" si="292"/>
        <v>F1b*0,5</v>
      </c>
      <c r="Q257" s="182">
        <f t="shared" si="293"/>
        <v>0.05</v>
      </c>
      <c r="R257" s="169" t="s">
        <v>133</v>
      </c>
      <c r="S257" s="1" t="str">
        <f t="shared" si="294"/>
        <v>F1b*0,5</v>
      </c>
      <c r="T257" s="182">
        <f t="shared" si="295"/>
        <v>0.05</v>
      </c>
      <c r="U257" s="169" t="s">
        <v>9</v>
      </c>
      <c r="V257" s="1" t="str">
        <f t="shared" si="320"/>
        <v>A2a*0,5</v>
      </c>
      <c r="W257" s="182">
        <f t="shared" si="321"/>
        <v>7.4999999999999997E-2</v>
      </c>
      <c r="AH257" s="1" t="s">
        <v>2101</v>
      </c>
      <c r="AI257" s="1" t="s">
        <v>1980</v>
      </c>
      <c r="AJ257" s="1">
        <v>0.5</v>
      </c>
    </row>
    <row r="258" spans="1:36" ht="15.75" customHeight="1" x14ac:dyDescent="0.3">
      <c r="A258" s="205" t="e">
        <f t="shared" ref="A258:C258" si="514">IF($B$1="Solo",IF(L257="","",L257),IF($B$1="Duet",IF(O257="","",O257),IF($B$1="Mixed",IF(R257="","",R257),IF(U257="","",U257))))</f>
        <v>#N/A</v>
      </c>
      <c r="B258" s="182" t="e">
        <f t="shared" si="514"/>
        <v>#N/A</v>
      </c>
      <c r="C258" s="182" t="e">
        <f t="shared" si="514"/>
        <v>#N/A</v>
      </c>
      <c r="D258" s="182" t="e">
        <f t="shared" ref="D258:E258" si="515">IF($D$1="Team",IF(AD257="","",AD257),"")</f>
        <v>#N/A</v>
      </c>
      <c r="E258" s="182" t="e">
        <f t="shared" si="515"/>
        <v>#N/A</v>
      </c>
      <c r="J258" s="170"/>
      <c r="K258" s="170"/>
      <c r="N258" s="182"/>
      <c r="O258" s="169" t="s">
        <v>133</v>
      </c>
      <c r="P258" s="1" t="str">
        <f t="shared" si="292"/>
        <v>F1c*0,5</v>
      </c>
      <c r="Q258" s="182">
        <f t="shared" si="293"/>
        <v>0.05</v>
      </c>
      <c r="R258" s="169" t="s">
        <v>133</v>
      </c>
      <c r="S258" s="1" t="str">
        <f t="shared" si="294"/>
        <v>F1c*0,5</v>
      </c>
      <c r="T258" s="182">
        <f t="shared" si="295"/>
        <v>0.05</v>
      </c>
      <c r="U258" s="169" t="s">
        <v>9</v>
      </c>
      <c r="V258" s="1" t="str">
        <f t="shared" si="320"/>
        <v>A2b*0,5</v>
      </c>
      <c r="W258" s="182">
        <f t="shared" si="321"/>
        <v>7.4999999999999997E-2</v>
      </c>
      <c r="AH258" s="1" t="s">
        <v>2102</v>
      </c>
      <c r="AI258" s="1" t="s">
        <v>1981</v>
      </c>
      <c r="AJ258" s="1">
        <v>0.5</v>
      </c>
    </row>
    <row r="259" spans="1:36" ht="15.75" customHeight="1" x14ac:dyDescent="0.3">
      <c r="A259" s="205" t="e">
        <f t="shared" ref="A259:C259" si="516">IF($B$1="Solo",IF(L258="","",L258),IF($B$1="Duet",IF(O258="","",O258),IF($B$1="Mixed",IF(R258="","",R258),IF(U258="","",U258))))</f>
        <v>#N/A</v>
      </c>
      <c r="B259" s="182" t="e">
        <f t="shared" si="516"/>
        <v>#N/A</v>
      </c>
      <c r="C259" s="182" t="e">
        <f t="shared" si="516"/>
        <v>#N/A</v>
      </c>
      <c r="D259" s="182" t="e">
        <f t="shared" ref="D259:E259" si="517">IF($D$1="Team",IF(AD258="","",AD258),"")</f>
        <v>#N/A</v>
      </c>
      <c r="E259" s="182" t="e">
        <f t="shared" si="517"/>
        <v>#N/A</v>
      </c>
      <c r="J259" s="170"/>
      <c r="K259" s="170"/>
      <c r="N259" s="182"/>
      <c r="O259" s="169" t="s">
        <v>133</v>
      </c>
      <c r="P259" s="1" t="str">
        <f t="shared" si="292"/>
        <v>F2a*0,5</v>
      </c>
      <c r="Q259" s="182">
        <f t="shared" si="293"/>
        <v>0.1</v>
      </c>
      <c r="R259" s="169" t="s">
        <v>133</v>
      </c>
      <c r="S259" s="1" t="str">
        <f t="shared" si="294"/>
        <v>F2a*0,5</v>
      </c>
      <c r="T259" s="182">
        <f t="shared" si="295"/>
        <v>0.1</v>
      </c>
      <c r="U259" s="169" t="s">
        <v>9</v>
      </c>
      <c r="V259" s="1" t="str">
        <f t="shared" si="320"/>
        <v>A3a*0,5</v>
      </c>
      <c r="W259" s="182">
        <f t="shared" si="321"/>
        <v>0.1</v>
      </c>
      <c r="AH259" s="1" t="s">
        <v>2103</v>
      </c>
      <c r="AI259" s="1" t="s">
        <v>1982</v>
      </c>
      <c r="AJ259" s="1">
        <v>0.5</v>
      </c>
    </row>
    <row r="260" spans="1:36" ht="15.75" customHeight="1" x14ac:dyDescent="0.3">
      <c r="A260" s="205" t="e">
        <f t="shared" ref="A260:C260" si="518">IF($B$1="Solo",IF(L259="","",L259),IF($B$1="Duet",IF(O259="","",O259),IF($B$1="Mixed",IF(R259="","",R259),IF(U259="","",U259))))</f>
        <v>#N/A</v>
      </c>
      <c r="B260" s="182" t="e">
        <f t="shared" si="518"/>
        <v>#N/A</v>
      </c>
      <c r="C260" s="182" t="e">
        <f t="shared" si="518"/>
        <v>#N/A</v>
      </c>
      <c r="D260" s="182" t="e">
        <f t="shared" ref="D260:E260" si="519">IF($D$1="Team",IF(AD259="","",AD259),"")</f>
        <v>#N/A</v>
      </c>
      <c r="E260" s="182" t="e">
        <f t="shared" si="519"/>
        <v>#N/A</v>
      </c>
      <c r="J260" s="170"/>
      <c r="K260" s="170"/>
      <c r="N260" s="182"/>
      <c r="O260" s="169" t="s">
        <v>133</v>
      </c>
      <c r="P260" s="1" t="str">
        <f t="shared" si="292"/>
        <v>F2b*0,5</v>
      </c>
      <c r="Q260" s="182">
        <f t="shared" si="293"/>
        <v>0.1</v>
      </c>
      <c r="R260" s="169" t="s">
        <v>133</v>
      </c>
      <c r="S260" s="1" t="str">
        <f t="shared" si="294"/>
        <v>F2b*0,5</v>
      </c>
      <c r="T260" s="182">
        <f t="shared" si="295"/>
        <v>0.1</v>
      </c>
      <c r="U260" s="169" t="s">
        <v>9</v>
      </c>
      <c r="V260" s="1" t="str">
        <f t="shared" si="320"/>
        <v>A3b*0,5</v>
      </c>
      <c r="W260" s="182">
        <f t="shared" si="321"/>
        <v>0.1</v>
      </c>
      <c r="AH260" s="1" t="s">
        <v>2104</v>
      </c>
      <c r="AI260" s="1" t="s">
        <v>1983</v>
      </c>
      <c r="AJ260" s="1">
        <v>0.5</v>
      </c>
    </row>
    <row r="261" spans="1:36" ht="15.75" customHeight="1" x14ac:dyDescent="0.3">
      <c r="A261" s="205" t="e">
        <f t="shared" ref="A261:C261" si="520">IF($B$1="Solo",IF(L260="","",L260),IF($B$1="Duet",IF(O260="","",O260),IF($B$1="Mixed",IF(R260="","",R260),IF(U260="","",U260))))</f>
        <v>#N/A</v>
      </c>
      <c r="B261" s="182" t="e">
        <f t="shared" si="520"/>
        <v>#N/A</v>
      </c>
      <c r="C261" s="182" t="e">
        <f t="shared" si="520"/>
        <v>#N/A</v>
      </c>
      <c r="D261" s="182" t="e">
        <f t="shared" ref="D261:E261" si="521">IF($D$1="Team",IF(AD260="","",AD260),"")</f>
        <v>#N/A</v>
      </c>
      <c r="E261" s="182" t="e">
        <f t="shared" si="521"/>
        <v>#N/A</v>
      </c>
      <c r="J261" s="170"/>
      <c r="K261" s="170"/>
      <c r="N261" s="182"/>
      <c r="O261" s="169" t="s">
        <v>133</v>
      </c>
      <c r="P261" s="1" t="str">
        <f t="shared" si="292"/>
        <v>F2c*0,5</v>
      </c>
      <c r="Q261" s="182">
        <f t="shared" si="293"/>
        <v>0.1</v>
      </c>
      <c r="R261" s="169" t="s">
        <v>133</v>
      </c>
      <c r="S261" s="1" t="str">
        <f t="shared" si="294"/>
        <v>F2c*0,5</v>
      </c>
      <c r="T261" s="182">
        <f t="shared" si="295"/>
        <v>0.1</v>
      </c>
      <c r="U261" s="169" t="s">
        <v>9</v>
      </c>
      <c r="V261" s="1" t="str">
        <f t="shared" si="320"/>
        <v>A4a*0,5</v>
      </c>
      <c r="W261" s="182">
        <f t="shared" si="321"/>
        <v>0.22500000000000001</v>
      </c>
      <c r="AH261" s="1" t="s">
        <v>2105</v>
      </c>
      <c r="AI261" s="1" t="s">
        <v>1984</v>
      </c>
      <c r="AJ261" s="1">
        <v>0.5</v>
      </c>
    </row>
    <row r="262" spans="1:36" ht="15.75" customHeight="1" x14ac:dyDescent="0.3">
      <c r="A262" s="205" t="e">
        <f t="shared" ref="A262:C262" si="522">IF($B$1="Solo",IF(L261="","",L261),IF($B$1="Duet",IF(O261="","",O261),IF($B$1="Mixed",IF(R261="","",R261),IF(U261="","",U261))))</f>
        <v>#N/A</v>
      </c>
      <c r="B262" s="182" t="e">
        <f t="shared" si="522"/>
        <v>#N/A</v>
      </c>
      <c r="C262" s="182" t="e">
        <f t="shared" si="522"/>
        <v>#N/A</v>
      </c>
      <c r="D262" s="182" t="e">
        <f t="shared" ref="D262:E262" si="523">IF($D$1="Team",IF(AD261="","",AD261),"")</f>
        <v>#N/A</v>
      </c>
      <c r="E262" s="182" t="e">
        <f t="shared" si="523"/>
        <v>#N/A</v>
      </c>
      <c r="J262" s="170"/>
      <c r="K262" s="170"/>
      <c r="N262" s="182"/>
      <c r="O262" s="169" t="s">
        <v>133</v>
      </c>
      <c r="P262" s="1" t="str">
        <f t="shared" si="292"/>
        <v>F3a*0,5</v>
      </c>
      <c r="Q262" s="182">
        <f t="shared" si="293"/>
        <v>0.15</v>
      </c>
      <c r="R262" s="169" t="s">
        <v>133</v>
      </c>
      <c r="S262" s="1" t="str">
        <f t="shared" si="294"/>
        <v>F3a*0,5</v>
      </c>
      <c r="T262" s="182">
        <f t="shared" si="295"/>
        <v>0.15</v>
      </c>
      <c r="U262" s="169" t="s">
        <v>9</v>
      </c>
      <c r="V262" s="1" t="str">
        <f t="shared" si="320"/>
        <v>A4b*0,5</v>
      </c>
      <c r="W262" s="182">
        <f t="shared" si="321"/>
        <v>0.22500000000000001</v>
      </c>
      <c r="AH262" s="1" t="s">
        <v>2106</v>
      </c>
      <c r="AI262" s="1" t="s">
        <v>1985</v>
      </c>
      <c r="AJ262" s="1">
        <v>0.5</v>
      </c>
    </row>
    <row r="263" spans="1:36" ht="15.75" customHeight="1" x14ac:dyDescent="0.3">
      <c r="A263" s="205" t="e">
        <f t="shared" ref="A263:C263" si="524">IF($B$1="Solo",IF(L262="","",L262),IF($B$1="Duet",IF(O262="","",O262),IF($B$1="Mixed",IF(R262="","",R262),IF(U262="","",U262))))</f>
        <v>#N/A</v>
      </c>
      <c r="B263" s="182" t="e">
        <f t="shared" si="524"/>
        <v>#N/A</v>
      </c>
      <c r="C263" s="182" t="e">
        <f t="shared" si="524"/>
        <v>#N/A</v>
      </c>
      <c r="D263" s="182" t="e">
        <f t="shared" ref="D263:E263" si="525">IF($D$1="Team",IF(AD262="","",AD262),"")</f>
        <v>#N/A</v>
      </c>
      <c r="E263" s="182" t="e">
        <f t="shared" si="525"/>
        <v>#N/A</v>
      </c>
      <c r="J263" s="170"/>
      <c r="K263" s="170"/>
      <c r="N263" s="182"/>
      <c r="O263" s="169" t="s">
        <v>133</v>
      </c>
      <c r="P263" s="1" t="str">
        <f t="shared" si="292"/>
        <v>F3b*0,5</v>
      </c>
      <c r="Q263" s="182">
        <f t="shared" si="293"/>
        <v>0.15</v>
      </c>
      <c r="R263" s="169" t="s">
        <v>133</v>
      </c>
      <c r="S263" s="1" t="str">
        <f t="shared" si="294"/>
        <v>F3b*0,5</v>
      </c>
      <c r="T263" s="182">
        <f t="shared" si="295"/>
        <v>0.15</v>
      </c>
      <c r="U263" s="169" t="s">
        <v>9</v>
      </c>
      <c r="V263" s="1" t="str">
        <f t="shared" si="320"/>
        <v>A5*0,5</v>
      </c>
      <c r="W263" s="182">
        <f t="shared" si="321"/>
        <v>0.32500000000000001</v>
      </c>
      <c r="AH263" s="1" t="s">
        <v>2107</v>
      </c>
      <c r="AI263" s="1" t="s">
        <v>1986</v>
      </c>
      <c r="AJ263" s="1">
        <v>0.5</v>
      </c>
    </row>
    <row r="264" spans="1:36" ht="15.75" customHeight="1" x14ac:dyDescent="0.3">
      <c r="A264" s="205" t="e">
        <f t="shared" ref="A264:C264" si="526">IF($B$1="Solo",IF(L263="","",L263),IF($B$1="Duet",IF(O263="","",O263),IF($B$1="Mixed",IF(R263="","",R263),IF(U263="","",U263))))</f>
        <v>#N/A</v>
      </c>
      <c r="B264" s="182" t="e">
        <f t="shared" si="526"/>
        <v>#N/A</v>
      </c>
      <c r="C264" s="182" t="e">
        <f t="shared" si="526"/>
        <v>#N/A</v>
      </c>
      <c r="D264" s="182" t="e">
        <f t="shared" ref="D264:E264" si="527">IF($D$1="Team",IF(AD263="","",AD263),"")</f>
        <v>#N/A</v>
      </c>
      <c r="E264" s="182" t="e">
        <f t="shared" si="527"/>
        <v>#N/A</v>
      </c>
      <c r="J264" s="170"/>
      <c r="K264" s="170"/>
      <c r="N264" s="182"/>
      <c r="O264" s="169" t="s">
        <v>133</v>
      </c>
      <c r="P264" s="1" t="str">
        <f t="shared" si="292"/>
        <v>F3c*0,5</v>
      </c>
      <c r="Q264" s="182">
        <f t="shared" si="293"/>
        <v>0.15</v>
      </c>
      <c r="R264" s="169" t="s">
        <v>133</v>
      </c>
      <c r="S264" s="1" t="str">
        <f t="shared" si="294"/>
        <v>F3c*0,5</v>
      </c>
      <c r="T264" s="182">
        <f t="shared" si="295"/>
        <v>0.15</v>
      </c>
      <c r="U264" s="169" t="s">
        <v>9</v>
      </c>
      <c r="V264" s="1" t="str">
        <f t="shared" si="320"/>
        <v>A6*0,5</v>
      </c>
      <c r="W264" s="182">
        <f t="shared" si="321"/>
        <v>0.57499999999999996</v>
      </c>
      <c r="AH264" s="1" t="s">
        <v>2108</v>
      </c>
      <c r="AI264" s="1" t="s">
        <v>1987</v>
      </c>
      <c r="AJ264" s="1">
        <v>0.5</v>
      </c>
    </row>
    <row r="265" spans="1:36" ht="15.75" customHeight="1" x14ac:dyDescent="0.3">
      <c r="A265" s="205" t="e">
        <f t="shared" ref="A265:C265" si="528">IF($B$1="Solo",IF(L264="","",L264),IF($B$1="Duet",IF(O264="","",O264),IF($B$1="Mixed",IF(R264="","",R264),IF(U264="","",U264))))</f>
        <v>#N/A</v>
      </c>
      <c r="B265" s="182" t="e">
        <f t="shared" si="528"/>
        <v>#N/A</v>
      </c>
      <c r="C265" s="182" t="e">
        <f t="shared" si="528"/>
        <v>#N/A</v>
      </c>
      <c r="D265" s="182" t="e">
        <f t="shared" ref="D265:E265" si="529">IF($D$1="Team",IF(AD264="","",AD264),"")</f>
        <v>#N/A</v>
      </c>
      <c r="E265" s="182" t="e">
        <f t="shared" si="529"/>
        <v>#N/A</v>
      </c>
      <c r="J265" s="170"/>
      <c r="K265" s="170"/>
      <c r="N265" s="182"/>
      <c r="O265" s="169" t="s">
        <v>133</v>
      </c>
      <c r="P265" s="1" t="str">
        <f t="shared" si="292"/>
        <v>F4a*0,5</v>
      </c>
      <c r="Q265" s="182">
        <f t="shared" si="293"/>
        <v>0.2</v>
      </c>
      <c r="R265" s="169" t="s">
        <v>133</v>
      </c>
      <c r="S265" s="1" t="str">
        <f t="shared" si="294"/>
        <v>F4a*0,5</v>
      </c>
      <c r="T265" s="182">
        <f t="shared" si="295"/>
        <v>0.2</v>
      </c>
      <c r="U265" s="169" t="s">
        <v>9</v>
      </c>
      <c r="V265" s="1" t="str">
        <f t="shared" si="320"/>
        <v>A7*0,5</v>
      </c>
      <c r="W265" s="182">
        <f t="shared" si="321"/>
        <v>0.72499999999999998</v>
      </c>
      <c r="AH265" s="1" t="s">
        <v>2109</v>
      </c>
      <c r="AI265" s="1" t="s">
        <v>1988</v>
      </c>
      <c r="AJ265" s="1">
        <v>0.5</v>
      </c>
    </row>
    <row r="266" spans="1:36" ht="15.75" customHeight="1" x14ac:dyDescent="0.3">
      <c r="A266" s="205" t="e">
        <f t="shared" ref="A266:C266" si="530">IF($B$1="Solo",IF(L265="","",L265),IF($B$1="Duet",IF(O265="","",O265),IF($B$1="Mixed",IF(R265="","",R265),IF(U265="","",U265))))</f>
        <v>#N/A</v>
      </c>
      <c r="B266" s="182" t="e">
        <f t="shared" si="530"/>
        <v>#N/A</v>
      </c>
      <c r="C266" s="182" t="e">
        <f t="shared" si="530"/>
        <v>#N/A</v>
      </c>
      <c r="D266" s="182" t="e">
        <f t="shared" ref="D266:E266" si="531">IF($D$1="Team",IF(AD265="","",AD265),"")</f>
        <v>#N/A</v>
      </c>
      <c r="E266" s="182" t="e">
        <f t="shared" si="531"/>
        <v>#N/A</v>
      </c>
      <c r="J266" s="170"/>
      <c r="K266" s="170"/>
      <c r="N266" s="182"/>
      <c r="O266" s="169" t="s">
        <v>133</v>
      </c>
      <c r="P266" s="1" t="str">
        <f t="shared" si="292"/>
        <v>F4b*0,5</v>
      </c>
      <c r="Q266" s="182">
        <f t="shared" si="293"/>
        <v>0.2</v>
      </c>
      <c r="R266" s="169" t="s">
        <v>133</v>
      </c>
      <c r="S266" s="1" t="str">
        <f t="shared" si="294"/>
        <v>F4b*0,5</v>
      </c>
      <c r="T266" s="182">
        <f t="shared" si="295"/>
        <v>0.2</v>
      </c>
      <c r="U266" s="169" t="s">
        <v>9</v>
      </c>
      <c r="V266" s="1" t="str">
        <f t="shared" si="320"/>
        <v>A8*0,5</v>
      </c>
      <c r="W266" s="182">
        <f t="shared" si="321"/>
        <v>0.82499999999999996</v>
      </c>
      <c r="AH266" s="1" t="s">
        <v>2110</v>
      </c>
      <c r="AI266" s="1" t="s">
        <v>1989</v>
      </c>
      <c r="AJ266" s="1">
        <v>0.5</v>
      </c>
    </row>
    <row r="267" spans="1:36" ht="15.75" customHeight="1" x14ac:dyDescent="0.3">
      <c r="A267" s="205" t="e">
        <f t="shared" ref="A267:C267" si="532">IF($B$1="Solo",IF(L266="","",L266),IF($B$1="Duet",IF(O266="","",O266),IF($B$1="Mixed",IF(R266="","",R266),IF(U266="","",U266))))</f>
        <v>#N/A</v>
      </c>
      <c r="B267" s="182" t="e">
        <f t="shared" si="532"/>
        <v>#N/A</v>
      </c>
      <c r="C267" s="182" t="e">
        <f t="shared" si="532"/>
        <v>#N/A</v>
      </c>
      <c r="D267" s="182" t="e">
        <f t="shared" ref="D267:E267" si="533">IF($D$1="Team",IF(AD266="","",AD266),"")</f>
        <v>#N/A</v>
      </c>
      <c r="E267" s="182" t="e">
        <f t="shared" si="533"/>
        <v>#N/A</v>
      </c>
      <c r="J267" s="170"/>
      <c r="K267" s="170"/>
      <c r="N267" s="182"/>
      <c r="O267" s="169" t="s">
        <v>133</v>
      </c>
      <c r="P267" s="1" t="str">
        <f t="shared" si="292"/>
        <v>F4c*0,5</v>
      </c>
      <c r="Q267" s="182">
        <f t="shared" si="293"/>
        <v>0.2</v>
      </c>
      <c r="R267" s="169" t="s">
        <v>133</v>
      </c>
      <c r="S267" s="1" t="str">
        <f t="shared" si="294"/>
        <v>F4c*0,5</v>
      </c>
      <c r="T267" s="182">
        <f t="shared" si="295"/>
        <v>0.2</v>
      </c>
      <c r="U267" s="169" t="s">
        <v>133</v>
      </c>
      <c r="V267" s="1" t="str">
        <f t="shared" si="320"/>
        <v>FB*0,5</v>
      </c>
      <c r="W267" s="182">
        <f t="shared" si="321"/>
        <v>2.5000000000000001E-2</v>
      </c>
      <c r="AH267" s="1" t="s">
        <v>2111</v>
      </c>
      <c r="AI267" s="1" t="s">
        <v>1990</v>
      </c>
      <c r="AJ267" s="1">
        <v>0.5</v>
      </c>
    </row>
    <row r="268" spans="1:36" ht="15.75" customHeight="1" x14ac:dyDescent="0.3">
      <c r="A268" s="205" t="e">
        <f t="shared" ref="A268:C268" si="534">IF($B$1="Solo",IF(L267="","",L267),IF($B$1="Duet",IF(O267="","",O267),IF($B$1="Mixed",IF(R267="","",R267),IF(U267="","",U267))))</f>
        <v>#N/A</v>
      </c>
      <c r="B268" s="182" t="e">
        <f t="shared" si="534"/>
        <v>#N/A</v>
      </c>
      <c r="C268" s="182" t="e">
        <f t="shared" si="534"/>
        <v>#N/A</v>
      </c>
      <c r="D268" s="182" t="e">
        <f t="shared" ref="D268:E268" si="535">IF($D$1="Team",IF(AD267="","",AD267),"")</f>
        <v>#N/A</v>
      </c>
      <c r="E268" s="182" t="e">
        <f t="shared" si="535"/>
        <v>#N/A</v>
      </c>
      <c r="J268" s="170"/>
      <c r="K268" s="170"/>
      <c r="N268" s="182"/>
      <c r="O268" s="169" t="s">
        <v>133</v>
      </c>
      <c r="P268" s="1" t="str">
        <f t="shared" si="292"/>
        <v>F4d*0,5</v>
      </c>
      <c r="Q268" s="182">
        <f t="shared" si="293"/>
        <v>0.2</v>
      </c>
      <c r="R268" s="169" t="s">
        <v>133</v>
      </c>
      <c r="S268" s="1" t="str">
        <f t="shared" si="294"/>
        <v>F4d*0,5</v>
      </c>
      <c r="T268" s="182">
        <f t="shared" si="295"/>
        <v>0.2</v>
      </c>
      <c r="U268" s="169" t="s">
        <v>133</v>
      </c>
      <c r="V268" s="1" t="str">
        <f t="shared" si="320"/>
        <v>F1a*0,5</v>
      </c>
      <c r="W268" s="182">
        <f t="shared" si="321"/>
        <v>0.05</v>
      </c>
      <c r="AH268" s="1" t="s">
        <v>2112</v>
      </c>
      <c r="AI268" s="1" t="s">
        <v>1991</v>
      </c>
      <c r="AJ268" s="1">
        <v>0.5</v>
      </c>
    </row>
    <row r="269" spans="1:36" ht="15.75" customHeight="1" x14ac:dyDescent="0.3">
      <c r="A269" s="205" t="e">
        <f t="shared" ref="A269:C269" si="536">IF($B$1="Solo",IF(L268="","",L268),IF($B$1="Duet",IF(O268="","",O268),IF($B$1="Mixed",IF(R268="","",R268),IF(U268="","",U268))))</f>
        <v>#N/A</v>
      </c>
      <c r="B269" s="182" t="e">
        <f t="shared" si="536"/>
        <v>#N/A</v>
      </c>
      <c r="C269" s="182" t="e">
        <f t="shared" si="536"/>
        <v>#N/A</v>
      </c>
      <c r="D269" s="182" t="e">
        <f t="shared" ref="D269:E269" si="537">IF($D$1="Team",IF(AD268="","",AD268),"")</f>
        <v>#N/A</v>
      </c>
      <c r="E269" s="182" t="e">
        <f t="shared" si="537"/>
        <v>#N/A</v>
      </c>
      <c r="J269" s="170"/>
      <c r="K269" s="170"/>
      <c r="N269" s="182"/>
      <c r="O269" s="169" t="s">
        <v>133</v>
      </c>
      <c r="P269" s="1" t="str">
        <f t="shared" si="292"/>
        <v>F4e*0,5</v>
      </c>
      <c r="Q269" s="182">
        <f t="shared" si="293"/>
        <v>0.2</v>
      </c>
      <c r="R269" s="169" t="s">
        <v>133</v>
      </c>
      <c r="S269" s="1" t="str">
        <f t="shared" si="294"/>
        <v>F4e*0,5</v>
      </c>
      <c r="T269" s="182">
        <f t="shared" si="295"/>
        <v>0.2</v>
      </c>
      <c r="U269" s="169" t="s">
        <v>133</v>
      </c>
      <c r="V269" s="1" t="str">
        <f t="shared" si="320"/>
        <v>F1b*0,5</v>
      </c>
      <c r="W269" s="182">
        <f t="shared" si="321"/>
        <v>0.05</v>
      </c>
      <c r="AH269" s="1" t="s">
        <v>2113</v>
      </c>
      <c r="AI269" s="1" t="s">
        <v>1992</v>
      </c>
      <c r="AJ269" s="1">
        <v>0.5</v>
      </c>
    </row>
    <row r="270" spans="1:36" ht="15.75" customHeight="1" x14ac:dyDescent="0.3">
      <c r="A270" s="205" t="e">
        <f t="shared" ref="A270:C270" si="538">IF($B$1="Solo",IF(L269="","",L269),IF($B$1="Duet",IF(O269="","",O269),IF($B$1="Mixed",IF(R269="","",R269),IF(U269="","",U269))))</f>
        <v>#N/A</v>
      </c>
      <c r="B270" s="182" t="e">
        <f t="shared" si="538"/>
        <v>#N/A</v>
      </c>
      <c r="C270" s="182" t="e">
        <f t="shared" si="538"/>
        <v>#N/A</v>
      </c>
      <c r="D270" s="182" t="e">
        <f t="shared" ref="D270:E270" si="539">IF($D$1="Team",IF(AD269="","",AD269),"")</f>
        <v>#N/A</v>
      </c>
      <c r="E270" s="182" t="e">
        <f t="shared" si="539"/>
        <v>#N/A</v>
      </c>
      <c r="J270" s="170"/>
      <c r="K270" s="170"/>
      <c r="N270" s="182"/>
      <c r="O270" s="169" t="s">
        <v>133</v>
      </c>
      <c r="P270" s="1" t="str">
        <f t="shared" si="292"/>
        <v>F4f*0,5</v>
      </c>
      <c r="Q270" s="182">
        <f t="shared" si="293"/>
        <v>0.2</v>
      </c>
      <c r="R270" s="169" t="s">
        <v>133</v>
      </c>
      <c r="S270" s="1" t="str">
        <f t="shared" si="294"/>
        <v>F4f*0,5</v>
      </c>
      <c r="T270" s="182">
        <f t="shared" si="295"/>
        <v>0.2</v>
      </c>
      <c r="U270" s="169" t="s">
        <v>133</v>
      </c>
      <c r="V270" s="1" t="str">
        <f t="shared" si="320"/>
        <v>F1c*0,5</v>
      </c>
      <c r="W270" s="182">
        <f t="shared" si="321"/>
        <v>0.05</v>
      </c>
      <c r="AH270" s="1" t="s">
        <v>2114</v>
      </c>
      <c r="AI270" s="1" t="s">
        <v>1993</v>
      </c>
      <c r="AJ270" s="1">
        <v>0.5</v>
      </c>
    </row>
    <row r="271" spans="1:36" ht="15.75" customHeight="1" x14ac:dyDescent="0.3">
      <c r="A271" s="205" t="e">
        <f t="shared" ref="A271:C271" si="540">IF($B$1="Solo",IF(L270="","",L270),IF($B$1="Duet",IF(O270="","",O270),IF($B$1="Mixed",IF(R270="","",R270),IF(U270="","",U270))))</f>
        <v>#N/A</v>
      </c>
      <c r="B271" s="182" t="e">
        <f t="shared" si="540"/>
        <v>#N/A</v>
      </c>
      <c r="C271" s="182" t="e">
        <f t="shared" si="540"/>
        <v>#N/A</v>
      </c>
      <c r="D271" s="182" t="e">
        <f t="shared" ref="D271:E271" si="541">IF($D$1="Team",IF(AD270="","",AD270),"")</f>
        <v>#N/A</v>
      </c>
      <c r="E271" s="182" t="e">
        <f t="shared" si="541"/>
        <v>#N/A</v>
      </c>
      <c r="J271" s="170"/>
      <c r="K271" s="170"/>
      <c r="N271" s="182"/>
      <c r="O271" s="169" t="s">
        <v>133</v>
      </c>
      <c r="P271" s="1" t="str">
        <f t="shared" si="292"/>
        <v>F5a*0,5</v>
      </c>
      <c r="Q271" s="182">
        <f t="shared" si="293"/>
        <v>0.25</v>
      </c>
      <c r="R271" s="169" t="s">
        <v>133</v>
      </c>
      <c r="S271" s="1" t="str">
        <f t="shared" si="294"/>
        <v>F5a*0,5</v>
      </c>
      <c r="T271" s="182">
        <f t="shared" si="295"/>
        <v>0.25</v>
      </c>
      <c r="U271" s="169" t="s">
        <v>133</v>
      </c>
      <c r="V271" s="1" t="str">
        <f t="shared" si="320"/>
        <v>F2a*0,5</v>
      </c>
      <c r="W271" s="182">
        <f t="shared" si="321"/>
        <v>0.1</v>
      </c>
      <c r="AH271" s="1" t="s">
        <v>2115</v>
      </c>
      <c r="AI271" s="1" t="s">
        <v>1994</v>
      </c>
      <c r="AJ271" s="1">
        <v>0.5</v>
      </c>
    </row>
    <row r="272" spans="1:36" ht="15.75" customHeight="1" x14ac:dyDescent="0.3">
      <c r="A272" s="205" t="e">
        <f t="shared" ref="A272:C272" si="542">IF($B$1="Solo",IF(L271="","",L271),IF($B$1="Duet",IF(O271="","",O271),IF($B$1="Mixed",IF(R271="","",R271),IF(U271="","",U271))))</f>
        <v>#N/A</v>
      </c>
      <c r="B272" s="182" t="e">
        <f t="shared" si="542"/>
        <v>#N/A</v>
      </c>
      <c r="C272" s="182" t="e">
        <f t="shared" si="542"/>
        <v>#N/A</v>
      </c>
      <c r="D272" s="182" t="e">
        <f t="shared" ref="D272:E272" si="543">IF($D$1="Team",IF(AD271="","",AD271),"")</f>
        <v>#N/A</v>
      </c>
      <c r="E272" s="182" t="e">
        <f t="shared" si="543"/>
        <v>#N/A</v>
      </c>
      <c r="J272" s="170"/>
      <c r="K272" s="170"/>
      <c r="N272" s="182"/>
      <c r="O272" s="169" t="s">
        <v>133</v>
      </c>
      <c r="P272" s="1" t="str">
        <f t="shared" si="292"/>
        <v>F5b*0,5</v>
      </c>
      <c r="Q272" s="182">
        <f t="shared" si="293"/>
        <v>0.25</v>
      </c>
      <c r="R272" s="169" t="s">
        <v>133</v>
      </c>
      <c r="S272" s="1" t="str">
        <f t="shared" si="294"/>
        <v>F5b*0,5</v>
      </c>
      <c r="T272" s="182">
        <f t="shared" si="295"/>
        <v>0.25</v>
      </c>
      <c r="U272" s="169" t="s">
        <v>133</v>
      </c>
      <c r="V272" s="1" t="str">
        <f t="shared" si="320"/>
        <v>F2b*0,5</v>
      </c>
      <c r="W272" s="182">
        <f t="shared" si="321"/>
        <v>0.1</v>
      </c>
      <c r="AH272" s="1" t="s">
        <v>2116</v>
      </c>
      <c r="AI272" s="1" t="s">
        <v>1995</v>
      </c>
      <c r="AJ272" s="1">
        <v>0.5</v>
      </c>
    </row>
    <row r="273" spans="1:36" ht="15.75" customHeight="1" x14ac:dyDescent="0.3">
      <c r="A273" s="205" t="e">
        <f t="shared" ref="A273:C273" si="544">IF($B$1="Solo",IF(L272="","",L272),IF($B$1="Duet",IF(O272="","",O272),IF($B$1="Mixed",IF(R272="","",R272),IF(U272="","",U272))))</f>
        <v>#N/A</v>
      </c>
      <c r="B273" s="182" t="e">
        <f t="shared" si="544"/>
        <v>#N/A</v>
      </c>
      <c r="C273" s="182" t="e">
        <f t="shared" si="544"/>
        <v>#N/A</v>
      </c>
      <c r="D273" s="182" t="e">
        <f t="shared" ref="D273:E273" si="545">IF($D$1="Team",IF(AD272="","",AD272),"")</f>
        <v>#N/A</v>
      </c>
      <c r="E273" s="182" t="e">
        <f t="shared" si="545"/>
        <v>#N/A</v>
      </c>
      <c r="J273" s="170"/>
      <c r="K273" s="170"/>
      <c r="N273" s="182"/>
      <c r="O273" s="169" t="s">
        <v>133</v>
      </c>
      <c r="P273" s="1" t="str">
        <f t="shared" si="292"/>
        <v>F5c*0,5</v>
      </c>
      <c r="Q273" s="182">
        <f t="shared" si="293"/>
        <v>0.25</v>
      </c>
      <c r="R273" s="169" t="s">
        <v>133</v>
      </c>
      <c r="S273" s="1" t="str">
        <f t="shared" si="294"/>
        <v>F5c*0,5</v>
      </c>
      <c r="T273" s="182">
        <f t="shared" si="295"/>
        <v>0.25</v>
      </c>
      <c r="U273" s="169" t="s">
        <v>133</v>
      </c>
      <c r="V273" s="1" t="str">
        <f t="shared" si="320"/>
        <v>F2c*0,5</v>
      </c>
      <c r="W273" s="182">
        <f t="shared" si="321"/>
        <v>0.1</v>
      </c>
      <c r="AH273" s="1" t="s">
        <v>2117</v>
      </c>
      <c r="AI273" s="1" t="s">
        <v>1996</v>
      </c>
      <c r="AJ273" s="1">
        <v>0.5</v>
      </c>
    </row>
    <row r="274" spans="1:36" ht="15.75" customHeight="1" x14ac:dyDescent="0.3">
      <c r="A274" s="205" t="e">
        <f t="shared" ref="A274:C274" si="546">IF($B$1="Solo",IF(L273="","",L273),IF($B$1="Duet",IF(O273="","",O273),IF($B$1="Mixed",IF(R273="","",R273),IF(U273="","",U273))))</f>
        <v>#N/A</v>
      </c>
      <c r="B274" s="182" t="e">
        <f t="shared" si="546"/>
        <v>#N/A</v>
      </c>
      <c r="C274" s="182" t="e">
        <f t="shared" si="546"/>
        <v>#N/A</v>
      </c>
      <c r="D274" s="182" t="e">
        <f t="shared" ref="D274:E274" si="547">IF($D$1="Team",IF(AD273="","",AD273),"")</f>
        <v>#N/A</v>
      </c>
      <c r="E274" s="182" t="e">
        <f t="shared" si="547"/>
        <v>#N/A</v>
      </c>
      <c r="J274" s="170"/>
      <c r="K274" s="170"/>
      <c r="N274" s="182"/>
      <c r="O274" s="169" t="s">
        <v>133</v>
      </c>
      <c r="P274" s="1" t="str">
        <f t="shared" si="292"/>
        <v>F6a*0,5</v>
      </c>
      <c r="Q274" s="182">
        <f t="shared" si="293"/>
        <v>0.32500000000000001</v>
      </c>
      <c r="R274" s="169" t="s">
        <v>133</v>
      </c>
      <c r="S274" s="1" t="str">
        <f t="shared" si="294"/>
        <v>F6a*0,5</v>
      </c>
      <c r="T274" s="182">
        <f t="shared" si="295"/>
        <v>0.32500000000000001</v>
      </c>
      <c r="U274" s="169" t="s">
        <v>133</v>
      </c>
      <c r="V274" s="1" t="str">
        <f t="shared" si="320"/>
        <v>F3a*0,5</v>
      </c>
      <c r="W274" s="182">
        <f t="shared" si="321"/>
        <v>0.15</v>
      </c>
      <c r="AH274" s="1" t="s">
        <v>2118</v>
      </c>
      <c r="AI274" s="1" t="s">
        <v>1997</v>
      </c>
      <c r="AJ274" s="1">
        <v>0.5</v>
      </c>
    </row>
    <row r="275" spans="1:36" ht="15.75" customHeight="1" x14ac:dyDescent="0.3">
      <c r="A275" s="205" t="e">
        <f t="shared" ref="A275:C275" si="548">IF($B$1="Solo",IF(L274="","",L274),IF($B$1="Duet",IF(O274="","",O274),IF($B$1="Mixed",IF(R274="","",R274),IF(U274="","",U274))))</f>
        <v>#N/A</v>
      </c>
      <c r="B275" s="182" t="e">
        <f t="shared" si="548"/>
        <v>#N/A</v>
      </c>
      <c r="C275" s="182" t="e">
        <f t="shared" si="548"/>
        <v>#N/A</v>
      </c>
      <c r="D275" s="182" t="e">
        <f t="shared" ref="D275:E275" si="549">IF($D$1="Team",IF(AD274="","",AD274),"")</f>
        <v>#N/A</v>
      </c>
      <c r="E275" s="182" t="e">
        <f t="shared" si="549"/>
        <v>#N/A</v>
      </c>
      <c r="J275" s="170"/>
      <c r="K275" s="170"/>
      <c r="N275" s="182"/>
      <c r="O275" s="169" t="s">
        <v>133</v>
      </c>
      <c r="P275" s="1" t="str">
        <f t="shared" si="292"/>
        <v>F6b*0,5</v>
      </c>
      <c r="Q275" s="182">
        <f t="shared" si="293"/>
        <v>0.32500000000000001</v>
      </c>
      <c r="R275" s="169" t="s">
        <v>133</v>
      </c>
      <c r="S275" s="1" t="str">
        <f t="shared" si="294"/>
        <v>F6b*0,5</v>
      </c>
      <c r="T275" s="182">
        <f t="shared" si="295"/>
        <v>0.32500000000000001</v>
      </c>
      <c r="U275" s="169" t="s">
        <v>133</v>
      </c>
      <c r="V275" s="1" t="str">
        <f t="shared" si="320"/>
        <v>F3b*0,5</v>
      </c>
      <c r="W275" s="182">
        <f t="shared" si="321"/>
        <v>0.15</v>
      </c>
      <c r="AH275" s="1" t="s">
        <v>2119</v>
      </c>
      <c r="AI275" s="1" t="s">
        <v>1998</v>
      </c>
      <c r="AJ275" s="1">
        <v>0.5</v>
      </c>
    </row>
    <row r="276" spans="1:36" ht="15.75" customHeight="1" x14ac:dyDescent="0.3">
      <c r="A276" s="205" t="e">
        <f t="shared" ref="A276:C276" si="550">IF($B$1="Solo",IF(L275="","",L275),IF($B$1="Duet",IF(O275="","",O275),IF($B$1="Mixed",IF(R275="","",R275),IF(U275="","",U275))))</f>
        <v>#N/A</v>
      </c>
      <c r="B276" s="182" t="e">
        <f t="shared" si="550"/>
        <v>#N/A</v>
      </c>
      <c r="C276" s="182" t="e">
        <f t="shared" si="550"/>
        <v>#N/A</v>
      </c>
      <c r="D276" s="182" t="e">
        <f t="shared" ref="D276:E276" si="551">IF($D$1="Team",IF(AD275="","",AD275),"")</f>
        <v>#N/A</v>
      </c>
      <c r="E276" s="182" t="e">
        <f t="shared" si="551"/>
        <v>#N/A</v>
      </c>
      <c r="J276" s="170"/>
      <c r="K276" s="170"/>
      <c r="N276" s="182"/>
      <c r="O276" s="169" t="s">
        <v>133</v>
      </c>
      <c r="P276" s="1" t="str">
        <f t="shared" si="292"/>
        <v>F6c*0,5</v>
      </c>
      <c r="Q276" s="182">
        <f t="shared" si="293"/>
        <v>0.32500000000000001</v>
      </c>
      <c r="R276" s="169" t="s">
        <v>133</v>
      </c>
      <c r="S276" s="1" t="str">
        <f t="shared" si="294"/>
        <v>F6c*0,5</v>
      </c>
      <c r="T276" s="182">
        <f t="shared" si="295"/>
        <v>0.32500000000000001</v>
      </c>
      <c r="U276" s="169" t="s">
        <v>133</v>
      </c>
      <c r="V276" s="1" t="str">
        <f t="shared" si="320"/>
        <v>F3c*0,5</v>
      </c>
      <c r="W276" s="182">
        <f t="shared" si="321"/>
        <v>0.15</v>
      </c>
      <c r="AH276" s="1" t="s">
        <v>2120</v>
      </c>
      <c r="AI276" s="1" t="s">
        <v>1999</v>
      </c>
      <c r="AJ276" s="1">
        <v>0.5</v>
      </c>
    </row>
    <row r="277" spans="1:36" ht="15.75" customHeight="1" x14ac:dyDescent="0.3">
      <c r="A277" s="205" t="e">
        <f t="shared" ref="A277:C277" si="552">IF($B$1="Solo",IF(L276="","",L276),IF($B$1="Duet",IF(O276="","",O276),IF($B$1="Mixed",IF(R276="","",R276),IF(U276="","",U276))))</f>
        <v>#N/A</v>
      </c>
      <c r="B277" s="182" t="e">
        <f t="shared" si="552"/>
        <v>#N/A</v>
      </c>
      <c r="C277" s="182" t="e">
        <f t="shared" si="552"/>
        <v>#N/A</v>
      </c>
      <c r="D277" s="182" t="e">
        <f t="shared" ref="D277:E277" si="553">IF($D$1="Team",IF(AD276="","",AD276),"")</f>
        <v>#N/A</v>
      </c>
      <c r="E277" s="182" t="e">
        <f t="shared" si="553"/>
        <v>#N/A</v>
      </c>
      <c r="J277" s="170"/>
      <c r="K277" s="170"/>
      <c r="N277" s="182"/>
      <c r="O277" s="169" t="s">
        <v>133</v>
      </c>
      <c r="P277" s="1" t="str">
        <f t="shared" si="292"/>
        <v>F6d*0,5</v>
      </c>
      <c r="Q277" s="182">
        <f t="shared" si="293"/>
        <v>0.32500000000000001</v>
      </c>
      <c r="R277" s="169" t="s">
        <v>133</v>
      </c>
      <c r="S277" s="1" t="str">
        <f t="shared" si="294"/>
        <v>F6d*0,5</v>
      </c>
      <c r="T277" s="182">
        <f t="shared" si="295"/>
        <v>0.32500000000000001</v>
      </c>
      <c r="U277" s="169" t="s">
        <v>133</v>
      </c>
      <c r="V277" s="1" t="str">
        <f t="shared" si="320"/>
        <v>F4a*0,5</v>
      </c>
      <c r="W277" s="182">
        <f t="shared" si="321"/>
        <v>0.2</v>
      </c>
      <c r="AH277" s="1" t="s">
        <v>2121</v>
      </c>
      <c r="AI277" s="1" t="s">
        <v>2000</v>
      </c>
      <c r="AJ277" s="1">
        <v>0.5</v>
      </c>
    </row>
    <row r="278" spans="1:36" ht="15.75" customHeight="1" x14ac:dyDescent="0.3">
      <c r="A278" s="205" t="e">
        <f t="shared" ref="A278:C278" si="554">IF($B$1="Solo",IF(L277="","",L277),IF($B$1="Duet",IF(O277="","",O277),IF($B$1="Mixed",IF(R277="","",R277),IF(U277="","",U277))))</f>
        <v>#N/A</v>
      </c>
      <c r="B278" s="182" t="e">
        <f t="shared" si="554"/>
        <v>#N/A</v>
      </c>
      <c r="C278" s="182" t="e">
        <f t="shared" si="554"/>
        <v>#N/A</v>
      </c>
      <c r="D278" s="182" t="e">
        <f t="shared" ref="D278:E278" si="555">IF($D$1="Team",IF(AD277="","",AD277),"")</f>
        <v>#N/A</v>
      </c>
      <c r="E278" s="182" t="e">
        <f t="shared" si="555"/>
        <v>#N/A</v>
      </c>
      <c r="J278" s="170"/>
      <c r="K278" s="170"/>
      <c r="N278" s="182"/>
      <c r="O278" s="169" t="s">
        <v>133</v>
      </c>
      <c r="P278" s="1" t="str">
        <f t="shared" si="292"/>
        <v>F7*0,5</v>
      </c>
      <c r="Q278" s="182">
        <f t="shared" si="293"/>
        <v>0.375</v>
      </c>
      <c r="R278" s="169" t="s">
        <v>133</v>
      </c>
      <c r="S278" s="1" t="str">
        <f t="shared" si="294"/>
        <v>F7*0,5</v>
      </c>
      <c r="T278" s="182">
        <f t="shared" si="295"/>
        <v>0.375</v>
      </c>
      <c r="U278" s="169" t="s">
        <v>133</v>
      </c>
      <c r="V278" s="1" t="str">
        <f t="shared" si="320"/>
        <v>F4b*0,5</v>
      </c>
      <c r="W278" s="182">
        <f t="shared" si="321"/>
        <v>0.2</v>
      </c>
      <c r="AH278" s="1" t="s">
        <v>2122</v>
      </c>
      <c r="AI278" s="1" t="s">
        <v>2001</v>
      </c>
      <c r="AJ278" s="1">
        <v>0.5</v>
      </c>
    </row>
    <row r="279" spans="1:36" ht="15.75" customHeight="1" x14ac:dyDescent="0.3">
      <c r="A279" s="205" t="e">
        <f t="shared" ref="A279:C279" si="556">IF($B$1="Solo",IF(L278="","",L278),IF($B$1="Duet",IF(O278="","",O278),IF($B$1="Mixed",IF(R278="","",R278),IF(U278="","",U278))))</f>
        <v>#N/A</v>
      </c>
      <c r="B279" s="182" t="e">
        <f t="shared" si="556"/>
        <v>#N/A</v>
      </c>
      <c r="C279" s="182" t="e">
        <f t="shared" si="556"/>
        <v>#N/A</v>
      </c>
      <c r="D279" s="182" t="e">
        <f t="shared" ref="D279:E279" si="557">IF($D$1="Team",IF(AD278="","",AD278),"")</f>
        <v>#N/A</v>
      </c>
      <c r="E279" s="182" t="e">
        <f t="shared" si="557"/>
        <v>#N/A</v>
      </c>
      <c r="J279" s="170"/>
      <c r="K279" s="170"/>
      <c r="N279" s="182"/>
      <c r="O279" s="169" t="s">
        <v>133</v>
      </c>
      <c r="P279" s="1" t="str">
        <f t="shared" si="292"/>
        <v>F8a*0,5</v>
      </c>
      <c r="Q279" s="182">
        <f t="shared" si="293"/>
        <v>0.45</v>
      </c>
      <c r="R279" s="169" t="s">
        <v>133</v>
      </c>
      <c r="S279" s="1" t="str">
        <f t="shared" si="294"/>
        <v>F8a*0,5</v>
      </c>
      <c r="T279" s="182">
        <f t="shared" si="295"/>
        <v>0.45</v>
      </c>
      <c r="U279" s="169" t="s">
        <v>133</v>
      </c>
      <c r="V279" s="1" t="str">
        <f t="shared" si="320"/>
        <v>F4c*0,5</v>
      </c>
      <c r="W279" s="182">
        <f t="shared" si="321"/>
        <v>0.2</v>
      </c>
      <c r="AH279" s="1" t="s">
        <v>2123</v>
      </c>
      <c r="AI279" s="1" t="s">
        <v>2002</v>
      </c>
      <c r="AJ279" s="1">
        <v>0.5</v>
      </c>
    </row>
    <row r="280" spans="1:36" ht="15.75" customHeight="1" x14ac:dyDescent="0.3">
      <c r="A280" s="205" t="e">
        <f t="shared" ref="A280:C280" si="558">IF($B$1="Solo",IF(L279="","",L279),IF($B$1="Duet",IF(O279="","",O279),IF($B$1="Mixed",IF(R279="","",R279),IF(U279="","",U279))))</f>
        <v>#N/A</v>
      </c>
      <c r="B280" s="182" t="e">
        <f t="shared" si="558"/>
        <v>#N/A</v>
      </c>
      <c r="C280" s="182" t="e">
        <f t="shared" si="558"/>
        <v>#N/A</v>
      </c>
      <c r="D280" s="182" t="e">
        <f t="shared" ref="D280:E280" si="559">IF($D$1="Team",IF(AD279="","",AD279),"")</f>
        <v>#N/A</v>
      </c>
      <c r="E280" s="182" t="e">
        <f t="shared" si="559"/>
        <v>#N/A</v>
      </c>
      <c r="J280" s="170"/>
      <c r="K280" s="170"/>
      <c r="N280" s="182"/>
      <c r="O280" s="169" t="s">
        <v>133</v>
      </c>
      <c r="P280" s="1" t="str">
        <f t="shared" si="292"/>
        <v>F8b*0,5</v>
      </c>
      <c r="Q280" s="182">
        <f t="shared" si="293"/>
        <v>0.45</v>
      </c>
      <c r="R280" s="169" t="s">
        <v>133</v>
      </c>
      <c r="S280" s="1" t="str">
        <f t="shared" si="294"/>
        <v>F8b*0,5</v>
      </c>
      <c r="T280" s="182">
        <f t="shared" si="295"/>
        <v>0.45</v>
      </c>
      <c r="U280" s="169" t="s">
        <v>133</v>
      </c>
      <c r="V280" s="1" t="str">
        <f t="shared" si="320"/>
        <v>F4d*0,5</v>
      </c>
      <c r="W280" s="182">
        <f t="shared" si="321"/>
        <v>0.2</v>
      </c>
      <c r="AH280" s="1" t="s">
        <v>2124</v>
      </c>
      <c r="AI280" s="1" t="s">
        <v>2003</v>
      </c>
      <c r="AJ280" s="1">
        <v>0.5</v>
      </c>
    </row>
    <row r="281" spans="1:36" ht="15.75" customHeight="1" x14ac:dyDescent="0.3">
      <c r="A281" s="205" t="e">
        <f t="shared" ref="A281:C281" si="560">IF($B$1="Solo",IF(L280="","",L280),IF($B$1="Duet",IF(O280="","",O280),IF($B$1="Mixed",IF(R280="","",R280),IF(U280="","",U280))))</f>
        <v>#N/A</v>
      </c>
      <c r="B281" s="182" t="e">
        <f t="shared" si="560"/>
        <v>#N/A</v>
      </c>
      <c r="C281" s="182" t="e">
        <f t="shared" si="560"/>
        <v>#N/A</v>
      </c>
      <c r="D281" s="182" t="e">
        <f t="shared" ref="D281:E281" si="561">IF($D$1="Team",IF(AD280="","",AD280),"")</f>
        <v>#N/A</v>
      </c>
      <c r="E281" s="182" t="e">
        <f t="shared" si="561"/>
        <v>#N/A</v>
      </c>
      <c r="J281" s="170"/>
      <c r="K281" s="170"/>
      <c r="N281" s="182"/>
      <c r="O281" s="169" t="s">
        <v>133</v>
      </c>
      <c r="P281" s="1" t="str">
        <f t="shared" si="292"/>
        <v>F9*0,5</v>
      </c>
      <c r="Q281" s="182">
        <f t="shared" si="293"/>
        <v>0.5</v>
      </c>
      <c r="R281" s="169" t="s">
        <v>133</v>
      </c>
      <c r="S281" s="1" t="str">
        <f t="shared" si="294"/>
        <v>F9*0,5</v>
      </c>
      <c r="T281" s="182">
        <f t="shared" si="295"/>
        <v>0.5</v>
      </c>
      <c r="U281" s="169" t="s">
        <v>133</v>
      </c>
      <c r="V281" s="1" t="str">
        <f t="shared" si="320"/>
        <v>F4e*0,5</v>
      </c>
      <c r="W281" s="182">
        <f t="shared" si="321"/>
        <v>0.2</v>
      </c>
      <c r="AH281" s="1" t="s">
        <v>2125</v>
      </c>
      <c r="AI281" s="1" t="s">
        <v>2004</v>
      </c>
      <c r="AJ281" s="1">
        <v>0.5</v>
      </c>
    </row>
    <row r="282" spans="1:36" ht="15.75" customHeight="1" x14ac:dyDescent="0.3">
      <c r="A282" s="205" t="e">
        <f t="shared" ref="A282:C282" si="562">IF($B$1="Solo",IF(L281="","",L281),IF($B$1="Duet",IF(O281="","",O281),IF($B$1="Mixed",IF(R281="","",R281),IF(U281="","",U281))))</f>
        <v>#N/A</v>
      </c>
      <c r="B282" s="182" t="e">
        <f t="shared" si="562"/>
        <v>#N/A</v>
      </c>
      <c r="C282" s="182" t="e">
        <f t="shared" si="562"/>
        <v>#N/A</v>
      </c>
      <c r="D282" s="182" t="e">
        <f t="shared" ref="D282:E282" si="563">IF($D$1="Team",IF(AD281="","",AD281),"")</f>
        <v>#N/A</v>
      </c>
      <c r="E282" s="182" t="e">
        <f t="shared" si="563"/>
        <v>#N/A</v>
      </c>
      <c r="J282" s="170"/>
      <c r="K282" s="170"/>
      <c r="N282" s="182"/>
      <c r="O282" s="169" t="s">
        <v>133</v>
      </c>
      <c r="P282" s="1" t="str">
        <f t="shared" si="292"/>
        <v>F10*0,5</v>
      </c>
      <c r="Q282" s="182">
        <f t="shared" si="293"/>
        <v>0.65</v>
      </c>
      <c r="R282" s="169" t="s">
        <v>133</v>
      </c>
      <c r="S282" s="1" t="str">
        <f t="shared" si="294"/>
        <v>F10*0,5</v>
      </c>
      <c r="T282" s="182">
        <f t="shared" si="295"/>
        <v>0.65</v>
      </c>
      <c r="U282" s="169" t="s">
        <v>133</v>
      </c>
      <c r="V282" s="1" t="str">
        <f t="shared" si="320"/>
        <v>F4f*0,5</v>
      </c>
      <c r="W282" s="182">
        <f t="shared" si="321"/>
        <v>0.2</v>
      </c>
      <c r="AH282" s="1" t="s">
        <v>2126</v>
      </c>
      <c r="AI282" s="1" t="s">
        <v>2005</v>
      </c>
      <c r="AJ282" s="1">
        <v>0.5</v>
      </c>
    </row>
    <row r="283" spans="1:36" ht="15.75" customHeight="1" x14ac:dyDescent="0.3">
      <c r="A283" s="205" t="e">
        <f t="shared" ref="A283:C283" si="564">IF($B$1="Solo",IF(L282="","",L282),IF($B$1="Duet",IF(O282="","",O282),IF($B$1="Mixed",IF(R282="","",R282),IF(U282="","",U282))))</f>
        <v>#N/A</v>
      </c>
      <c r="B283" s="182" t="e">
        <f t="shared" si="564"/>
        <v>#N/A</v>
      </c>
      <c r="C283" s="182" t="e">
        <f t="shared" si="564"/>
        <v>#N/A</v>
      </c>
      <c r="D283" s="182" t="e">
        <f t="shared" ref="D283:E283" si="565">IF($D$1="Team",IF(AD282="","",AD282),"")</f>
        <v>#N/A</v>
      </c>
      <c r="E283" s="182" t="e">
        <f t="shared" si="565"/>
        <v>#N/A</v>
      </c>
      <c r="J283" s="170"/>
      <c r="K283" s="170"/>
      <c r="N283" s="182"/>
      <c r="O283" s="169"/>
      <c r="Q283" s="182"/>
      <c r="R283" s="169"/>
      <c r="T283" s="182"/>
      <c r="U283" s="169" t="s">
        <v>133</v>
      </c>
      <c r="V283" s="1" t="str">
        <f t="shared" si="320"/>
        <v>F5a*0,5</v>
      </c>
      <c r="W283" s="182">
        <f t="shared" si="321"/>
        <v>0.25</v>
      </c>
      <c r="AH283" s="1" t="s">
        <v>2127</v>
      </c>
      <c r="AI283" s="1" t="s">
        <v>2006</v>
      </c>
      <c r="AJ283" s="1">
        <v>0.5</v>
      </c>
    </row>
    <row r="284" spans="1:36" ht="15.75" customHeight="1" x14ac:dyDescent="0.3">
      <c r="A284" s="205" t="e">
        <f t="shared" ref="A284:C284" si="566">IF($B$1="Solo",IF(L283="","",L283),IF($B$1="Duet",IF(O283="","",O283),IF($B$1="Mixed",IF(R283="","",R283),IF(U283="","",U283))))</f>
        <v>#N/A</v>
      </c>
      <c r="B284" s="182" t="e">
        <f t="shared" si="566"/>
        <v>#N/A</v>
      </c>
      <c r="C284" s="182" t="e">
        <f t="shared" si="566"/>
        <v>#N/A</v>
      </c>
      <c r="D284" s="182" t="e">
        <f t="shared" ref="D284:E284" si="567">IF($D$1="Team",IF(AD283="","",AD283),"")</f>
        <v>#N/A</v>
      </c>
      <c r="E284" s="182" t="e">
        <f t="shared" si="567"/>
        <v>#N/A</v>
      </c>
      <c r="J284" s="170"/>
      <c r="K284" s="170"/>
      <c r="N284" s="182"/>
      <c r="O284" s="169"/>
      <c r="Q284" s="182"/>
      <c r="R284" s="169"/>
      <c r="T284" s="182"/>
      <c r="U284" s="169" t="s">
        <v>133</v>
      </c>
      <c r="V284" s="1" t="str">
        <f t="shared" si="320"/>
        <v>F5b*0,5</v>
      </c>
      <c r="W284" s="182">
        <f t="shared" si="321"/>
        <v>0.25</v>
      </c>
      <c r="AH284" s="1" t="s">
        <v>2128</v>
      </c>
      <c r="AI284" s="1" t="s">
        <v>2007</v>
      </c>
      <c r="AJ284" s="1">
        <v>0.5</v>
      </c>
    </row>
    <row r="285" spans="1:36" ht="15.75" customHeight="1" x14ac:dyDescent="0.3">
      <c r="A285" s="205" t="e">
        <f t="shared" ref="A285:C285" si="568">IF($B$1="Solo",IF(L284="","",L284),IF($B$1="Duet",IF(O284="","",O284),IF($B$1="Mixed",IF(R284="","",R284),IF(U284="","",U284))))</f>
        <v>#N/A</v>
      </c>
      <c r="B285" s="182" t="e">
        <f t="shared" si="568"/>
        <v>#N/A</v>
      </c>
      <c r="C285" s="182" t="e">
        <f t="shared" si="568"/>
        <v>#N/A</v>
      </c>
      <c r="D285" s="182" t="e">
        <f t="shared" ref="D285:E285" si="569">IF($D$1="Team",IF(AD284="","",AD284),"")</f>
        <v>#N/A</v>
      </c>
      <c r="E285" s="182" t="e">
        <f t="shared" si="569"/>
        <v>#N/A</v>
      </c>
      <c r="J285" s="170"/>
      <c r="K285" s="170"/>
      <c r="N285" s="182"/>
      <c r="O285" s="169"/>
      <c r="Q285" s="182"/>
      <c r="R285" s="169"/>
      <c r="T285" s="182"/>
      <c r="U285" s="169" t="s">
        <v>133</v>
      </c>
      <c r="V285" s="1" t="str">
        <f t="shared" si="320"/>
        <v>F5c*0,5</v>
      </c>
      <c r="W285" s="182">
        <f t="shared" si="321"/>
        <v>0.25</v>
      </c>
      <c r="AH285" s="1" t="s">
        <v>2129</v>
      </c>
      <c r="AI285" s="1" t="s">
        <v>2008</v>
      </c>
      <c r="AJ285" s="1">
        <v>0.5</v>
      </c>
    </row>
    <row r="286" spans="1:36" ht="15.75" customHeight="1" x14ac:dyDescent="0.3">
      <c r="A286" s="205" t="e">
        <f t="shared" ref="A286:C286" si="570">IF($B$1="Solo",IF(L285="","",L285),IF($B$1="Duet",IF(O285="","",O285),IF($B$1="Mixed",IF(R285="","",R285),IF(U285="","",U285))))</f>
        <v>#N/A</v>
      </c>
      <c r="B286" s="182" t="e">
        <f t="shared" si="570"/>
        <v>#N/A</v>
      </c>
      <c r="C286" s="182" t="e">
        <f t="shared" si="570"/>
        <v>#N/A</v>
      </c>
      <c r="D286" s="182" t="e">
        <f t="shared" ref="D286:E286" si="571">IF($D$1="Team",IF(AD285="","",AD285),"")</f>
        <v>#N/A</v>
      </c>
      <c r="E286" s="182" t="e">
        <f t="shared" si="571"/>
        <v>#N/A</v>
      </c>
      <c r="J286" s="170"/>
      <c r="K286" s="170"/>
      <c r="N286" s="182"/>
      <c r="O286" s="169"/>
      <c r="Q286" s="182"/>
      <c r="R286" s="169"/>
      <c r="T286" s="182"/>
      <c r="U286" s="169" t="s">
        <v>133</v>
      </c>
      <c r="V286" s="1" t="str">
        <f t="shared" si="320"/>
        <v>F6a*0,5</v>
      </c>
      <c r="W286" s="182">
        <f t="shared" si="321"/>
        <v>0.32500000000000001</v>
      </c>
      <c r="AH286" s="1" t="s">
        <v>2130</v>
      </c>
      <c r="AI286" s="1" t="s">
        <v>2009</v>
      </c>
      <c r="AJ286" s="1">
        <v>0.5</v>
      </c>
    </row>
    <row r="287" spans="1:36" ht="15.75" customHeight="1" x14ac:dyDescent="0.3">
      <c r="A287" s="205" t="e">
        <f t="shared" ref="A287:C287" si="572">IF($B$1="Solo",IF(L286="","",L286),IF($B$1="Duet",IF(O286="","",O286),IF($B$1="Mixed",IF(R286="","",R286),IF(U286="","",U286))))</f>
        <v>#N/A</v>
      </c>
      <c r="B287" s="182" t="e">
        <f t="shared" si="572"/>
        <v>#N/A</v>
      </c>
      <c r="C287" s="182" t="e">
        <f t="shared" si="572"/>
        <v>#N/A</v>
      </c>
      <c r="D287" s="182" t="e">
        <f t="shared" ref="D287:E287" si="573">IF($D$1="Team",IF(AD286="","",AD286),"")</f>
        <v>#N/A</v>
      </c>
      <c r="E287" s="182" t="e">
        <f t="shared" si="573"/>
        <v>#N/A</v>
      </c>
      <c r="J287" s="170"/>
      <c r="K287" s="170"/>
      <c r="N287" s="182"/>
      <c r="O287" s="169"/>
      <c r="Q287" s="182"/>
      <c r="R287" s="169"/>
      <c r="T287" s="182"/>
      <c r="U287" s="169" t="s">
        <v>133</v>
      </c>
      <c r="V287" s="1" t="str">
        <f t="shared" si="320"/>
        <v>F6b*0,5</v>
      </c>
      <c r="W287" s="182">
        <f t="shared" si="321"/>
        <v>0.32500000000000001</v>
      </c>
      <c r="AH287" s="1" t="s">
        <v>2131</v>
      </c>
      <c r="AI287" s="1" t="s">
        <v>2010</v>
      </c>
      <c r="AJ287" s="1">
        <v>0.5</v>
      </c>
    </row>
    <row r="288" spans="1:36" ht="15.75" customHeight="1" x14ac:dyDescent="0.3">
      <c r="A288" s="205" t="e">
        <f t="shared" ref="A288:C288" si="574">IF($B$1="Solo",IF(L287="","",L287),IF($B$1="Duet",IF(O287="","",O287),IF($B$1="Mixed",IF(R287="","",R287),IF(U287="","",U287))))</f>
        <v>#N/A</v>
      </c>
      <c r="B288" s="182" t="e">
        <f t="shared" si="574"/>
        <v>#N/A</v>
      </c>
      <c r="C288" s="182" t="e">
        <f t="shared" si="574"/>
        <v>#N/A</v>
      </c>
      <c r="D288" s="182" t="e">
        <f t="shared" ref="D288:E288" si="575">IF($D$1="Team",IF(AD287="","",AD287),"")</f>
        <v>#N/A</v>
      </c>
      <c r="E288" s="182" t="e">
        <f t="shared" si="575"/>
        <v>#N/A</v>
      </c>
      <c r="J288" s="170"/>
      <c r="K288" s="170"/>
      <c r="N288" s="182"/>
      <c r="O288" s="169"/>
      <c r="Q288" s="182"/>
      <c r="R288" s="169"/>
      <c r="T288" s="182"/>
      <c r="U288" s="169" t="s">
        <v>133</v>
      </c>
      <c r="V288" s="1" t="str">
        <f t="shared" si="320"/>
        <v>F6c*0,5</v>
      </c>
      <c r="W288" s="182">
        <f t="shared" si="321"/>
        <v>0.32500000000000001</v>
      </c>
      <c r="AH288" s="1" t="s">
        <v>2132</v>
      </c>
      <c r="AI288" s="1" t="s">
        <v>2011</v>
      </c>
      <c r="AJ288" s="1">
        <v>0.5</v>
      </c>
    </row>
    <row r="289" spans="1:36" ht="15.75" customHeight="1" x14ac:dyDescent="0.3">
      <c r="A289" s="205" t="e">
        <f t="shared" ref="A289:C289" si="576">IF($B$1="Solo",IF(L288="","",L288),IF($B$1="Duet",IF(O288="","",O288),IF($B$1="Mixed",IF(R288="","",R288),IF(U288="","",U288))))</f>
        <v>#N/A</v>
      </c>
      <c r="B289" s="182" t="e">
        <f t="shared" si="576"/>
        <v>#N/A</v>
      </c>
      <c r="C289" s="182" t="e">
        <f t="shared" si="576"/>
        <v>#N/A</v>
      </c>
      <c r="D289" s="182" t="e">
        <f t="shared" ref="D289:E289" si="577">IF($D$1="Team",IF(AD288="","",AD288),"")</f>
        <v>#N/A</v>
      </c>
      <c r="E289" s="182" t="e">
        <f t="shared" si="577"/>
        <v>#N/A</v>
      </c>
      <c r="J289" s="170"/>
      <c r="K289" s="170"/>
      <c r="N289" s="182"/>
      <c r="O289" s="169"/>
      <c r="Q289" s="182"/>
      <c r="R289" s="169"/>
      <c r="T289" s="182"/>
      <c r="U289" s="169" t="s">
        <v>133</v>
      </c>
      <c r="V289" s="1" t="str">
        <f t="shared" si="320"/>
        <v>F6d*0,5</v>
      </c>
      <c r="W289" s="182">
        <f t="shared" si="321"/>
        <v>0.32500000000000001</v>
      </c>
      <c r="AH289" s="1" t="s">
        <v>2133</v>
      </c>
      <c r="AI289" s="1" t="s">
        <v>2012</v>
      </c>
      <c r="AJ289" s="1">
        <v>0.5</v>
      </c>
    </row>
    <row r="290" spans="1:36" ht="15.75" customHeight="1" x14ac:dyDescent="0.3">
      <c r="A290" s="205" t="e">
        <f t="shared" ref="A290:C290" si="578">IF($B$1="Solo",IF(L289="","",L289),IF($B$1="Duet",IF(O289="","",O289),IF($B$1="Mixed",IF(R289="","",R289),IF(U289="","",U289))))</f>
        <v>#N/A</v>
      </c>
      <c r="B290" s="182" t="e">
        <f t="shared" si="578"/>
        <v>#N/A</v>
      </c>
      <c r="C290" s="182" t="e">
        <f t="shared" si="578"/>
        <v>#N/A</v>
      </c>
      <c r="D290" s="182" t="e">
        <f t="shared" ref="D290:E290" si="579">IF($D$1="Team",IF(AD289="","",AD289),"")</f>
        <v>#N/A</v>
      </c>
      <c r="E290" s="182" t="e">
        <f t="shared" si="579"/>
        <v>#N/A</v>
      </c>
      <c r="J290" s="170"/>
      <c r="K290" s="170"/>
      <c r="N290" s="182"/>
      <c r="O290" s="169"/>
      <c r="Q290" s="182"/>
      <c r="R290" s="169"/>
      <c r="T290" s="182"/>
      <c r="U290" s="169" t="s">
        <v>133</v>
      </c>
      <c r="V290" s="1" t="str">
        <f t="shared" si="320"/>
        <v>F7*0,5</v>
      </c>
      <c r="W290" s="182">
        <f t="shared" si="321"/>
        <v>0.375</v>
      </c>
      <c r="AH290" s="1" t="s">
        <v>2134</v>
      </c>
      <c r="AI290" s="1" t="s">
        <v>2013</v>
      </c>
      <c r="AJ290" s="1">
        <v>0.5</v>
      </c>
    </row>
    <row r="291" spans="1:36" ht="15.75" customHeight="1" x14ac:dyDescent="0.3">
      <c r="A291" s="205" t="e">
        <f t="shared" ref="A291:C291" si="580">IF($B$1="Solo",IF(L290="","",L290),IF($B$1="Duet",IF(O290="","",O290),IF($B$1="Mixed",IF(R290="","",R290),IF(U290="","",U290))))</f>
        <v>#N/A</v>
      </c>
      <c r="B291" s="182" t="e">
        <f t="shared" si="580"/>
        <v>#N/A</v>
      </c>
      <c r="C291" s="182" t="e">
        <f t="shared" si="580"/>
        <v>#N/A</v>
      </c>
      <c r="D291" s="182" t="e">
        <f t="shared" ref="D291:E291" si="581">IF($D$1="Team",IF(AD290="","",AD290),"")</f>
        <v>#N/A</v>
      </c>
      <c r="E291" s="182" t="e">
        <f t="shared" si="581"/>
        <v>#N/A</v>
      </c>
      <c r="J291" s="170"/>
      <c r="K291" s="170"/>
      <c r="N291" s="182"/>
      <c r="O291" s="169"/>
      <c r="Q291" s="182"/>
      <c r="R291" s="169"/>
      <c r="T291" s="182"/>
      <c r="U291" s="169" t="s">
        <v>133</v>
      </c>
      <c r="V291" s="1" t="str">
        <f t="shared" si="320"/>
        <v>F8a*0,5</v>
      </c>
      <c r="W291" s="182">
        <f t="shared" si="321"/>
        <v>0.45</v>
      </c>
      <c r="AH291" s="1" t="s">
        <v>2135</v>
      </c>
      <c r="AI291" s="1" t="s">
        <v>2014</v>
      </c>
      <c r="AJ291" s="1">
        <v>0.5</v>
      </c>
    </row>
    <row r="292" spans="1:36" ht="15.75" customHeight="1" x14ac:dyDescent="0.3">
      <c r="A292" s="205" t="e">
        <f t="shared" ref="A292:C292" si="582">IF($B$1="Solo",IF(L291="","",L291),IF($B$1="Duet",IF(O291="","",O291),IF($B$1="Mixed",IF(R291="","",R291),IF(U291="","",U291))))</f>
        <v>#N/A</v>
      </c>
      <c r="B292" s="182" t="e">
        <f t="shared" si="582"/>
        <v>#N/A</v>
      </c>
      <c r="C292" s="182" t="e">
        <f t="shared" si="582"/>
        <v>#N/A</v>
      </c>
      <c r="D292" s="182" t="e">
        <f t="shared" ref="D292:E292" si="583">IF($D$1="Team",IF(AD291="","",AD291),"")</f>
        <v>#N/A</v>
      </c>
      <c r="E292" s="182" t="e">
        <f t="shared" si="583"/>
        <v>#N/A</v>
      </c>
      <c r="J292" s="170"/>
      <c r="K292" s="170"/>
      <c r="N292" s="182"/>
      <c r="O292" s="169"/>
      <c r="Q292" s="182"/>
      <c r="R292" s="169"/>
      <c r="T292" s="182"/>
      <c r="U292" s="169" t="s">
        <v>133</v>
      </c>
      <c r="V292" s="1" t="str">
        <f t="shared" si="320"/>
        <v>F8b*0,5</v>
      </c>
      <c r="W292" s="182">
        <f t="shared" si="321"/>
        <v>0.45</v>
      </c>
      <c r="AH292" s="1" t="s">
        <v>2136</v>
      </c>
      <c r="AI292" s="1" t="s">
        <v>2015</v>
      </c>
      <c r="AJ292" s="1">
        <v>0.5</v>
      </c>
    </row>
    <row r="293" spans="1:36" ht="15.75" customHeight="1" x14ac:dyDescent="0.3">
      <c r="A293" s="205" t="e">
        <f t="shared" ref="A293:C293" si="584">IF($B$1="Solo",IF(L292="","",L292),IF($B$1="Duet",IF(O292="","",O292),IF($B$1="Mixed",IF(R292="","",R292),IF(U292="","",U292))))</f>
        <v>#N/A</v>
      </c>
      <c r="B293" s="182" t="e">
        <f t="shared" si="584"/>
        <v>#N/A</v>
      </c>
      <c r="C293" s="182" t="e">
        <f t="shared" si="584"/>
        <v>#N/A</v>
      </c>
      <c r="D293" s="182" t="e">
        <f t="shared" ref="D293:E293" si="585">IF($D$1="Team",IF(AD292="","",AD292),"")</f>
        <v>#N/A</v>
      </c>
      <c r="E293" s="182" t="e">
        <f t="shared" si="585"/>
        <v>#N/A</v>
      </c>
      <c r="J293" s="170"/>
      <c r="K293" s="170"/>
      <c r="N293" s="182"/>
      <c r="O293" s="169"/>
      <c r="Q293" s="182"/>
      <c r="R293" s="169"/>
      <c r="T293" s="182"/>
      <c r="U293" s="169" t="s">
        <v>133</v>
      </c>
      <c r="V293" s="1" t="str">
        <f t="shared" si="320"/>
        <v>F9*0,5</v>
      </c>
      <c r="W293" s="182">
        <f t="shared" si="321"/>
        <v>0.5</v>
      </c>
      <c r="AH293" s="1" t="s">
        <v>2137</v>
      </c>
      <c r="AI293" s="1" t="s">
        <v>2016</v>
      </c>
      <c r="AJ293" s="1">
        <v>0.5</v>
      </c>
    </row>
    <row r="294" spans="1:36" ht="15.75" customHeight="1" x14ac:dyDescent="0.3">
      <c r="A294" s="205" t="e">
        <f t="shared" ref="A294:C294" si="586">IF($B$1="Solo",IF(L293="","",L293),IF($B$1="Duet",IF(O293="","",O293),IF($B$1="Mixed",IF(R293="","",R293),IF(U293="","",U293))))</f>
        <v>#N/A</v>
      </c>
      <c r="B294" s="182" t="e">
        <f t="shared" si="586"/>
        <v>#N/A</v>
      </c>
      <c r="C294" s="182" t="e">
        <f t="shared" si="586"/>
        <v>#N/A</v>
      </c>
      <c r="D294" s="182" t="e">
        <f t="shared" ref="D294:E294" si="587">IF($D$1="Team",IF(AD293="","",AD293),"")</f>
        <v>#N/A</v>
      </c>
      <c r="E294" s="182" t="e">
        <f t="shared" si="587"/>
        <v>#N/A</v>
      </c>
      <c r="J294" s="170"/>
      <c r="K294" s="170"/>
      <c r="N294" s="182"/>
      <c r="O294" s="169"/>
      <c r="Q294" s="182"/>
      <c r="R294" s="169"/>
      <c r="T294" s="182"/>
      <c r="U294" s="169" t="s">
        <v>133</v>
      </c>
      <c r="V294" s="1" t="str">
        <f t="shared" si="320"/>
        <v>F10*0,5</v>
      </c>
      <c r="W294" s="182">
        <f t="shared" si="321"/>
        <v>0.65</v>
      </c>
      <c r="AH294" s="1" t="s">
        <v>2138</v>
      </c>
      <c r="AI294" s="1" t="s">
        <v>2017</v>
      </c>
      <c r="AJ294" s="1">
        <v>0.5</v>
      </c>
    </row>
    <row r="295" spans="1:36" ht="15.75" customHeight="1" x14ac:dyDescent="0.3">
      <c r="A295" s="205" t="e">
        <f t="shared" ref="A295:C295" si="588">IF($B$1="Solo",IF(L294="","",L294),IF($B$1="Duet",IF(O294="","",O294),IF($B$1="Mixed",IF(R294="","",R294),IF(U294="","",U294))))</f>
        <v>#N/A</v>
      </c>
      <c r="B295" s="182" t="e">
        <f t="shared" si="588"/>
        <v>#N/A</v>
      </c>
      <c r="C295" s="182" t="e">
        <f t="shared" si="588"/>
        <v>#N/A</v>
      </c>
      <c r="D295" s="182" t="e">
        <f t="shared" ref="D295:E295" si="589">IF($D$1="Team",IF(AD294="","",AD294),"")</f>
        <v>#N/A</v>
      </c>
      <c r="E295" s="182" t="e">
        <f t="shared" si="589"/>
        <v>#N/A</v>
      </c>
      <c r="J295" s="170"/>
      <c r="K295" s="170"/>
      <c r="N295" s="182"/>
      <c r="O295" s="182"/>
      <c r="Q295" s="182"/>
      <c r="R295" s="182"/>
      <c r="T295" s="182"/>
      <c r="U295" s="169" t="s">
        <v>130</v>
      </c>
      <c r="V295" s="1" t="s">
        <v>2139</v>
      </c>
      <c r="W295" s="182">
        <v>0.09</v>
      </c>
      <c r="AH295" s="1" t="s">
        <v>2139</v>
      </c>
      <c r="AI295" s="1" t="s">
        <v>1822</v>
      </c>
      <c r="AJ295" s="1">
        <v>0.5</v>
      </c>
    </row>
    <row r="296" spans="1:36" ht="15.75" customHeight="1" x14ac:dyDescent="0.3">
      <c r="A296" s="205" t="e">
        <f t="shared" ref="A296:C296" si="590">IF($B$1="Solo",IF(L295="","",L295),IF($B$1="Duet",IF(O295="","",O295),IF($B$1="Mixed",IF(R295="","",R295),IF(U295="","",U295))))</f>
        <v>#N/A</v>
      </c>
      <c r="B296" s="182" t="e">
        <f t="shared" si="590"/>
        <v>#N/A</v>
      </c>
      <c r="C296" s="182" t="e">
        <f t="shared" si="590"/>
        <v>#N/A</v>
      </c>
      <c r="D296" s="182" t="e">
        <f t="shared" ref="D296:E296" si="591">IF($D$1="Team",IF(AD295="","",AD295),"")</f>
        <v>#N/A</v>
      </c>
      <c r="E296" s="182" t="e">
        <f t="shared" si="591"/>
        <v>#N/A</v>
      </c>
      <c r="J296" s="170"/>
      <c r="K296" s="170"/>
      <c r="N296" s="182"/>
      <c r="O296" s="182"/>
      <c r="Q296" s="182"/>
      <c r="R296" s="182"/>
      <c r="T296" s="182"/>
      <c r="U296" s="169" t="s">
        <v>130</v>
      </c>
      <c r="V296" s="1" t="s">
        <v>2140</v>
      </c>
      <c r="W296" s="182">
        <v>0.13500000000000001</v>
      </c>
      <c r="AH296" s="1" t="s">
        <v>2140</v>
      </c>
      <c r="AI296" s="1" t="s">
        <v>1374</v>
      </c>
      <c r="AJ296" s="1">
        <v>0.5</v>
      </c>
    </row>
    <row r="297" spans="1:36" ht="15.75" customHeight="1" x14ac:dyDescent="0.3">
      <c r="A297" s="205" t="e">
        <f t="shared" ref="A297:C297" si="592">IF($B$1="Solo",IF(L296="","",L296),IF($B$1="Duet",IF(O296="","",O296),IF($B$1="Mixed",IF(R296="","",R296),IF(U296="","",U296))))</f>
        <v>#N/A</v>
      </c>
      <c r="B297" s="182" t="e">
        <f t="shared" si="592"/>
        <v>#N/A</v>
      </c>
      <c r="C297" s="182" t="e">
        <f t="shared" si="592"/>
        <v>#N/A</v>
      </c>
      <c r="D297" s="182" t="e">
        <f t="shared" ref="D297:E297" si="593">IF($D$1="Team",IF(AD296="","",AD296),"")</f>
        <v>#N/A</v>
      </c>
      <c r="E297" s="182" t="e">
        <f t="shared" si="593"/>
        <v>#N/A</v>
      </c>
      <c r="J297" s="170"/>
      <c r="K297" s="170"/>
      <c r="N297" s="182"/>
      <c r="O297" s="182"/>
      <c r="Q297" s="182"/>
      <c r="R297" s="182"/>
      <c r="T297" s="182"/>
      <c r="U297" s="169" t="s">
        <v>130</v>
      </c>
      <c r="V297" s="1" t="s">
        <v>2141</v>
      </c>
      <c r="W297" s="182">
        <v>0.15</v>
      </c>
      <c r="AH297" s="1" t="s">
        <v>2141</v>
      </c>
      <c r="AI297" s="1" t="s">
        <v>1825</v>
      </c>
      <c r="AJ297" s="1">
        <v>0.5</v>
      </c>
    </row>
    <row r="298" spans="1:36" ht="15.75" customHeight="1" x14ac:dyDescent="0.3">
      <c r="A298" s="205" t="e">
        <f t="shared" ref="A298:C298" si="594">IF($B$1="Solo",IF(L297="","",L297),IF($B$1="Duet",IF(O297="","",O297),IF($B$1="Mixed",IF(R297="","",R297),IF(U297="","",U297))))</f>
        <v>#N/A</v>
      </c>
      <c r="B298" s="182" t="e">
        <f t="shared" si="594"/>
        <v>#N/A</v>
      </c>
      <c r="C298" s="182" t="e">
        <f t="shared" si="594"/>
        <v>#N/A</v>
      </c>
      <c r="D298" s="182" t="e">
        <f t="shared" ref="D298:E298" si="595">IF($D$1="Team",IF(AD297="","",AD297),"")</f>
        <v>#N/A</v>
      </c>
      <c r="E298" s="182" t="e">
        <f t="shared" si="595"/>
        <v>#N/A</v>
      </c>
      <c r="J298" s="170"/>
      <c r="K298" s="170"/>
      <c r="N298" s="182"/>
      <c r="O298" s="182"/>
      <c r="Q298" s="182"/>
      <c r="R298" s="182"/>
      <c r="T298" s="182"/>
      <c r="U298" s="169" t="s">
        <v>130</v>
      </c>
      <c r="V298" s="1" t="s">
        <v>2142</v>
      </c>
      <c r="W298" s="182">
        <v>0.15</v>
      </c>
      <c r="AH298" s="1" t="s">
        <v>2142</v>
      </c>
      <c r="AI298" s="1" t="s">
        <v>1827</v>
      </c>
      <c r="AJ298" s="1">
        <v>0.5</v>
      </c>
    </row>
    <row r="299" spans="1:36" ht="15.75" customHeight="1" x14ac:dyDescent="0.3">
      <c r="A299" s="205" t="e">
        <f t="shared" ref="A299:C299" si="596">IF($B$1="Solo",IF(L298="","",L298),IF($B$1="Duet",IF(O298="","",O298),IF($B$1="Mixed",IF(R298="","",R298),IF(U298="","",U298))))</f>
        <v>#N/A</v>
      </c>
      <c r="B299" s="182" t="e">
        <f t="shared" si="596"/>
        <v>#N/A</v>
      </c>
      <c r="C299" s="182" t="e">
        <f t="shared" si="596"/>
        <v>#N/A</v>
      </c>
      <c r="D299" s="182" t="e">
        <f t="shared" ref="D299:E299" si="597">IF($D$1="Team",IF(AD298="","",AD298),"")</f>
        <v>#N/A</v>
      </c>
      <c r="E299" s="182" t="e">
        <f t="shared" si="597"/>
        <v>#N/A</v>
      </c>
      <c r="J299" s="170"/>
      <c r="K299" s="170"/>
      <c r="N299" s="182"/>
      <c r="O299" s="182"/>
      <c r="Q299" s="182"/>
      <c r="R299" s="182"/>
      <c r="T299" s="182"/>
      <c r="U299" s="169" t="s">
        <v>130</v>
      </c>
      <c r="V299" s="1" t="s">
        <v>2143</v>
      </c>
      <c r="W299" s="182">
        <v>0.19500000000000001</v>
      </c>
      <c r="AH299" s="1" t="s">
        <v>2143</v>
      </c>
      <c r="AI299" s="1" t="s">
        <v>1829</v>
      </c>
      <c r="AJ299" s="1">
        <v>0.5</v>
      </c>
    </row>
    <row r="300" spans="1:36" ht="15.75" customHeight="1" x14ac:dyDescent="0.3">
      <c r="A300" s="205" t="e">
        <f t="shared" ref="A300:C300" si="598">IF($B$1="Solo",IF(L299="","",L299),IF($B$1="Duet",IF(O299="","",O299),IF($B$1="Mixed",IF(R299="","",R299),IF(U299="","",U299))))</f>
        <v>#N/A</v>
      </c>
      <c r="B300" s="182" t="e">
        <f t="shared" si="598"/>
        <v>#N/A</v>
      </c>
      <c r="C300" s="182" t="e">
        <f t="shared" si="598"/>
        <v>#N/A</v>
      </c>
      <c r="D300" s="182" t="e">
        <f t="shared" ref="D300:E300" si="599">IF($D$1="Team",IF(AD299="","",AD299),"")</f>
        <v>#N/A</v>
      </c>
      <c r="E300" s="182" t="e">
        <f t="shared" si="599"/>
        <v>#N/A</v>
      </c>
      <c r="J300" s="170"/>
      <c r="K300" s="170"/>
      <c r="N300" s="182"/>
      <c r="O300" s="182"/>
      <c r="Q300" s="182"/>
      <c r="R300" s="182"/>
      <c r="T300" s="182"/>
      <c r="U300" s="169" t="s">
        <v>130</v>
      </c>
      <c r="V300" s="1" t="s">
        <v>2144</v>
      </c>
      <c r="W300" s="182">
        <v>0.19500000000000001</v>
      </c>
      <c r="AH300" s="1" t="s">
        <v>2144</v>
      </c>
      <c r="AI300" s="1" t="s">
        <v>1831</v>
      </c>
      <c r="AJ300" s="1">
        <v>0.5</v>
      </c>
    </row>
    <row r="301" spans="1:36" ht="15.75" customHeight="1" x14ac:dyDescent="0.3">
      <c r="A301" s="205" t="e">
        <f t="shared" ref="A301:C301" si="600">IF($B$1="Solo",IF(L300="","",L300),IF($B$1="Duet",IF(O300="","",O300),IF($B$1="Mixed",IF(R300="","",R300),IF(U300="","",U300))))</f>
        <v>#N/A</v>
      </c>
      <c r="B301" s="182" t="e">
        <f t="shared" si="600"/>
        <v>#N/A</v>
      </c>
      <c r="C301" s="182" t="e">
        <f t="shared" si="600"/>
        <v>#N/A</v>
      </c>
      <c r="D301" s="182" t="e">
        <f t="shared" ref="D301:E301" si="601">IF($D$1="Team",IF(AD300="","",AD300),"")</f>
        <v>#N/A</v>
      </c>
      <c r="E301" s="182" t="e">
        <f t="shared" si="601"/>
        <v>#N/A</v>
      </c>
      <c r="J301" s="170"/>
      <c r="K301" s="170"/>
      <c r="N301" s="182"/>
      <c r="O301" s="182"/>
      <c r="Q301" s="182"/>
      <c r="R301" s="182"/>
      <c r="T301" s="182"/>
      <c r="U301" s="169" t="s">
        <v>130</v>
      </c>
      <c r="V301" s="1" t="s">
        <v>2145</v>
      </c>
      <c r="W301" s="182">
        <v>0.19500000000000001</v>
      </c>
      <c r="AH301" s="1" t="s">
        <v>2145</v>
      </c>
      <c r="AI301" s="1" t="s">
        <v>1833</v>
      </c>
      <c r="AJ301" s="1">
        <v>0.5</v>
      </c>
    </row>
    <row r="302" spans="1:36" ht="15.75" customHeight="1" x14ac:dyDescent="0.3">
      <c r="A302" s="205" t="e">
        <f t="shared" ref="A302:C302" si="602">IF($B$1="Solo",IF(L301="","",L301),IF($B$1="Duet",IF(O301="","",O301),IF($B$1="Mixed",IF(R301="","",R301),IF(U301="","",U301))))</f>
        <v>#N/A</v>
      </c>
      <c r="B302" s="182" t="e">
        <f t="shared" si="602"/>
        <v>#N/A</v>
      </c>
      <c r="C302" s="182" t="e">
        <f t="shared" si="602"/>
        <v>#N/A</v>
      </c>
      <c r="D302" s="182" t="e">
        <f t="shared" ref="D302:E302" si="603">IF($D$1="Team",IF(AD301="","",AD301),"")</f>
        <v>#N/A</v>
      </c>
      <c r="E302" s="182" t="e">
        <f t="shared" si="603"/>
        <v>#N/A</v>
      </c>
      <c r="J302" s="170"/>
      <c r="K302" s="170"/>
      <c r="N302" s="182"/>
      <c r="O302" s="182"/>
      <c r="Q302" s="182"/>
      <c r="R302" s="182"/>
      <c r="T302" s="182"/>
      <c r="U302" s="169" t="s">
        <v>130</v>
      </c>
      <c r="V302" s="1" t="s">
        <v>2146</v>
      </c>
      <c r="W302" s="182">
        <v>0.19500000000000001</v>
      </c>
      <c r="AH302" s="1" t="s">
        <v>2146</v>
      </c>
      <c r="AI302" s="1" t="s">
        <v>1835</v>
      </c>
      <c r="AJ302" s="1">
        <v>0.5</v>
      </c>
    </row>
    <row r="303" spans="1:36" ht="15.75" customHeight="1" x14ac:dyDescent="0.3">
      <c r="A303" s="205" t="e">
        <f t="shared" ref="A303:C303" si="604">IF($B$1="Solo",IF(L302="","",L302),IF($B$1="Duet",IF(O302="","",O302),IF($B$1="Mixed",IF(R302="","",R302),IF(U302="","",U302))))</f>
        <v>#N/A</v>
      </c>
      <c r="B303" s="182" t="e">
        <f t="shared" si="604"/>
        <v>#N/A</v>
      </c>
      <c r="C303" s="182" t="e">
        <f t="shared" si="604"/>
        <v>#N/A</v>
      </c>
      <c r="D303" s="182" t="e">
        <f t="shared" ref="D303:E303" si="605">IF($D$1="Team",IF(AD302="","",AD302),"")</f>
        <v>#N/A</v>
      </c>
      <c r="E303" s="182" t="e">
        <f t="shared" si="605"/>
        <v>#N/A</v>
      </c>
      <c r="J303" s="170"/>
      <c r="K303" s="170"/>
      <c r="N303" s="182"/>
      <c r="O303" s="182"/>
      <c r="Q303" s="182"/>
      <c r="R303" s="182"/>
      <c r="T303" s="182"/>
      <c r="U303" s="169" t="s">
        <v>130</v>
      </c>
      <c r="V303" s="1" t="s">
        <v>2147</v>
      </c>
      <c r="W303" s="182">
        <v>0.24</v>
      </c>
      <c r="AH303" s="1" t="s">
        <v>2147</v>
      </c>
      <c r="AI303" s="1" t="s">
        <v>1837</v>
      </c>
      <c r="AJ303" s="1">
        <v>0.5</v>
      </c>
    </row>
    <row r="304" spans="1:36" ht="15.75" customHeight="1" x14ac:dyDescent="0.3">
      <c r="A304" s="205" t="e">
        <f t="shared" ref="A304:C304" si="606">IF($B$1="Solo",IF(L303="","",L303),IF($B$1="Duet",IF(O303="","",O303),IF($B$1="Mixed",IF(R303="","",R303),IF(U303="","",U303))))</f>
        <v>#N/A</v>
      </c>
      <c r="B304" s="182" t="e">
        <f t="shared" si="606"/>
        <v>#N/A</v>
      </c>
      <c r="C304" s="182" t="e">
        <f t="shared" si="606"/>
        <v>#N/A</v>
      </c>
      <c r="D304" s="182" t="e">
        <f t="shared" ref="D304:E304" si="607">IF($D$1="Team",IF(AD303="","",AD303),"")</f>
        <v>#N/A</v>
      </c>
      <c r="E304" s="182" t="e">
        <f t="shared" si="607"/>
        <v>#N/A</v>
      </c>
      <c r="J304" s="170"/>
      <c r="K304" s="170"/>
      <c r="N304" s="182"/>
      <c r="O304" s="182"/>
      <c r="Q304" s="182"/>
      <c r="R304" s="182"/>
      <c r="T304" s="182"/>
      <c r="U304" s="169" t="s">
        <v>130</v>
      </c>
      <c r="V304" s="1" t="s">
        <v>2148</v>
      </c>
      <c r="W304" s="182">
        <v>0.24</v>
      </c>
      <c r="AH304" s="1" t="s">
        <v>2148</v>
      </c>
      <c r="AI304" s="1" t="s">
        <v>1839</v>
      </c>
      <c r="AJ304" s="1">
        <v>0.5</v>
      </c>
    </row>
    <row r="305" spans="1:36" ht="15.75" customHeight="1" x14ac:dyDescent="0.3">
      <c r="A305" s="205" t="e">
        <f t="shared" ref="A305:C305" si="608">IF($B$1="Solo",IF(L304="","",L304),IF($B$1="Duet",IF(O304="","",O304),IF($B$1="Mixed",IF(R304="","",R304),IF(U304="","",U304))))</f>
        <v>#N/A</v>
      </c>
      <c r="B305" s="182" t="e">
        <f t="shared" si="608"/>
        <v>#N/A</v>
      </c>
      <c r="C305" s="182" t="e">
        <f t="shared" si="608"/>
        <v>#N/A</v>
      </c>
      <c r="D305" s="182" t="e">
        <f t="shared" ref="D305:E305" si="609">IF($D$1="Team",IF(AD304="","",AD304),"")</f>
        <v>#N/A</v>
      </c>
      <c r="E305" s="182" t="e">
        <f t="shared" si="609"/>
        <v>#N/A</v>
      </c>
      <c r="J305" s="170"/>
      <c r="K305" s="170"/>
      <c r="N305" s="182"/>
      <c r="O305" s="182"/>
      <c r="Q305" s="182"/>
      <c r="R305" s="182"/>
      <c r="T305" s="182"/>
      <c r="U305" s="169" t="s">
        <v>130</v>
      </c>
      <c r="V305" s="1" t="s">
        <v>2149</v>
      </c>
      <c r="W305" s="182">
        <v>0.24</v>
      </c>
      <c r="AH305" s="1" t="s">
        <v>2149</v>
      </c>
      <c r="AI305" s="1" t="s">
        <v>1841</v>
      </c>
      <c r="AJ305" s="1">
        <v>0.5</v>
      </c>
    </row>
    <row r="306" spans="1:36" ht="15.75" customHeight="1" x14ac:dyDescent="0.3">
      <c r="A306" s="205" t="e">
        <f t="shared" ref="A306:C306" si="610">IF($B$1="Solo",IF(L305="","",L305),IF($B$1="Duet",IF(O305="","",O305),IF($B$1="Mixed",IF(R305="","",R305),IF(U305="","",U305))))</f>
        <v>#N/A</v>
      </c>
      <c r="B306" s="182" t="e">
        <f t="shared" si="610"/>
        <v>#N/A</v>
      </c>
      <c r="C306" s="182" t="e">
        <f t="shared" si="610"/>
        <v>#N/A</v>
      </c>
      <c r="D306" s="182" t="e">
        <f t="shared" ref="D306:E306" si="611">IF($D$1="Team",IF(AD305="","",AD305),"")</f>
        <v>#N/A</v>
      </c>
      <c r="E306" s="182" t="e">
        <f t="shared" si="611"/>
        <v>#N/A</v>
      </c>
      <c r="J306" s="170"/>
      <c r="K306" s="170"/>
      <c r="N306" s="182"/>
      <c r="O306" s="182"/>
      <c r="Q306" s="182"/>
      <c r="R306" s="182"/>
      <c r="T306" s="182"/>
      <c r="U306" s="169" t="s">
        <v>130</v>
      </c>
      <c r="V306" s="1" t="s">
        <v>2150</v>
      </c>
      <c r="W306" s="182">
        <v>0.24</v>
      </c>
      <c r="AH306" s="1" t="s">
        <v>2150</v>
      </c>
      <c r="AI306" s="1" t="s">
        <v>1843</v>
      </c>
      <c r="AJ306" s="1">
        <v>0.5</v>
      </c>
    </row>
    <row r="307" spans="1:36" ht="15.75" customHeight="1" x14ac:dyDescent="0.3">
      <c r="A307" s="205" t="e">
        <f t="shared" ref="A307:C307" si="612">IF($B$1="Solo",IF(L306="","",L306),IF($B$1="Duet",IF(O306="","",O306),IF($B$1="Mixed",IF(R306="","",R306),IF(U306="","",U306))))</f>
        <v>#N/A</v>
      </c>
      <c r="B307" s="182" t="e">
        <f t="shared" si="612"/>
        <v>#N/A</v>
      </c>
      <c r="C307" s="182" t="e">
        <f t="shared" si="612"/>
        <v>#N/A</v>
      </c>
      <c r="D307" s="182" t="e">
        <f t="shared" ref="D307:E307" si="613">IF($D$1="Team",IF(AD306="","",AD306),"")</f>
        <v>#N/A</v>
      </c>
      <c r="E307" s="182" t="e">
        <f t="shared" si="613"/>
        <v>#N/A</v>
      </c>
      <c r="J307" s="170"/>
      <c r="K307" s="170"/>
      <c r="N307" s="182"/>
      <c r="O307" s="182"/>
      <c r="Q307" s="182"/>
      <c r="R307" s="182"/>
      <c r="T307" s="182"/>
      <c r="U307" s="169" t="s">
        <v>130</v>
      </c>
      <c r="V307" s="1" t="s">
        <v>2151</v>
      </c>
      <c r="W307" s="182">
        <v>0.24</v>
      </c>
      <c r="AH307" s="1" t="s">
        <v>2151</v>
      </c>
      <c r="AI307" s="1" t="s">
        <v>1845</v>
      </c>
      <c r="AJ307" s="1">
        <v>0.5</v>
      </c>
    </row>
    <row r="308" spans="1:36" ht="15.75" customHeight="1" x14ac:dyDescent="0.3">
      <c r="A308" s="205" t="e">
        <f t="shared" ref="A308:C308" si="614">IF($B$1="Solo",IF(L307="","",L307),IF($B$1="Duet",IF(O307="","",O307),IF($B$1="Mixed",IF(R307="","",R307),IF(U307="","",U307))))</f>
        <v>#N/A</v>
      </c>
      <c r="B308" s="182" t="e">
        <f t="shared" si="614"/>
        <v>#N/A</v>
      </c>
      <c r="C308" s="182" t="e">
        <f t="shared" si="614"/>
        <v>#N/A</v>
      </c>
      <c r="D308" s="182" t="e">
        <f t="shared" ref="D308:E308" si="615">IF($D$1="Team",IF(AD307="","",AD307),"")</f>
        <v>#N/A</v>
      </c>
      <c r="E308" s="182" t="e">
        <f t="shared" si="615"/>
        <v>#N/A</v>
      </c>
      <c r="J308" s="170"/>
      <c r="K308" s="170"/>
      <c r="N308" s="182"/>
      <c r="O308" s="182"/>
      <c r="Q308" s="182"/>
      <c r="R308" s="182"/>
      <c r="T308" s="182"/>
      <c r="U308" s="169" t="s">
        <v>130</v>
      </c>
      <c r="V308" s="1" t="s">
        <v>2152</v>
      </c>
      <c r="W308" s="182">
        <v>0.27</v>
      </c>
      <c r="AH308" s="1" t="s">
        <v>2152</v>
      </c>
      <c r="AI308" s="1" t="s">
        <v>1847</v>
      </c>
      <c r="AJ308" s="1">
        <v>0.5</v>
      </c>
    </row>
    <row r="309" spans="1:36" ht="15.75" customHeight="1" x14ac:dyDescent="0.3">
      <c r="A309" s="205" t="e">
        <f t="shared" ref="A309:C309" si="616">IF($B$1="Solo",IF(L308="","",L308),IF($B$1="Duet",IF(O308="","",O308),IF($B$1="Mixed",IF(R308="","",R308),IF(U308="","",U308))))</f>
        <v>#N/A</v>
      </c>
      <c r="B309" s="182" t="e">
        <f t="shared" si="616"/>
        <v>#N/A</v>
      </c>
      <c r="C309" s="182" t="e">
        <f t="shared" si="616"/>
        <v>#N/A</v>
      </c>
      <c r="D309" s="182" t="e">
        <f t="shared" ref="D309:E309" si="617">IF($D$1="Team",IF(AD308="","",AD308),"")</f>
        <v>#N/A</v>
      </c>
      <c r="E309" s="182" t="e">
        <f t="shared" si="617"/>
        <v>#N/A</v>
      </c>
      <c r="J309" s="170"/>
      <c r="K309" s="170"/>
      <c r="N309" s="182"/>
      <c r="O309" s="182"/>
      <c r="Q309" s="182"/>
      <c r="R309" s="182"/>
      <c r="T309" s="182"/>
      <c r="U309" s="169" t="s">
        <v>130</v>
      </c>
      <c r="V309" s="1" t="s">
        <v>2153</v>
      </c>
      <c r="W309" s="182">
        <v>0.27</v>
      </c>
      <c r="AH309" s="1" t="s">
        <v>2153</v>
      </c>
      <c r="AI309" s="1" t="s">
        <v>1849</v>
      </c>
      <c r="AJ309" s="1">
        <v>0.5</v>
      </c>
    </row>
    <row r="310" spans="1:36" ht="15.75" customHeight="1" x14ac:dyDescent="0.3">
      <c r="A310" s="205" t="e">
        <f t="shared" ref="A310:C310" si="618">IF($B$1="Solo",IF(L309="","",L309),IF($B$1="Duet",IF(O309="","",O309),IF($B$1="Mixed",IF(R309="","",R309),IF(U309="","",U309))))</f>
        <v>#N/A</v>
      </c>
      <c r="B310" s="182" t="e">
        <f t="shared" si="618"/>
        <v>#N/A</v>
      </c>
      <c r="C310" s="182" t="e">
        <f t="shared" si="618"/>
        <v>#N/A</v>
      </c>
      <c r="D310" s="182" t="e">
        <f t="shared" ref="D310:E310" si="619">IF($D$1="Team",IF(AD309="","",AD309),"")</f>
        <v>#N/A</v>
      </c>
      <c r="E310" s="182" t="e">
        <f t="shared" si="619"/>
        <v>#N/A</v>
      </c>
      <c r="J310" s="170"/>
      <c r="K310" s="170"/>
      <c r="N310" s="182"/>
      <c r="O310" s="182"/>
      <c r="Q310" s="182"/>
      <c r="R310" s="182"/>
      <c r="T310" s="182"/>
      <c r="U310" s="169" t="s">
        <v>130</v>
      </c>
      <c r="V310" s="1" t="s">
        <v>2154</v>
      </c>
      <c r="W310" s="182">
        <v>0.27</v>
      </c>
      <c r="AH310" s="1" t="s">
        <v>2154</v>
      </c>
      <c r="AI310" s="1" t="s">
        <v>1851</v>
      </c>
      <c r="AJ310" s="1">
        <v>0.5</v>
      </c>
    </row>
    <row r="311" spans="1:36" ht="15.75" customHeight="1" x14ac:dyDescent="0.3">
      <c r="A311" s="205" t="e">
        <f t="shared" ref="A311:C311" si="620">IF($B$1="Solo",IF(L310="","",L310),IF($B$1="Duet",IF(O310="","",O310),IF($B$1="Mixed",IF(R310="","",R310),IF(U310="","",U310))))</f>
        <v>#N/A</v>
      </c>
      <c r="B311" s="182" t="e">
        <f t="shared" si="620"/>
        <v>#N/A</v>
      </c>
      <c r="C311" s="182" t="e">
        <f t="shared" si="620"/>
        <v>#N/A</v>
      </c>
      <c r="D311" s="182" t="e">
        <f t="shared" ref="D311:E311" si="621">IF($D$1="Team",IF(AD310="","",AD310),"")</f>
        <v>#N/A</v>
      </c>
      <c r="E311" s="182" t="e">
        <f t="shared" si="621"/>
        <v>#N/A</v>
      </c>
      <c r="J311" s="170"/>
      <c r="K311" s="170"/>
      <c r="N311" s="182"/>
      <c r="O311" s="182"/>
      <c r="Q311" s="182"/>
      <c r="R311" s="182"/>
      <c r="T311" s="182"/>
      <c r="U311" s="169" t="s">
        <v>130</v>
      </c>
      <c r="V311" s="1" t="s">
        <v>2155</v>
      </c>
      <c r="W311" s="182">
        <v>0.27</v>
      </c>
      <c r="AH311" s="1" t="s">
        <v>2155</v>
      </c>
      <c r="AI311" s="1" t="s">
        <v>1852</v>
      </c>
      <c r="AJ311" s="1">
        <v>0.5</v>
      </c>
    </row>
    <row r="312" spans="1:36" ht="15.75" customHeight="1" x14ac:dyDescent="0.3">
      <c r="A312" s="205" t="e">
        <f t="shared" ref="A312:C312" si="622">IF($B$1="Solo",IF(L311="","",L311),IF($B$1="Duet",IF(O311="","",O311),IF($B$1="Mixed",IF(R311="","",R311),IF(U311="","",U311))))</f>
        <v>#N/A</v>
      </c>
      <c r="B312" s="182" t="e">
        <f t="shared" si="622"/>
        <v>#N/A</v>
      </c>
      <c r="C312" s="182" t="e">
        <f t="shared" si="622"/>
        <v>#N/A</v>
      </c>
      <c r="D312" s="182" t="e">
        <f t="shared" ref="D312:E312" si="623">IF($D$1="Team",IF(AD311="","",AD311),"")</f>
        <v>#N/A</v>
      </c>
      <c r="E312" s="182" t="e">
        <f t="shared" si="623"/>
        <v>#N/A</v>
      </c>
      <c r="J312" s="170"/>
      <c r="K312" s="170"/>
      <c r="N312" s="182"/>
      <c r="O312" s="182"/>
      <c r="Q312" s="182"/>
      <c r="R312" s="182"/>
      <c r="T312" s="182"/>
      <c r="U312" s="169" t="s">
        <v>130</v>
      </c>
      <c r="V312" s="1" t="s">
        <v>2156</v>
      </c>
      <c r="W312" s="182">
        <v>0.27</v>
      </c>
      <c r="AH312" s="1" t="s">
        <v>2156</v>
      </c>
      <c r="AI312" s="1" t="s">
        <v>1853</v>
      </c>
      <c r="AJ312" s="1">
        <v>0.5</v>
      </c>
    </row>
    <row r="313" spans="1:36" ht="15.75" customHeight="1" x14ac:dyDescent="0.3">
      <c r="A313" s="205" t="e">
        <f t="shared" ref="A313:C313" si="624">IF($B$1="Solo",IF(L312="","",L312),IF($B$1="Duet",IF(O312="","",O312),IF($B$1="Mixed",IF(R312="","",R312),IF(U312="","",U312))))</f>
        <v>#N/A</v>
      </c>
      <c r="B313" s="182" t="e">
        <f t="shared" si="624"/>
        <v>#N/A</v>
      </c>
      <c r="C313" s="182" t="e">
        <f t="shared" si="624"/>
        <v>#N/A</v>
      </c>
      <c r="D313" s="182" t="e">
        <f t="shared" ref="D313:E313" si="625">IF($D$1="Team",IF(AD312="","",AD312),"")</f>
        <v>#N/A</v>
      </c>
      <c r="E313" s="182" t="e">
        <f t="shared" si="625"/>
        <v>#N/A</v>
      </c>
      <c r="J313" s="170"/>
      <c r="K313" s="170"/>
      <c r="N313" s="182"/>
      <c r="O313" s="182"/>
      <c r="Q313" s="182"/>
      <c r="R313" s="182"/>
      <c r="T313" s="182"/>
      <c r="U313" s="169" t="s">
        <v>130</v>
      </c>
      <c r="V313" s="1" t="s">
        <v>2157</v>
      </c>
      <c r="W313" s="182">
        <v>0.33</v>
      </c>
      <c r="AH313" s="1" t="s">
        <v>2157</v>
      </c>
      <c r="AI313" s="1" t="s">
        <v>1854</v>
      </c>
      <c r="AJ313" s="1">
        <v>0.5</v>
      </c>
    </row>
    <row r="314" spans="1:36" ht="15.75" customHeight="1" x14ac:dyDescent="0.3">
      <c r="A314" s="205" t="e">
        <f t="shared" ref="A314:C314" si="626">IF($B$1="Solo",IF(L313="","",L313),IF($B$1="Duet",IF(O313="","",O313),IF($B$1="Mixed",IF(R313="","",R313),IF(U313="","",U313))))</f>
        <v>#N/A</v>
      </c>
      <c r="B314" s="182" t="e">
        <f t="shared" si="626"/>
        <v>#N/A</v>
      </c>
      <c r="C314" s="182" t="e">
        <f t="shared" si="626"/>
        <v>#N/A</v>
      </c>
      <c r="D314" s="182" t="e">
        <f t="shared" ref="D314:E314" si="627">IF($D$1="Team",IF(AD313="","",AD313),"")</f>
        <v>#N/A</v>
      </c>
      <c r="E314" s="182" t="e">
        <f t="shared" si="627"/>
        <v>#N/A</v>
      </c>
      <c r="J314" s="170"/>
      <c r="K314" s="170"/>
      <c r="N314" s="182"/>
      <c r="O314" s="182"/>
      <c r="Q314" s="182"/>
      <c r="R314" s="182"/>
      <c r="T314" s="182"/>
      <c r="U314" s="169" t="s">
        <v>130</v>
      </c>
      <c r="V314" s="1" t="s">
        <v>2158</v>
      </c>
      <c r="W314" s="182">
        <v>0.33</v>
      </c>
      <c r="AH314" s="1" t="s">
        <v>2158</v>
      </c>
      <c r="AI314" s="1" t="s">
        <v>1855</v>
      </c>
      <c r="AJ314" s="1">
        <v>0.5</v>
      </c>
    </row>
    <row r="315" spans="1:36" ht="15.75" customHeight="1" x14ac:dyDescent="0.3">
      <c r="A315" s="205" t="e">
        <f t="shared" ref="A315:C315" si="628">IF($B$1="Solo",IF(L314="","",L314),IF($B$1="Duet",IF(O314="","",O314),IF($B$1="Mixed",IF(R314="","",R314),IF(U314="","",U314))))</f>
        <v>#N/A</v>
      </c>
      <c r="B315" s="182" t="e">
        <f t="shared" si="628"/>
        <v>#N/A</v>
      </c>
      <c r="C315" s="182" t="e">
        <f t="shared" si="628"/>
        <v>#N/A</v>
      </c>
      <c r="D315" s="182" t="e">
        <f t="shared" ref="D315:E315" si="629">IF($D$1="Team",IF(AD314="","",AD314),"")</f>
        <v>#N/A</v>
      </c>
      <c r="E315" s="182" t="e">
        <f t="shared" si="629"/>
        <v>#N/A</v>
      </c>
      <c r="J315" s="170"/>
      <c r="K315" s="170"/>
      <c r="N315" s="182"/>
      <c r="O315" s="182"/>
      <c r="Q315" s="182"/>
      <c r="R315" s="182"/>
      <c r="T315" s="182"/>
      <c r="U315" s="169" t="s">
        <v>130</v>
      </c>
      <c r="V315" s="1" t="s">
        <v>2159</v>
      </c>
      <c r="W315" s="182">
        <v>0.33</v>
      </c>
      <c r="AH315" s="1" t="s">
        <v>2159</v>
      </c>
      <c r="AI315" s="1" t="s">
        <v>1856</v>
      </c>
      <c r="AJ315" s="1">
        <v>0.5</v>
      </c>
    </row>
    <row r="316" spans="1:36" ht="15.75" customHeight="1" x14ac:dyDescent="0.3">
      <c r="A316" s="205" t="e">
        <f t="shared" ref="A316:C316" si="630">IF($B$1="Solo",IF(L315="","",L315),IF($B$1="Duet",IF(O315="","",O315),IF($B$1="Mixed",IF(R315="","",R315),IF(U315="","",U315))))</f>
        <v>#N/A</v>
      </c>
      <c r="B316" s="182" t="e">
        <f t="shared" si="630"/>
        <v>#N/A</v>
      </c>
      <c r="C316" s="182" t="e">
        <f t="shared" si="630"/>
        <v>#N/A</v>
      </c>
      <c r="D316" s="182" t="e">
        <f t="shared" ref="D316:E316" si="631">IF($D$1="Team",IF(AD315="","",AD315),"")</f>
        <v>#N/A</v>
      </c>
      <c r="E316" s="182" t="e">
        <f t="shared" si="631"/>
        <v>#N/A</v>
      </c>
      <c r="J316" s="170"/>
      <c r="K316" s="170"/>
      <c r="N316" s="182"/>
      <c r="O316" s="182"/>
      <c r="Q316" s="182"/>
      <c r="R316" s="182"/>
      <c r="T316" s="182"/>
      <c r="U316" s="169" t="s">
        <v>130</v>
      </c>
      <c r="V316" s="1" t="s">
        <v>2160</v>
      </c>
      <c r="W316" s="182">
        <v>0.44999999999999996</v>
      </c>
      <c r="AH316" s="1" t="s">
        <v>2160</v>
      </c>
      <c r="AI316" s="1" t="s">
        <v>1857</v>
      </c>
      <c r="AJ316" s="1">
        <v>0.5</v>
      </c>
    </row>
    <row r="317" spans="1:36" ht="15.75" customHeight="1" x14ac:dyDescent="0.3">
      <c r="A317" s="205" t="e">
        <f t="shared" ref="A317:C317" si="632">IF($B$1="Solo",IF(L316="","",L316),IF($B$1="Duet",IF(O316="","",O316),IF($B$1="Mixed",IF(R316="","",R316),IF(U316="","",U316))))</f>
        <v>#N/A</v>
      </c>
      <c r="B317" s="182" t="e">
        <f t="shared" si="632"/>
        <v>#N/A</v>
      </c>
      <c r="C317" s="182" t="e">
        <f t="shared" si="632"/>
        <v>#N/A</v>
      </c>
      <c r="D317" s="182" t="e">
        <f t="shared" ref="D317:E317" si="633">IF($D$1="Team",IF(AD316="","",AD316),"")</f>
        <v>#N/A</v>
      </c>
      <c r="E317" s="182" t="e">
        <f t="shared" si="633"/>
        <v>#N/A</v>
      </c>
      <c r="J317" s="170"/>
      <c r="K317" s="170"/>
      <c r="N317" s="182"/>
      <c r="O317" s="182"/>
      <c r="Q317" s="182"/>
      <c r="R317" s="182"/>
      <c r="T317" s="182"/>
      <c r="U317" s="169" t="s">
        <v>130</v>
      </c>
      <c r="V317" s="1" t="s">
        <v>2161</v>
      </c>
      <c r="W317" s="182">
        <v>0.51</v>
      </c>
      <c r="AH317" s="1" t="s">
        <v>2161</v>
      </c>
      <c r="AI317" s="1" t="s">
        <v>1858</v>
      </c>
      <c r="AJ317" s="1">
        <v>0.5</v>
      </c>
    </row>
    <row r="318" spans="1:36" ht="15.75" customHeight="1" x14ac:dyDescent="0.3">
      <c r="A318" s="205" t="e">
        <f t="shared" ref="A318:C318" si="634">IF($B$1="Solo",IF(L317="","",L317),IF($B$1="Duet",IF(O317="","",O317),IF($B$1="Mixed",IF(R317="","",R317),IF(U317="","",U317))))</f>
        <v>#N/A</v>
      </c>
      <c r="B318" s="182" t="e">
        <f t="shared" si="634"/>
        <v>#N/A</v>
      </c>
      <c r="C318" s="182" t="e">
        <f t="shared" si="634"/>
        <v>#N/A</v>
      </c>
      <c r="D318" s="182" t="e">
        <f t="shared" ref="D318:E318" si="635">IF($D$1="Team",IF(AD317="","",AD317),"")</f>
        <v>#N/A</v>
      </c>
      <c r="E318" s="182" t="e">
        <f t="shared" si="635"/>
        <v>#N/A</v>
      </c>
      <c r="J318" s="170"/>
      <c r="K318" s="170"/>
      <c r="N318" s="182"/>
      <c r="O318" s="182"/>
      <c r="Q318" s="182"/>
      <c r="R318" s="182"/>
      <c r="T318" s="182"/>
      <c r="U318" s="169" t="s">
        <v>130</v>
      </c>
      <c r="V318" s="1" t="s">
        <v>2162</v>
      </c>
      <c r="W318" s="182">
        <v>0.6</v>
      </c>
      <c r="AH318" s="1" t="s">
        <v>2162</v>
      </c>
      <c r="AI318" s="1" t="s">
        <v>1859</v>
      </c>
      <c r="AJ318" s="1">
        <v>0.5</v>
      </c>
    </row>
    <row r="319" spans="1:36" ht="15.75" customHeight="1" x14ac:dyDescent="0.3">
      <c r="A319" s="205" t="e">
        <f t="shared" ref="A319:C319" si="636">IF($B$1="Solo",IF(L318="","",L318),IF($B$1="Duet",IF(O318="","",O318),IF($B$1="Mixed",IF(R318="","",R318),IF(U318="","",U318))))</f>
        <v>#N/A</v>
      </c>
      <c r="B319" s="182" t="e">
        <f t="shared" si="636"/>
        <v>#N/A</v>
      </c>
      <c r="C319" s="182" t="e">
        <f t="shared" si="636"/>
        <v>#N/A</v>
      </c>
      <c r="D319" s="182" t="e">
        <f t="shared" ref="D319:E319" si="637">IF($D$1="Team",IF(AD318="","",AD318),"")</f>
        <v>#N/A</v>
      </c>
      <c r="E319" s="182" t="e">
        <f t="shared" si="637"/>
        <v>#N/A</v>
      </c>
      <c r="J319" s="170"/>
      <c r="K319" s="170"/>
      <c r="N319" s="182"/>
      <c r="O319" s="182"/>
      <c r="Q319" s="182"/>
      <c r="R319" s="182"/>
      <c r="T319" s="182"/>
      <c r="U319" s="169" t="s">
        <v>130</v>
      </c>
      <c r="V319" s="1" t="s">
        <v>2163</v>
      </c>
      <c r="W319" s="182">
        <v>0.6</v>
      </c>
      <c r="AH319" s="1" t="s">
        <v>2163</v>
      </c>
      <c r="AI319" s="1" t="s">
        <v>1860</v>
      </c>
      <c r="AJ319" s="1">
        <v>0.5</v>
      </c>
    </row>
    <row r="320" spans="1:36" ht="15.75" customHeight="1" x14ac:dyDescent="0.3">
      <c r="A320" s="205" t="e">
        <f t="shared" ref="A320:C320" si="638">IF($B$1="Solo",IF(L319="","",L319),IF($B$1="Duet",IF(O319="","",O319),IF($B$1="Mixed",IF(R319="","",R319),IF(U319="","",U319))))</f>
        <v>#N/A</v>
      </c>
      <c r="B320" s="182" t="e">
        <f t="shared" si="638"/>
        <v>#N/A</v>
      </c>
      <c r="C320" s="182" t="e">
        <f t="shared" si="638"/>
        <v>#N/A</v>
      </c>
      <c r="D320" s="182" t="e">
        <f t="shared" ref="D320:E320" si="639">IF($D$1="Team",IF(AD319="","",AD319),"")</f>
        <v>#N/A</v>
      </c>
      <c r="E320" s="182" t="e">
        <f t="shared" si="639"/>
        <v>#N/A</v>
      </c>
      <c r="J320" s="170"/>
      <c r="K320" s="170"/>
      <c r="N320" s="182"/>
      <c r="O320" s="182"/>
      <c r="Q320" s="182"/>
      <c r="R320" s="182"/>
      <c r="T320" s="182"/>
      <c r="U320" s="169" t="s">
        <v>131</v>
      </c>
      <c r="V320" s="1" t="s">
        <v>2164</v>
      </c>
      <c r="W320" s="182">
        <v>4.4999999999999998E-2</v>
      </c>
      <c r="AH320" s="1" t="s">
        <v>2164</v>
      </c>
      <c r="AI320" s="1" t="s">
        <v>1861</v>
      </c>
      <c r="AJ320" s="1">
        <v>0.5</v>
      </c>
    </row>
    <row r="321" spans="1:36" ht="15.75" customHeight="1" x14ac:dyDescent="0.3">
      <c r="A321" s="205" t="e">
        <f t="shared" ref="A321:C321" si="640">IF($B$1="Solo",IF(L320="","",L320),IF($B$1="Duet",IF(O320="","",O320),IF($B$1="Mixed",IF(R320="","",R320),IF(U320="","",U320))))</f>
        <v>#N/A</v>
      </c>
      <c r="B321" s="182" t="e">
        <f t="shared" si="640"/>
        <v>#N/A</v>
      </c>
      <c r="C321" s="182" t="e">
        <f t="shared" si="640"/>
        <v>#N/A</v>
      </c>
      <c r="D321" s="182" t="e">
        <f t="shared" ref="D321:E321" si="641">IF($D$1="Team",IF(AD320="","",AD320),"")</f>
        <v>#N/A</v>
      </c>
      <c r="E321" s="182" t="e">
        <f t="shared" si="641"/>
        <v>#N/A</v>
      </c>
      <c r="J321" s="170"/>
      <c r="K321" s="170"/>
      <c r="N321" s="182"/>
      <c r="O321" s="182"/>
      <c r="Q321" s="182"/>
      <c r="R321" s="182"/>
      <c r="T321" s="182"/>
      <c r="U321" s="169" t="s">
        <v>131</v>
      </c>
      <c r="V321" s="1" t="s">
        <v>2165</v>
      </c>
      <c r="W321" s="182">
        <v>0.105</v>
      </c>
      <c r="AH321" s="1" t="s">
        <v>2165</v>
      </c>
      <c r="AI321" s="1" t="s">
        <v>1863</v>
      </c>
      <c r="AJ321" s="1">
        <v>0.5</v>
      </c>
    </row>
    <row r="322" spans="1:36" ht="15.75" customHeight="1" x14ac:dyDescent="0.3">
      <c r="A322" s="205" t="e">
        <f t="shared" ref="A322:C322" si="642">IF($B$1="Solo",IF(L321="","",L321),IF($B$1="Duet",IF(O321="","",O321),IF($B$1="Mixed",IF(R321="","",R321),IF(U321="","",U321))))</f>
        <v>#N/A</v>
      </c>
      <c r="B322" s="182" t="e">
        <f t="shared" si="642"/>
        <v>#N/A</v>
      </c>
      <c r="C322" s="182" t="e">
        <f t="shared" si="642"/>
        <v>#N/A</v>
      </c>
      <c r="D322" s="182" t="e">
        <f t="shared" ref="D322:E322" si="643">IF($D$1="Team",IF(AD321="","",AD321),"")</f>
        <v>#N/A</v>
      </c>
      <c r="E322" s="182" t="e">
        <f t="shared" si="643"/>
        <v>#N/A</v>
      </c>
      <c r="J322" s="170"/>
      <c r="K322" s="170"/>
      <c r="N322" s="182"/>
      <c r="O322" s="182"/>
      <c r="Q322" s="182"/>
      <c r="R322" s="182"/>
      <c r="T322" s="182"/>
      <c r="U322" s="169" t="s">
        <v>131</v>
      </c>
      <c r="V322" s="1" t="s">
        <v>2166</v>
      </c>
      <c r="W322" s="182">
        <v>0.12</v>
      </c>
      <c r="AH322" s="1" t="s">
        <v>2166</v>
      </c>
      <c r="AI322" s="1" t="s">
        <v>1865</v>
      </c>
      <c r="AJ322" s="1">
        <v>0.5</v>
      </c>
    </row>
    <row r="323" spans="1:36" ht="15.75" customHeight="1" x14ac:dyDescent="0.3">
      <c r="A323" s="205" t="e">
        <f t="shared" ref="A323:C323" si="644">IF($B$1="Solo",IF(L322="","",L322),IF($B$1="Duet",IF(O322="","",O322),IF($B$1="Mixed",IF(R322="","",R322),IF(U322="","",U322))))</f>
        <v>#N/A</v>
      </c>
      <c r="B323" s="182" t="e">
        <f t="shared" si="644"/>
        <v>#N/A</v>
      </c>
      <c r="C323" s="182" t="e">
        <f t="shared" si="644"/>
        <v>#N/A</v>
      </c>
      <c r="D323" s="182" t="e">
        <f t="shared" ref="D323:E323" si="645">IF($D$1="Team",IF(AD322="","",AD322),"")</f>
        <v>#N/A</v>
      </c>
      <c r="E323" s="182" t="e">
        <f t="shared" si="645"/>
        <v>#N/A</v>
      </c>
      <c r="J323" s="170"/>
      <c r="K323" s="170"/>
      <c r="N323" s="182"/>
      <c r="O323" s="182"/>
      <c r="Q323" s="182"/>
      <c r="R323" s="182"/>
      <c r="T323" s="182"/>
      <c r="U323" s="169" t="s">
        <v>131</v>
      </c>
      <c r="V323" s="1" t="s">
        <v>2167</v>
      </c>
      <c r="W323" s="182">
        <v>0.105</v>
      </c>
      <c r="AH323" s="1" t="s">
        <v>2167</v>
      </c>
      <c r="AI323" s="1" t="s">
        <v>1867</v>
      </c>
      <c r="AJ323" s="1">
        <v>0.5</v>
      </c>
    </row>
    <row r="324" spans="1:36" ht="15.75" customHeight="1" x14ac:dyDescent="0.3">
      <c r="A324" s="205" t="e">
        <f t="shared" ref="A324:C324" si="646">IF($B$1="Solo",IF(L323="","",L323),IF($B$1="Duet",IF(O323="","",O323),IF($B$1="Mixed",IF(R323="","",R323),IF(U323="","",U323))))</f>
        <v>#N/A</v>
      </c>
      <c r="B324" s="182" t="e">
        <f t="shared" si="646"/>
        <v>#N/A</v>
      </c>
      <c r="C324" s="182" t="e">
        <f t="shared" si="646"/>
        <v>#N/A</v>
      </c>
      <c r="D324" s="182" t="e">
        <f t="shared" ref="D324:E324" si="647">IF($D$1="Team",IF(AD323="","",AD323),"")</f>
        <v>#N/A</v>
      </c>
      <c r="E324" s="182" t="e">
        <f t="shared" si="647"/>
        <v>#N/A</v>
      </c>
      <c r="J324" s="170"/>
      <c r="K324" s="170"/>
      <c r="N324" s="182"/>
      <c r="O324" s="182"/>
      <c r="Q324" s="182"/>
      <c r="R324" s="182"/>
      <c r="T324" s="182"/>
      <c r="U324" s="169" t="s">
        <v>131</v>
      </c>
      <c r="V324" s="1" t="s">
        <v>2168</v>
      </c>
      <c r="W324" s="182">
        <v>0.24</v>
      </c>
      <c r="AH324" s="1" t="s">
        <v>2168</v>
      </c>
      <c r="AI324" s="1" t="s">
        <v>1869</v>
      </c>
      <c r="AJ324" s="1">
        <v>0.5</v>
      </c>
    </row>
    <row r="325" spans="1:36" ht="15.75" customHeight="1" x14ac:dyDescent="0.3">
      <c r="A325" s="205" t="e">
        <f t="shared" ref="A325:C325" si="648">IF($B$1="Solo",IF(L324="","",L324),IF($B$1="Duet",IF(O324="","",O324),IF($B$1="Mixed",IF(R324="","",R324),IF(U324="","",U324))))</f>
        <v>#N/A</v>
      </c>
      <c r="B325" s="182" t="e">
        <f t="shared" si="648"/>
        <v>#N/A</v>
      </c>
      <c r="C325" s="182" t="e">
        <f t="shared" si="648"/>
        <v>#N/A</v>
      </c>
      <c r="D325" s="182" t="e">
        <f t="shared" ref="D325:E325" si="649">IF($D$1="Team",IF(AD324="","",AD324),"")</f>
        <v>#N/A</v>
      </c>
      <c r="E325" s="182" t="e">
        <f t="shared" si="649"/>
        <v>#N/A</v>
      </c>
      <c r="J325" s="170"/>
      <c r="K325" s="170"/>
      <c r="N325" s="182"/>
      <c r="O325" s="182"/>
      <c r="Q325" s="182"/>
      <c r="R325" s="182"/>
      <c r="T325" s="182"/>
      <c r="U325" s="169" t="s">
        <v>131</v>
      </c>
      <c r="V325" s="1" t="s">
        <v>2169</v>
      </c>
      <c r="W325" s="182">
        <v>0.255</v>
      </c>
      <c r="AH325" s="1" t="s">
        <v>2169</v>
      </c>
      <c r="AI325" s="1" t="s">
        <v>1871</v>
      </c>
      <c r="AJ325" s="1">
        <v>0.5</v>
      </c>
    </row>
    <row r="326" spans="1:36" ht="15.75" customHeight="1" x14ac:dyDescent="0.3">
      <c r="A326" s="205" t="e">
        <f t="shared" ref="A326:C326" si="650">IF($B$1="Solo",IF(L325="","",L325),IF($B$1="Duet",IF(O325="","",O325),IF($B$1="Mixed",IF(R325="","",R325),IF(U325="","",U325))))</f>
        <v>#N/A</v>
      </c>
      <c r="B326" s="182" t="e">
        <f t="shared" si="650"/>
        <v>#N/A</v>
      </c>
      <c r="C326" s="182" t="e">
        <f t="shared" si="650"/>
        <v>#N/A</v>
      </c>
      <c r="D326" s="182" t="e">
        <f t="shared" ref="D326:E326" si="651">IF($D$1="Team",IF(AD325="","",AD325),"")</f>
        <v>#N/A</v>
      </c>
      <c r="E326" s="182" t="e">
        <f t="shared" si="651"/>
        <v>#N/A</v>
      </c>
      <c r="J326" s="170"/>
      <c r="K326" s="170"/>
      <c r="N326" s="182"/>
      <c r="O326" s="182"/>
      <c r="Q326" s="182"/>
      <c r="R326" s="182"/>
      <c r="T326" s="182"/>
      <c r="U326" s="169" t="s">
        <v>131</v>
      </c>
      <c r="V326" s="1" t="s">
        <v>2170</v>
      </c>
      <c r="W326" s="182">
        <v>0.22499999999999998</v>
      </c>
      <c r="AH326" s="1" t="s">
        <v>2170</v>
      </c>
      <c r="AI326" s="1" t="s">
        <v>1873</v>
      </c>
      <c r="AJ326" s="1">
        <v>0.5</v>
      </c>
    </row>
    <row r="327" spans="1:36" ht="15.75" customHeight="1" x14ac:dyDescent="0.3">
      <c r="A327" s="205" t="e">
        <f t="shared" ref="A327:C327" si="652">IF($B$1="Solo",IF(L326="","",L326),IF($B$1="Duet",IF(O326="","",O326),IF($B$1="Mixed",IF(R326="","",R326),IF(U326="","",U326))))</f>
        <v>#N/A</v>
      </c>
      <c r="B327" s="182" t="e">
        <f t="shared" si="652"/>
        <v>#N/A</v>
      </c>
      <c r="C327" s="182" t="e">
        <f t="shared" si="652"/>
        <v>#N/A</v>
      </c>
      <c r="D327" s="182" t="e">
        <f t="shared" ref="D327:E327" si="653">IF($D$1="Team",IF(AD326="","",AD326),"")</f>
        <v>#N/A</v>
      </c>
      <c r="E327" s="182" t="e">
        <f t="shared" si="653"/>
        <v>#N/A</v>
      </c>
      <c r="J327" s="170"/>
      <c r="K327" s="170"/>
      <c r="N327" s="182"/>
      <c r="O327" s="182"/>
      <c r="Q327" s="182"/>
      <c r="R327" s="182"/>
      <c r="T327" s="182"/>
      <c r="U327" s="169" t="s">
        <v>131</v>
      </c>
      <c r="V327" s="1" t="s">
        <v>2171</v>
      </c>
      <c r="W327" s="182">
        <v>0.48</v>
      </c>
      <c r="AH327" s="1" t="s">
        <v>2171</v>
      </c>
      <c r="AI327" s="1" t="s">
        <v>1875</v>
      </c>
      <c r="AJ327" s="1">
        <v>0.5</v>
      </c>
    </row>
    <row r="328" spans="1:36" ht="15.75" customHeight="1" x14ac:dyDescent="0.3">
      <c r="A328" s="205" t="e">
        <f t="shared" ref="A328:C328" si="654">IF($B$1="Solo",IF(L327="","",L327),IF($B$1="Duet",IF(O327="","",O327),IF($B$1="Mixed",IF(R327="","",R327),IF(U327="","",U327))))</f>
        <v>#N/A</v>
      </c>
      <c r="B328" s="182" t="e">
        <f t="shared" si="654"/>
        <v>#N/A</v>
      </c>
      <c r="C328" s="182" t="e">
        <f t="shared" si="654"/>
        <v>#N/A</v>
      </c>
      <c r="D328" s="182" t="e">
        <f t="shared" ref="D328:E328" si="655">IF($D$1="Team",IF(AD327="","",AD327),"")</f>
        <v>#N/A</v>
      </c>
      <c r="E328" s="182" t="e">
        <f t="shared" si="655"/>
        <v>#N/A</v>
      </c>
      <c r="J328" s="170"/>
      <c r="K328" s="170"/>
      <c r="N328" s="182"/>
      <c r="O328" s="182"/>
      <c r="Q328" s="182"/>
      <c r="R328" s="182"/>
      <c r="T328" s="182"/>
      <c r="U328" s="169" t="s">
        <v>131</v>
      </c>
      <c r="V328" s="1" t="s">
        <v>2172</v>
      </c>
      <c r="W328" s="182">
        <v>0.49499999999999994</v>
      </c>
      <c r="AH328" s="1" t="s">
        <v>2172</v>
      </c>
      <c r="AI328" s="1" t="s">
        <v>1877</v>
      </c>
      <c r="AJ328" s="1">
        <v>0.5</v>
      </c>
    </row>
    <row r="329" spans="1:36" ht="15.75" customHeight="1" x14ac:dyDescent="0.3">
      <c r="A329" s="205" t="e">
        <f t="shared" ref="A329:C329" si="656">IF($B$1="Solo",IF(L328="","",L328),IF($B$1="Duet",IF(O328="","",O328),IF($B$1="Mixed",IF(R328="","",R328),IF(U328="","",U328))))</f>
        <v>#N/A</v>
      </c>
      <c r="B329" s="182" t="e">
        <f t="shared" si="656"/>
        <v>#N/A</v>
      </c>
      <c r="C329" s="182" t="e">
        <f t="shared" si="656"/>
        <v>#N/A</v>
      </c>
      <c r="D329" s="182" t="e">
        <f t="shared" ref="D329:E329" si="657">IF($D$1="Team",IF(AD328="","",AD328),"")</f>
        <v>#N/A</v>
      </c>
      <c r="E329" s="182" t="e">
        <f t="shared" si="657"/>
        <v>#N/A</v>
      </c>
      <c r="J329" s="170"/>
      <c r="K329" s="170"/>
      <c r="N329" s="182"/>
      <c r="O329" s="182"/>
      <c r="Q329" s="182"/>
      <c r="R329" s="182"/>
      <c r="T329" s="182"/>
      <c r="U329" s="169" t="s">
        <v>131</v>
      </c>
      <c r="V329" s="1" t="s">
        <v>2173</v>
      </c>
      <c r="W329" s="182">
        <v>0.34499999999999997</v>
      </c>
      <c r="AH329" s="1" t="s">
        <v>2173</v>
      </c>
      <c r="AI329" s="1" t="s">
        <v>1879</v>
      </c>
      <c r="AJ329" s="1">
        <v>0.5</v>
      </c>
    </row>
    <row r="330" spans="1:36" ht="15.75" customHeight="1" x14ac:dyDescent="0.3">
      <c r="A330" s="205" t="e">
        <f t="shared" ref="A330:C330" si="658">IF($B$1="Solo",IF(L329="","",L329),IF($B$1="Duet",IF(O329="","",O329),IF($B$1="Mixed",IF(R329="","",R329),IF(U329="","",U329))))</f>
        <v>#N/A</v>
      </c>
      <c r="B330" s="182" t="e">
        <f t="shared" si="658"/>
        <v>#N/A</v>
      </c>
      <c r="C330" s="182" t="e">
        <f t="shared" si="658"/>
        <v>#N/A</v>
      </c>
      <c r="D330" s="182" t="e">
        <f t="shared" ref="D330:E330" si="659">IF($D$1="Team",IF(AD329="","",AD329),"")</f>
        <v>#N/A</v>
      </c>
      <c r="E330" s="182" t="e">
        <f t="shared" si="659"/>
        <v>#N/A</v>
      </c>
      <c r="J330" s="170"/>
      <c r="K330" s="170"/>
      <c r="N330" s="182"/>
      <c r="O330" s="182"/>
      <c r="Q330" s="182"/>
      <c r="R330" s="182"/>
      <c r="T330" s="182"/>
      <c r="U330" s="169" t="s">
        <v>131</v>
      </c>
      <c r="V330" s="1" t="s">
        <v>2174</v>
      </c>
      <c r="W330" s="182">
        <v>0.72</v>
      </c>
      <c r="AH330" s="1" t="s">
        <v>2174</v>
      </c>
      <c r="AI330" s="1" t="s">
        <v>1881</v>
      </c>
      <c r="AJ330" s="1">
        <v>0.5</v>
      </c>
    </row>
    <row r="331" spans="1:36" ht="15.75" customHeight="1" x14ac:dyDescent="0.3">
      <c r="A331" s="205" t="e">
        <f t="shared" ref="A331:C331" si="660">IF($B$1="Solo",IF(L330="","",L330),IF($B$1="Duet",IF(O330="","",O330),IF($B$1="Mixed",IF(R330="","",R330),IF(U330="","",U330))))</f>
        <v>#N/A</v>
      </c>
      <c r="B331" s="182" t="e">
        <f t="shared" si="660"/>
        <v>#N/A</v>
      </c>
      <c r="C331" s="182" t="e">
        <f t="shared" si="660"/>
        <v>#N/A</v>
      </c>
      <c r="D331" s="182" t="e">
        <f t="shared" ref="D331:E331" si="661">IF($D$1="Team",IF(AD330="","",AD330),"")</f>
        <v>#N/A</v>
      </c>
      <c r="E331" s="182" t="e">
        <f t="shared" si="661"/>
        <v>#N/A</v>
      </c>
      <c r="J331" s="170"/>
      <c r="K331" s="170"/>
      <c r="N331" s="182"/>
      <c r="O331" s="182"/>
      <c r="Q331" s="182"/>
      <c r="R331" s="182"/>
      <c r="T331" s="182"/>
      <c r="U331" s="169" t="s">
        <v>131</v>
      </c>
      <c r="V331" s="1" t="s">
        <v>2175</v>
      </c>
      <c r="W331" s="182">
        <v>0.73499999999999999</v>
      </c>
      <c r="AH331" s="1" t="s">
        <v>2175</v>
      </c>
      <c r="AI331" s="1" t="s">
        <v>1883</v>
      </c>
      <c r="AJ331" s="1">
        <v>0.5</v>
      </c>
    </row>
    <row r="332" spans="1:36" ht="15.75" customHeight="1" x14ac:dyDescent="0.3">
      <c r="A332" s="205" t="e">
        <f t="shared" ref="A332:C332" si="662">IF($B$1="Solo",IF(L331="","",L331),IF($B$1="Duet",IF(O331="","",O331),IF($B$1="Mixed",IF(R331="","",R331),IF(U331="","",U331))))</f>
        <v>#N/A</v>
      </c>
      <c r="B332" s="182" t="e">
        <f t="shared" si="662"/>
        <v>#N/A</v>
      </c>
      <c r="C332" s="182" t="e">
        <f t="shared" si="662"/>
        <v>#N/A</v>
      </c>
      <c r="D332" s="182" t="e">
        <f t="shared" ref="D332:E332" si="663">IF($D$1="Team",IF(AD331="","",AD331),"")</f>
        <v>#N/A</v>
      </c>
      <c r="E332" s="182" t="e">
        <f t="shared" si="663"/>
        <v>#N/A</v>
      </c>
      <c r="J332" s="170"/>
      <c r="K332" s="170"/>
      <c r="N332" s="182"/>
      <c r="O332" s="182"/>
      <c r="Q332" s="182"/>
      <c r="R332" s="182"/>
      <c r="T332" s="182"/>
      <c r="U332" s="169" t="s">
        <v>131</v>
      </c>
      <c r="V332" s="1" t="s">
        <v>2176</v>
      </c>
      <c r="W332" s="182">
        <v>0.46499999999999997</v>
      </c>
      <c r="AH332" s="1" t="s">
        <v>2176</v>
      </c>
      <c r="AI332" s="1" t="s">
        <v>1885</v>
      </c>
      <c r="AJ332" s="1">
        <v>0.5</v>
      </c>
    </row>
    <row r="333" spans="1:36" ht="15.75" customHeight="1" x14ac:dyDescent="0.3">
      <c r="A333" s="205" t="e">
        <f t="shared" ref="A333:C333" si="664">IF($B$1="Solo",IF(L332="","",L332),IF($B$1="Duet",IF(O332="","",O332),IF($B$1="Mixed",IF(R332="","",R332),IF(U332="","",U332))))</f>
        <v>#N/A</v>
      </c>
      <c r="B333" s="182" t="e">
        <f t="shared" si="664"/>
        <v>#N/A</v>
      </c>
      <c r="C333" s="182" t="e">
        <f t="shared" si="664"/>
        <v>#N/A</v>
      </c>
      <c r="D333" s="182" t="e">
        <f t="shared" ref="D333:E333" si="665">IF($D$1="Team",IF(AD332="","",AD332),"")</f>
        <v>#N/A</v>
      </c>
      <c r="E333" s="182" t="e">
        <f t="shared" si="665"/>
        <v>#N/A</v>
      </c>
      <c r="J333" s="170"/>
      <c r="K333" s="170"/>
      <c r="N333" s="182"/>
      <c r="O333" s="182"/>
      <c r="Q333" s="182"/>
      <c r="R333" s="182"/>
      <c r="T333" s="182"/>
      <c r="U333" s="169" t="s">
        <v>131</v>
      </c>
      <c r="V333" s="1" t="s">
        <v>2177</v>
      </c>
      <c r="W333" s="182">
        <v>0.96</v>
      </c>
      <c r="AH333" s="1" t="s">
        <v>2177</v>
      </c>
      <c r="AI333" s="1" t="s">
        <v>1887</v>
      </c>
      <c r="AJ333" s="1">
        <v>0.5</v>
      </c>
    </row>
    <row r="334" spans="1:36" ht="15.75" customHeight="1" x14ac:dyDescent="0.3">
      <c r="A334" s="205" t="e">
        <f t="shared" ref="A334:C334" si="666">IF($B$1="Solo",IF(L333="","",L333),IF($B$1="Duet",IF(O333="","",O333),IF($B$1="Mixed",IF(R333="","",R333),IF(U333="","",U333))))</f>
        <v>#N/A</v>
      </c>
      <c r="B334" s="182" t="e">
        <f t="shared" si="666"/>
        <v>#N/A</v>
      </c>
      <c r="C334" s="182" t="e">
        <f t="shared" si="666"/>
        <v>#N/A</v>
      </c>
      <c r="D334" s="182" t="e">
        <f t="shared" ref="D334:E334" si="667">IF($D$1="Team",IF(AD333="","",AD333),"")</f>
        <v>#N/A</v>
      </c>
      <c r="E334" s="182" t="e">
        <f t="shared" si="667"/>
        <v>#N/A</v>
      </c>
      <c r="J334" s="170"/>
      <c r="K334" s="170"/>
      <c r="N334" s="182"/>
      <c r="O334" s="182"/>
      <c r="Q334" s="182"/>
      <c r="R334" s="182"/>
      <c r="T334" s="182"/>
      <c r="U334" s="169" t="s">
        <v>131</v>
      </c>
      <c r="V334" s="1" t="s">
        <v>2178</v>
      </c>
      <c r="W334" s="182">
        <v>0.97499999999999998</v>
      </c>
      <c r="AH334" s="1" t="s">
        <v>2178</v>
      </c>
      <c r="AI334" s="1" t="s">
        <v>1889</v>
      </c>
      <c r="AJ334" s="1">
        <v>0.5</v>
      </c>
    </row>
    <row r="335" spans="1:36" ht="15.75" customHeight="1" x14ac:dyDescent="0.3">
      <c r="A335" s="205" t="e">
        <f t="shared" ref="A335:C335" si="668">IF($B$1="Solo",IF(L334="","",L334),IF($B$1="Duet",IF(O334="","",O334),IF($B$1="Mixed",IF(R334="","",R334),IF(U334="","",U334))))</f>
        <v>#N/A</v>
      </c>
      <c r="B335" s="182" t="e">
        <f t="shared" si="668"/>
        <v>#N/A</v>
      </c>
      <c r="C335" s="182" t="e">
        <f t="shared" si="668"/>
        <v>#N/A</v>
      </c>
      <c r="D335" s="182" t="e">
        <f t="shared" ref="D335:E335" si="669">IF($D$1="Team",IF(AD334="","",AD334),"")</f>
        <v>#N/A</v>
      </c>
      <c r="E335" s="182" t="e">
        <f t="shared" si="669"/>
        <v>#N/A</v>
      </c>
      <c r="J335" s="170"/>
      <c r="K335" s="170"/>
      <c r="N335" s="182"/>
      <c r="O335" s="182"/>
      <c r="Q335" s="182"/>
      <c r="R335" s="182"/>
      <c r="T335" s="182"/>
      <c r="U335" s="169" t="s">
        <v>131</v>
      </c>
      <c r="V335" s="1" t="s">
        <v>2179</v>
      </c>
      <c r="W335" s="182">
        <v>0.58499999999999996</v>
      </c>
      <c r="AH335" s="1" t="s">
        <v>2179</v>
      </c>
      <c r="AI335" s="1" t="s">
        <v>1891</v>
      </c>
      <c r="AJ335" s="1">
        <v>0.5</v>
      </c>
    </row>
    <row r="336" spans="1:36" ht="15.75" customHeight="1" x14ac:dyDescent="0.3">
      <c r="A336" s="205" t="e">
        <f t="shared" ref="A336:C336" si="670">IF($B$1="Solo",IF(L335="","",L335),IF($B$1="Duet",IF(O335="","",O335),IF($B$1="Mixed",IF(R335="","",R335),IF(U335="","",U335))))</f>
        <v>#N/A</v>
      </c>
      <c r="B336" s="182" t="e">
        <f t="shared" si="670"/>
        <v>#N/A</v>
      </c>
      <c r="C336" s="182" t="e">
        <f t="shared" si="670"/>
        <v>#N/A</v>
      </c>
      <c r="D336" s="182" t="e">
        <f t="shared" ref="D336:E336" si="671">IF($D$1="Team",IF(AD335="","",AD335),"")</f>
        <v>#N/A</v>
      </c>
      <c r="E336" s="182" t="e">
        <f t="shared" si="671"/>
        <v>#N/A</v>
      </c>
      <c r="J336" s="170"/>
      <c r="K336" s="170"/>
      <c r="N336" s="182"/>
      <c r="O336" s="182"/>
      <c r="Q336" s="182"/>
      <c r="R336" s="182"/>
      <c r="T336" s="182"/>
      <c r="U336" s="169" t="s">
        <v>131</v>
      </c>
      <c r="V336" s="1" t="s">
        <v>2180</v>
      </c>
      <c r="W336" s="182">
        <v>1.2</v>
      </c>
      <c r="AH336" s="1" t="s">
        <v>2180</v>
      </c>
      <c r="AI336" s="1" t="s">
        <v>1893</v>
      </c>
      <c r="AJ336" s="1">
        <v>0.5</v>
      </c>
    </row>
    <row r="337" spans="1:36" ht="15.75" customHeight="1" x14ac:dyDescent="0.3">
      <c r="A337" s="205" t="e">
        <f t="shared" ref="A337:C337" si="672">IF($B$1="Solo",IF(L336="","",L336),IF($B$1="Duet",IF(O336="","",O336),IF($B$1="Mixed",IF(R336="","",R336),IF(U336="","",U336))))</f>
        <v>#N/A</v>
      </c>
      <c r="B337" s="182" t="e">
        <f t="shared" si="672"/>
        <v>#N/A</v>
      </c>
      <c r="C337" s="182" t="e">
        <f t="shared" si="672"/>
        <v>#N/A</v>
      </c>
      <c r="D337" s="182" t="e">
        <f t="shared" ref="D337:E337" si="673">IF($D$1="Team",IF(AD336="","",AD336),"")</f>
        <v>#N/A</v>
      </c>
      <c r="E337" s="182" t="e">
        <f t="shared" si="673"/>
        <v>#N/A</v>
      </c>
      <c r="J337" s="170"/>
      <c r="K337" s="170"/>
      <c r="N337" s="182"/>
      <c r="O337" s="182"/>
      <c r="Q337" s="182"/>
      <c r="R337" s="182"/>
      <c r="T337" s="182"/>
      <c r="U337" s="169" t="s">
        <v>131</v>
      </c>
      <c r="V337" s="1" t="s">
        <v>2181</v>
      </c>
      <c r="W337" s="182">
        <v>1.2149999999999999</v>
      </c>
      <c r="AH337" s="1" t="s">
        <v>2181</v>
      </c>
      <c r="AI337" s="1" t="s">
        <v>1895</v>
      </c>
      <c r="AJ337" s="1">
        <v>0.5</v>
      </c>
    </row>
    <row r="338" spans="1:36" ht="15.75" customHeight="1" x14ac:dyDescent="0.3">
      <c r="A338" s="205" t="e">
        <f t="shared" ref="A338:C338" si="674">IF($B$1="Solo",IF(L337="","",L337),IF($B$1="Duet",IF(O337="","",O337),IF($B$1="Mixed",IF(R337="","",R337),IF(U337="","",U337))))</f>
        <v>#N/A</v>
      </c>
      <c r="B338" s="182" t="e">
        <f t="shared" si="674"/>
        <v>#N/A</v>
      </c>
      <c r="C338" s="182" t="e">
        <f t="shared" si="674"/>
        <v>#N/A</v>
      </c>
      <c r="D338" s="182" t="e">
        <f t="shared" ref="D338:E338" si="675">IF($D$1="Team",IF(AD337="","",AD337),"")</f>
        <v>#N/A</v>
      </c>
      <c r="E338" s="182" t="e">
        <f t="shared" si="675"/>
        <v>#N/A</v>
      </c>
      <c r="J338" s="170"/>
      <c r="K338" s="170"/>
      <c r="N338" s="182"/>
      <c r="O338" s="182"/>
      <c r="Q338" s="182"/>
      <c r="R338" s="182"/>
      <c r="T338" s="182"/>
      <c r="U338" s="169" t="s">
        <v>131</v>
      </c>
      <c r="V338" s="1" t="s">
        <v>2182</v>
      </c>
      <c r="W338" s="182">
        <v>0.70499999999999996</v>
      </c>
      <c r="AH338" s="1" t="s">
        <v>2182</v>
      </c>
      <c r="AI338" s="1" t="s">
        <v>1897</v>
      </c>
      <c r="AJ338" s="1">
        <v>0.5</v>
      </c>
    </row>
    <row r="339" spans="1:36" ht="15.75" customHeight="1" x14ac:dyDescent="0.3">
      <c r="A339" s="205" t="e">
        <f t="shared" ref="A339:C339" si="676">IF($B$1="Solo",IF(L338="","",L338),IF($B$1="Duet",IF(O338="","",O338),IF($B$1="Mixed",IF(R338="","",R338),IF(U338="","",U338))))</f>
        <v>#N/A</v>
      </c>
      <c r="B339" s="182" t="e">
        <f t="shared" si="676"/>
        <v>#N/A</v>
      </c>
      <c r="C339" s="182" t="e">
        <f t="shared" si="676"/>
        <v>#N/A</v>
      </c>
      <c r="D339" s="182" t="e">
        <f t="shared" ref="D339:E339" si="677">IF($D$1="Team",IF(AD338="","",AD338),"")</f>
        <v>#N/A</v>
      </c>
      <c r="E339" s="182" t="e">
        <f t="shared" si="677"/>
        <v>#N/A</v>
      </c>
      <c r="J339" s="170"/>
      <c r="K339" s="170"/>
      <c r="N339" s="182"/>
      <c r="O339" s="182"/>
      <c r="Q339" s="182"/>
      <c r="R339" s="182"/>
      <c r="T339" s="182"/>
      <c r="U339" s="169" t="s">
        <v>131</v>
      </c>
      <c r="V339" s="1" t="s">
        <v>2183</v>
      </c>
      <c r="W339" s="182">
        <v>1.44</v>
      </c>
      <c r="AH339" s="1" t="s">
        <v>2183</v>
      </c>
      <c r="AI339" s="1" t="s">
        <v>1899</v>
      </c>
      <c r="AJ339" s="1">
        <v>0.5</v>
      </c>
    </row>
    <row r="340" spans="1:36" ht="15.75" customHeight="1" x14ac:dyDescent="0.3">
      <c r="A340" s="205" t="e">
        <f t="shared" ref="A340:C340" si="678">IF($B$1="Solo",IF(L339="","",L339),IF($B$1="Duet",IF(O339="","",O339),IF($B$1="Mixed",IF(R339="","",R339),IF(U339="","",U339))))</f>
        <v>#N/A</v>
      </c>
      <c r="B340" s="182" t="e">
        <f t="shared" si="678"/>
        <v>#N/A</v>
      </c>
      <c r="C340" s="182" t="e">
        <f t="shared" si="678"/>
        <v>#N/A</v>
      </c>
      <c r="D340" s="182" t="e">
        <f t="shared" ref="D340:E340" si="679">IF($D$1="Team",IF(AD339="","",AD339),"")</f>
        <v>#N/A</v>
      </c>
      <c r="E340" s="182" t="e">
        <f t="shared" si="679"/>
        <v>#N/A</v>
      </c>
      <c r="J340" s="170"/>
      <c r="K340" s="170"/>
      <c r="N340" s="182"/>
      <c r="O340" s="182"/>
      <c r="Q340" s="182"/>
      <c r="R340" s="182"/>
      <c r="T340" s="182"/>
      <c r="U340" s="169" t="s">
        <v>131</v>
      </c>
      <c r="V340" s="1" t="s">
        <v>2184</v>
      </c>
      <c r="W340" s="182">
        <v>1.4549999999999998</v>
      </c>
      <c r="AH340" s="1" t="s">
        <v>2184</v>
      </c>
      <c r="AI340" s="1" t="s">
        <v>1901</v>
      </c>
      <c r="AJ340" s="1">
        <v>0.5</v>
      </c>
    </row>
    <row r="341" spans="1:36" ht="15.75" customHeight="1" x14ac:dyDescent="0.3">
      <c r="A341" s="205" t="e">
        <f t="shared" ref="A341:C341" si="680">IF($B$1="Solo",IF(L340="","",L340),IF($B$1="Duet",IF(O340="","",O340),IF($B$1="Mixed",IF(R340="","",R340),IF(U340="","",U340))))</f>
        <v>#N/A</v>
      </c>
      <c r="B341" s="182" t="e">
        <f t="shared" si="680"/>
        <v>#N/A</v>
      </c>
      <c r="C341" s="182" t="e">
        <f t="shared" si="680"/>
        <v>#N/A</v>
      </c>
      <c r="D341" s="182" t="e">
        <f t="shared" ref="D341:E341" si="681">IF($D$1="Team",IF(AD340="","",AD340),"")</f>
        <v>#N/A</v>
      </c>
      <c r="E341" s="182" t="e">
        <f t="shared" si="681"/>
        <v>#N/A</v>
      </c>
      <c r="J341" s="170"/>
      <c r="K341" s="170"/>
      <c r="N341" s="182"/>
      <c r="O341" s="182"/>
      <c r="Q341" s="182"/>
      <c r="R341" s="182"/>
      <c r="T341" s="182"/>
      <c r="U341" s="169" t="s">
        <v>131</v>
      </c>
      <c r="V341" s="1" t="s">
        <v>2185</v>
      </c>
      <c r="W341" s="182">
        <v>0.82499999999999996</v>
      </c>
      <c r="AH341" s="1" t="s">
        <v>2185</v>
      </c>
      <c r="AI341" s="1" t="s">
        <v>1903</v>
      </c>
      <c r="AJ341" s="1">
        <v>0.5</v>
      </c>
    </row>
    <row r="342" spans="1:36" ht="15.75" customHeight="1" x14ac:dyDescent="0.3">
      <c r="A342" s="205" t="e">
        <f t="shared" ref="A342:C342" si="682">IF($B$1="Solo",IF(L341="","",L341),IF($B$1="Duet",IF(O341="","",O341),IF($B$1="Mixed",IF(R341="","",R341),IF(U341="","",U341))))</f>
        <v>#N/A</v>
      </c>
      <c r="B342" s="182" t="e">
        <f t="shared" si="682"/>
        <v>#N/A</v>
      </c>
      <c r="C342" s="182" t="e">
        <f t="shared" si="682"/>
        <v>#N/A</v>
      </c>
      <c r="D342" s="182" t="e">
        <f t="shared" ref="D342:E342" si="683">IF($D$1="Team",IF(AD341="","",AD341),"")</f>
        <v>#N/A</v>
      </c>
      <c r="E342" s="182" t="e">
        <f t="shared" si="683"/>
        <v>#N/A</v>
      </c>
      <c r="J342" s="170"/>
      <c r="K342" s="170"/>
      <c r="N342" s="182"/>
      <c r="O342" s="182"/>
      <c r="Q342" s="182"/>
      <c r="R342" s="182"/>
      <c r="T342" s="182"/>
      <c r="U342" s="169" t="s">
        <v>131</v>
      </c>
      <c r="V342" s="1" t="s">
        <v>2186</v>
      </c>
      <c r="W342" s="182">
        <v>0.94499999999999995</v>
      </c>
      <c r="AH342" s="1" t="s">
        <v>2186</v>
      </c>
      <c r="AI342" s="1" t="s">
        <v>1905</v>
      </c>
      <c r="AJ342" s="1">
        <v>0.5</v>
      </c>
    </row>
    <row r="343" spans="1:36" ht="15.75" customHeight="1" x14ac:dyDescent="0.3">
      <c r="A343" s="205" t="e">
        <f t="shared" ref="A343:C343" si="684">IF($B$1="Solo",IF(L342="","",L342),IF($B$1="Duet",IF(O342="","",O342),IF($B$1="Mixed",IF(R342="","",R342),IF(U342="","",U342))))</f>
        <v>#N/A</v>
      </c>
      <c r="B343" s="182" t="e">
        <f t="shared" si="684"/>
        <v>#N/A</v>
      </c>
      <c r="C343" s="182" t="e">
        <f t="shared" si="684"/>
        <v>#N/A</v>
      </c>
      <c r="D343" s="182" t="e">
        <f t="shared" ref="D343:E343" si="685">IF($D$1="Team",IF(AD342="","",AD342),"")</f>
        <v>#N/A</v>
      </c>
      <c r="E343" s="182" t="e">
        <f t="shared" si="685"/>
        <v>#N/A</v>
      </c>
      <c r="J343" s="170"/>
      <c r="K343" s="170"/>
      <c r="N343" s="182"/>
      <c r="O343" s="182"/>
      <c r="Q343" s="182"/>
      <c r="R343" s="182"/>
      <c r="T343" s="182"/>
      <c r="U343" s="169" t="s">
        <v>131</v>
      </c>
      <c r="V343" s="1" t="s">
        <v>2187</v>
      </c>
      <c r="W343" s="182">
        <v>1.0649999999999999</v>
      </c>
      <c r="AH343" s="1" t="s">
        <v>2187</v>
      </c>
      <c r="AI343" s="1" t="s">
        <v>1907</v>
      </c>
      <c r="AJ343" s="1">
        <v>0.5</v>
      </c>
    </row>
    <row r="344" spans="1:36" ht="15.75" customHeight="1" x14ac:dyDescent="0.3">
      <c r="A344" s="205" t="e">
        <f t="shared" ref="A344:C344" si="686">IF($B$1="Solo",IF(L343="","",L343),IF($B$1="Duet",IF(O343="","",O343),IF($B$1="Mixed",IF(R343="","",R343),IF(U343="","",U343))))</f>
        <v>#N/A</v>
      </c>
      <c r="B344" s="182" t="e">
        <f t="shared" si="686"/>
        <v>#N/A</v>
      </c>
      <c r="C344" s="182" t="e">
        <f t="shared" si="686"/>
        <v>#N/A</v>
      </c>
      <c r="D344" s="182" t="e">
        <f t="shared" ref="D344:E344" si="687">IF($D$1="Team",IF(AD343="","",AD343),"")</f>
        <v>#N/A</v>
      </c>
      <c r="E344" s="182" t="e">
        <f t="shared" si="687"/>
        <v>#N/A</v>
      </c>
      <c r="J344" s="170"/>
      <c r="K344" s="170"/>
      <c r="N344" s="182"/>
      <c r="O344" s="182"/>
      <c r="Q344" s="182"/>
      <c r="R344" s="182"/>
      <c r="T344" s="182"/>
      <c r="U344" s="169" t="s">
        <v>131</v>
      </c>
      <c r="V344" s="1" t="s">
        <v>2188</v>
      </c>
      <c r="W344" s="182">
        <v>1.1850000000000001</v>
      </c>
      <c r="AH344" s="1" t="s">
        <v>2188</v>
      </c>
      <c r="AI344" s="1" t="s">
        <v>1909</v>
      </c>
      <c r="AJ344" s="1">
        <v>0.5</v>
      </c>
    </row>
    <row r="345" spans="1:36" ht="15.75" customHeight="1" x14ac:dyDescent="0.3">
      <c r="A345" s="205" t="e">
        <f t="shared" ref="A345:C345" si="688">IF($B$1="Solo",IF(L344="","",L344),IF($B$1="Duet",IF(O344="","",O344),IF($B$1="Mixed",IF(R344="","",R344),IF(U344="","",U344))))</f>
        <v>#N/A</v>
      </c>
      <c r="B345" s="182" t="e">
        <f t="shared" si="688"/>
        <v>#N/A</v>
      </c>
      <c r="C345" s="182" t="e">
        <f t="shared" si="688"/>
        <v>#N/A</v>
      </c>
      <c r="D345" s="182" t="e">
        <f t="shared" ref="D345:E345" si="689">IF($D$1="Team",IF(AD344="","",AD344),"")</f>
        <v>#N/A</v>
      </c>
      <c r="E345" s="182" t="e">
        <f t="shared" si="689"/>
        <v>#N/A</v>
      </c>
      <c r="J345" s="170"/>
      <c r="K345" s="170"/>
      <c r="N345" s="182"/>
      <c r="O345" s="182"/>
      <c r="Q345" s="182"/>
      <c r="R345" s="182"/>
      <c r="T345" s="182"/>
      <c r="U345" s="169" t="s">
        <v>132</v>
      </c>
      <c r="V345" s="1" t="s">
        <v>2189</v>
      </c>
      <c r="W345" s="182">
        <v>0.03</v>
      </c>
      <c r="AH345" s="1" t="s">
        <v>2189</v>
      </c>
      <c r="AI345" s="1" t="s">
        <v>1911</v>
      </c>
      <c r="AJ345" s="1">
        <v>0.5</v>
      </c>
    </row>
    <row r="346" spans="1:36" ht="15.75" customHeight="1" x14ac:dyDescent="0.3">
      <c r="A346" s="205" t="e">
        <f t="shared" ref="A346:C346" si="690">IF($B$1="Solo",IF(L345="","",L345),IF($B$1="Duet",IF(O345="","",O345),IF($B$1="Mixed",IF(R345="","",R345),IF(U345="","",U345))))</f>
        <v>#N/A</v>
      </c>
      <c r="B346" s="182" t="e">
        <f t="shared" si="690"/>
        <v>#N/A</v>
      </c>
      <c r="C346" s="182" t="e">
        <f t="shared" si="690"/>
        <v>#N/A</v>
      </c>
      <c r="D346" s="182" t="e">
        <f t="shared" ref="D346:E346" si="691">IF($D$1="Team",IF(AD345="","",AD345),"")</f>
        <v>#N/A</v>
      </c>
      <c r="E346" s="182" t="e">
        <f t="shared" si="691"/>
        <v>#N/A</v>
      </c>
      <c r="J346" s="170"/>
      <c r="K346" s="170"/>
      <c r="N346" s="182"/>
      <c r="O346" s="182"/>
      <c r="Q346" s="182"/>
      <c r="R346" s="182"/>
      <c r="T346" s="182"/>
      <c r="U346" s="169" t="s">
        <v>132</v>
      </c>
      <c r="V346" s="1" t="s">
        <v>2190</v>
      </c>
      <c r="W346" s="182">
        <v>4.4999999999999998E-2</v>
      </c>
      <c r="AH346" s="1" t="s">
        <v>2190</v>
      </c>
      <c r="AI346" s="1" t="s">
        <v>1913</v>
      </c>
      <c r="AJ346" s="1">
        <v>0.5</v>
      </c>
    </row>
    <row r="347" spans="1:36" ht="15.75" customHeight="1" x14ac:dyDescent="0.3">
      <c r="A347" s="205" t="e">
        <f t="shared" ref="A347:C347" si="692">IF($B$1="Solo",IF(L346="","",L346),IF($B$1="Duet",IF(O346="","",O346),IF($B$1="Mixed",IF(R346="","",R346),IF(U346="","",U346))))</f>
        <v>#N/A</v>
      </c>
      <c r="B347" s="182" t="e">
        <f t="shared" si="692"/>
        <v>#N/A</v>
      </c>
      <c r="C347" s="182" t="e">
        <f t="shared" si="692"/>
        <v>#N/A</v>
      </c>
      <c r="D347" s="182" t="e">
        <f t="shared" ref="D347:E347" si="693">IF($D$1="Team",IF(AD346="","",AD346),"")</f>
        <v>#N/A</v>
      </c>
      <c r="E347" s="182" t="e">
        <f t="shared" si="693"/>
        <v>#N/A</v>
      </c>
      <c r="J347" s="170"/>
      <c r="K347" s="170"/>
      <c r="N347" s="182"/>
      <c r="O347" s="182"/>
      <c r="Q347" s="182"/>
      <c r="R347" s="182"/>
      <c r="T347" s="182"/>
      <c r="U347" s="169" t="s">
        <v>132</v>
      </c>
      <c r="V347" s="1" t="s">
        <v>2191</v>
      </c>
      <c r="W347" s="182">
        <v>0.06</v>
      </c>
      <c r="AH347" s="1" t="s">
        <v>2191</v>
      </c>
      <c r="AI347" s="1" t="s">
        <v>1915</v>
      </c>
      <c r="AJ347" s="1">
        <v>0.5</v>
      </c>
    </row>
    <row r="348" spans="1:36" ht="15.75" customHeight="1" x14ac:dyDescent="0.3">
      <c r="A348" s="205" t="e">
        <f t="shared" ref="A348:C348" si="694">IF($B$1="Solo",IF(L347="","",L347),IF($B$1="Duet",IF(O347="","",O347),IF($B$1="Mixed",IF(R347="","",R347),IF(U347="","",U347))))</f>
        <v>#N/A</v>
      </c>
      <c r="B348" s="182" t="e">
        <f t="shared" si="694"/>
        <v>#N/A</v>
      </c>
      <c r="C348" s="182" t="e">
        <f t="shared" si="694"/>
        <v>#N/A</v>
      </c>
      <c r="D348" s="182" t="e">
        <f t="shared" ref="D348:E348" si="695">IF($D$1="Team",IF(AD347="","",AD347),"")</f>
        <v>#N/A</v>
      </c>
      <c r="E348" s="182" t="e">
        <f t="shared" si="695"/>
        <v>#N/A</v>
      </c>
      <c r="J348" s="170"/>
      <c r="K348" s="170"/>
      <c r="N348" s="182"/>
      <c r="O348" s="182"/>
      <c r="Q348" s="182"/>
      <c r="R348" s="182"/>
      <c r="T348" s="182"/>
      <c r="U348" s="169" t="s">
        <v>132</v>
      </c>
      <c r="V348" s="1" t="s">
        <v>2192</v>
      </c>
      <c r="W348" s="182">
        <v>7.4999999999999997E-2</v>
      </c>
      <c r="AH348" s="1" t="s">
        <v>2192</v>
      </c>
      <c r="AI348" s="1" t="s">
        <v>1917</v>
      </c>
      <c r="AJ348" s="1">
        <v>0.5</v>
      </c>
    </row>
    <row r="349" spans="1:36" ht="15.75" customHeight="1" x14ac:dyDescent="0.3">
      <c r="A349" s="205" t="e">
        <f t="shared" ref="A349:C349" si="696">IF($B$1="Solo",IF(L348="","",L348),IF($B$1="Duet",IF(O348="","",O348),IF($B$1="Mixed",IF(R348="","",R348),IF(U348="","",U348))))</f>
        <v>#N/A</v>
      </c>
      <c r="B349" s="182" t="e">
        <f t="shared" si="696"/>
        <v>#N/A</v>
      </c>
      <c r="C349" s="182" t="e">
        <f t="shared" si="696"/>
        <v>#N/A</v>
      </c>
      <c r="D349" s="182" t="e">
        <f t="shared" ref="D349:E349" si="697">IF($D$1="Team",IF(AD348="","",AD348),"")</f>
        <v>#N/A</v>
      </c>
      <c r="E349" s="182" t="e">
        <f t="shared" si="697"/>
        <v>#N/A</v>
      </c>
      <c r="J349" s="170"/>
      <c r="K349" s="170"/>
      <c r="N349" s="182"/>
      <c r="O349" s="182"/>
      <c r="Q349" s="182"/>
      <c r="R349" s="182"/>
      <c r="T349" s="182"/>
      <c r="U349" s="169" t="s">
        <v>132</v>
      </c>
      <c r="V349" s="1" t="s">
        <v>2193</v>
      </c>
      <c r="W349" s="182">
        <v>7.4999999999999997E-2</v>
      </c>
      <c r="AH349" s="1" t="s">
        <v>2193</v>
      </c>
      <c r="AI349" s="1" t="s">
        <v>1919</v>
      </c>
      <c r="AJ349" s="1">
        <v>0.5</v>
      </c>
    </row>
    <row r="350" spans="1:36" ht="15.75" customHeight="1" x14ac:dyDescent="0.3">
      <c r="A350" s="205" t="e">
        <f t="shared" ref="A350:C350" si="698">IF($B$1="Solo",IF(L349="","",L349),IF($B$1="Duet",IF(O349="","",O349),IF($B$1="Mixed",IF(R349="","",R349),IF(U349="","",U349))))</f>
        <v>#N/A</v>
      </c>
      <c r="B350" s="182" t="e">
        <f t="shared" si="698"/>
        <v>#N/A</v>
      </c>
      <c r="C350" s="182" t="e">
        <f t="shared" si="698"/>
        <v>#N/A</v>
      </c>
      <c r="D350" s="182" t="e">
        <f t="shared" ref="D350:E350" si="699">IF($D$1="Team",IF(AD349="","",AD349),"")</f>
        <v>#N/A</v>
      </c>
      <c r="E350" s="182" t="e">
        <f t="shared" si="699"/>
        <v>#N/A</v>
      </c>
      <c r="J350" s="170"/>
      <c r="K350" s="170"/>
      <c r="N350" s="182"/>
      <c r="O350" s="182"/>
      <c r="Q350" s="182"/>
      <c r="R350" s="182"/>
      <c r="T350" s="182"/>
      <c r="U350" s="169" t="s">
        <v>132</v>
      </c>
      <c r="V350" s="1" t="s">
        <v>2194</v>
      </c>
      <c r="W350" s="182">
        <v>0.06</v>
      </c>
      <c r="AH350" s="1" t="s">
        <v>2194</v>
      </c>
      <c r="AI350" s="1" t="s">
        <v>1363</v>
      </c>
      <c r="AJ350" s="1">
        <v>0.5</v>
      </c>
    </row>
    <row r="351" spans="1:36" ht="15.75" customHeight="1" x14ac:dyDescent="0.3">
      <c r="A351" s="205" t="e">
        <f t="shared" ref="A351:C351" si="700">IF($B$1="Solo",IF(L350="","",L350),IF($B$1="Duet",IF(O350="","",O350),IF($B$1="Mixed",IF(R350="","",R350),IF(U350="","",U350))))</f>
        <v>#N/A</v>
      </c>
      <c r="B351" s="182" t="e">
        <f t="shared" si="700"/>
        <v>#N/A</v>
      </c>
      <c r="C351" s="182" t="e">
        <f t="shared" si="700"/>
        <v>#N/A</v>
      </c>
      <c r="D351" s="182" t="e">
        <f t="shared" ref="D351:E351" si="701">IF($D$1="Team",IF(AD350="","",AD350),"")</f>
        <v>#N/A</v>
      </c>
      <c r="E351" s="182" t="e">
        <f t="shared" si="701"/>
        <v>#N/A</v>
      </c>
      <c r="J351" s="170"/>
      <c r="K351" s="170"/>
      <c r="N351" s="182"/>
      <c r="O351" s="182"/>
      <c r="Q351" s="182"/>
      <c r="R351" s="182"/>
      <c r="T351" s="182"/>
      <c r="U351" s="169" t="s">
        <v>132</v>
      </c>
      <c r="V351" s="1" t="s">
        <v>2195</v>
      </c>
      <c r="W351" s="182">
        <v>0.105</v>
      </c>
      <c r="AH351" s="1" t="s">
        <v>2195</v>
      </c>
      <c r="AI351" s="1" t="s">
        <v>1922</v>
      </c>
      <c r="AJ351" s="1">
        <v>0.5</v>
      </c>
    </row>
    <row r="352" spans="1:36" ht="15.75" customHeight="1" x14ac:dyDescent="0.3">
      <c r="A352" s="205" t="e">
        <f t="shared" ref="A352:C352" si="702">IF($B$1="Solo",IF(L351="","",L351),IF($B$1="Duet",IF(O351="","",O351),IF($B$1="Mixed",IF(R351="","",R351),IF(U351="","",U351))))</f>
        <v>#N/A</v>
      </c>
      <c r="B352" s="182" t="e">
        <f t="shared" si="702"/>
        <v>#N/A</v>
      </c>
      <c r="C352" s="182" t="e">
        <f t="shared" si="702"/>
        <v>#N/A</v>
      </c>
      <c r="D352" s="182" t="e">
        <f t="shared" ref="D352:E352" si="703">IF($D$1="Team",IF(AD351="","",AD351),"")</f>
        <v>#N/A</v>
      </c>
      <c r="E352" s="182" t="e">
        <f t="shared" si="703"/>
        <v>#N/A</v>
      </c>
      <c r="J352" s="170"/>
      <c r="K352" s="170"/>
      <c r="N352" s="182"/>
      <c r="O352" s="182"/>
      <c r="Q352" s="182"/>
      <c r="R352" s="182"/>
      <c r="T352" s="182"/>
      <c r="U352" s="169" t="s">
        <v>132</v>
      </c>
      <c r="V352" s="1" t="s">
        <v>2196</v>
      </c>
      <c r="W352" s="182">
        <v>0.13500000000000001</v>
      </c>
      <c r="AH352" s="1" t="s">
        <v>2196</v>
      </c>
      <c r="AI352" s="1" t="s">
        <v>1924</v>
      </c>
      <c r="AJ352" s="1">
        <v>0.5</v>
      </c>
    </row>
    <row r="353" spans="1:36" ht="15.75" customHeight="1" x14ac:dyDescent="0.3">
      <c r="A353" s="205" t="e">
        <f t="shared" ref="A353:C353" si="704">IF($B$1="Solo",IF(L352="","",L352),IF($B$1="Duet",IF(O352="","",O352),IF($B$1="Mixed",IF(R352="","",R352),IF(U352="","",U352))))</f>
        <v>#N/A</v>
      </c>
      <c r="B353" s="182" t="e">
        <f t="shared" si="704"/>
        <v>#N/A</v>
      </c>
      <c r="C353" s="182" t="e">
        <f t="shared" si="704"/>
        <v>#N/A</v>
      </c>
      <c r="D353" s="182" t="e">
        <f t="shared" ref="D353:E353" si="705">IF($D$1="Team",IF(AD352="","",AD352),"")</f>
        <v>#N/A</v>
      </c>
      <c r="E353" s="182" t="e">
        <f t="shared" si="705"/>
        <v>#N/A</v>
      </c>
      <c r="J353" s="170"/>
      <c r="K353" s="170"/>
      <c r="N353" s="182"/>
      <c r="O353" s="182"/>
      <c r="Q353" s="182"/>
      <c r="R353" s="182"/>
      <c r="T353" s="182"/>
      <c r="U353" s="169" t="s">
        <v>132</v>
      </c>
      <c r="V353" s="1" t="s">
        <v>2197</v>
      </c>
      <c r="W353" s="182">
        <v>0.15</v>
      </c>
      <c r="AH353" s="1" t="s">
        <v>2197</v>
      </c>
      <c r="AI353" s="1" t="s">
        <v>1926</v>
      </c>
      <c r="AJ353" s="1">
        <v>0.5</v>
      </c>
    </row>
    <row r="354" spans="1:36" ht="15.75" customHeight="1" x14ac:dyDescent="0.3">
      <c r="A354" s="205" t="e">
        <f t="shared" ref="A354:C354" si="706">IF($B$1="Solo",IF(L353="","",L353),IF($B$1="Duet",IF(O353="","",O353),IF($B$1="Mixed",IF(R353="","",R353),IF(U353="","",U353))))</f>
        <v>#N/A</v>
      </c>
      <c r="B354" s="182" t="e">
        <f t="shared" si="706"/>
        <v>#N/A</v>
      </c>
      <c r="C354" s="182" t="e">
        <f t="shared" si="706"/>
        <v>#N/A</v>
      </c>
      <c r="D354" s="182" t="e">
        <f t="shared" ref="D354:E354" si="707">IF($D$1="Team",IF(AD353="","",AD353),"")</f>
        <v>#N/A</v>
      </c>
      <c r="E354" s="182" t="e">
        <f t="shared" si="707"/>
        <v>#N/A</v>
      </c>
      <c r="J354" s="170"/>
      <c r="K354" s="170"/>
      <c r="N354" s="182"/>
      <c r="O354" s="182"/>
      <c r="Q354" s="182"/>
      <c r="R354" s="182"/>
      <c r="T354" s="182"/>
      <c r="U354" s="169" t="s">
        <v>132</v>
      </c>
      <c r="V354" s="1" t="s">
        <v>2198</v>
      </c>
      <c r="W354" s="182">
        <v>0.16500000000000001</v>
      </c>
      <c r="AH354" s="1" t="s">
        <v>2198</v>
      </c>
      <c r="AI354" s="1" t="s">
        <v>1928</v>
      </c>
      <c r="AJ354" s="1">
        <v>0.5</v>
      </c>
    </row>
    <row r="355" spans="1:36" ht="15.75" customHeight="1" x14ac:dyDescent="0.3">
      <c r="A355" s="205" t="e">
        <f t="shared" ref="A355:C355" si="708">IF($B$1="Solo",IF(L354="","",L354),IF($B$1="Duet",IF(O354="","",O354),IF($B$1="Mixed",IF(R354="","",R354),IF(U354="","",U354))))</f>
        <v>#N/A</v>
      </c>
      <c r="B355" s="182" t="e">
        <f t="shared" si="708"/>
        <v>#N/A</v>
      </c>
      <c r="C355" s="182" t="e">
        <f t="shared" si="708"/>
        <v>#N/A</v>
      </c>
      <c r="D355" s="182" t="e">
        <f t="shared" ref="D355:E355" si="709">IF($D$1="Team",IF(AD354="","",AD354),"")</f>
        <v>#N/A</v>
      </c>
      <c r="E355" s="182" t="e">
        <f t="shared" si="709"/>
        <v>#N/A</v>
      </c>
      <c r="J355" s="170"/>
      <c r="K355" s="170"/>
      <c r="N355" s="182"/>
      <c r="O355" s="182"/>
      <c r="Q355" s="182"/>
      <c r="R355" s="182"/>
      <c r="T355" s="182"/>
      <c r="U355" s="169" t="s">
        <v>132</v>
      </c>
      <c r="V355" s="1" t="s">
        <v>2199</v>
      </c>
      <c r="W355" s="182">
        <v>0.16500000000000001</v>
      </c>
      <c r="AH355" s="1" t="s">
        <v>2199</v>
      </c>
      <c r="AI355" s="1" t="s">
        <v>1930</v>
      </c>
      <c r="AJ355" s="1">
        <v>0.5</v>
      </c>
    </row>
    <row r="356" spans="1:36" ht="15.75" customHeight="1" x14ac:dyDescent="0.3">
      <c r="A356" s="205" t="e">
        <f t="shared" ref="A356:C356" si="710">IF($B$1="Solo",IF(L355="","",L355),IF($B$1="Duet",IF(O355="","",O355),IF($B$1="Mixed",IF(R355="","",R355),IF(U355="","",U355))))</f>
        <v>#N/A</v>
      </c>
      <c r="B356" s="182" t="e">
        <f t="shared" si="710"/>
        <v>#N/A</v>
      </c>
      <c r="C356" s="182" t="e">
        <f t="shared" si="710"/>
        <v>#N/A</v>
      </c>
      <c r="D356" s="182" t="e">
        <f t="shared" ref="D356:E356" si="711">IF($D$1="Team",IF(AD355="","",AD355),"")</f>
        <v>#N/A</v>
      </c>
      <c r="E356" s="182" t="e">
        <f t="shared" si="711"/>
        <v>#N/A</v>
      </c>
      <c r="J356" s="170"/>
      <c r="K356" s="170"/>
      <c r="N356" s="182"/>
      <c r="O356" s="182"/>
      <c r="Q356" s="182"/>
      <c r="R356" s="182"/>
      <c r="T356" s="182"/>
      <c r="U356" s="169" t="s">
        <v>132</v>
      </c>
      <c r="V356" s="1" t="s">
        <v>2200</v>
      </c>
      <c r="W356" s="182">
        <v>0.16500000000000001</v>
      </c>
      <c r="AH356" s="1" t="s">
        <v>2200</v>
      </c>
      <c r="AI356" s="1" t="s">
        <v>1932</v>
      </c>
      <c r="AJ356" s="1">
        <v>0.5</v>
      </c>
    </row>
    <row r="357" spans="1:36" ht="15.75" customHeight="1" x14ac:dyDescent="0.3">
      <c r="A357" s="205" t="e">
        <f t="shared" ref="A357:C357" si="712">IF($B$1="Solo",IF(L356="","",L356),IF($B$1="Duet",IF(O356="","",O356),IF($B$1="Mixed",IF(R356="","",R356),IF(U356="","",U356))))</f>
        <v>#N/A</v>
      </c>
      <c r="B357" s="182" t="e">
        <f t="shared" si="712"/>
        <v>#N/A</v>
      </c>
      <c r="C357" s="182" t="e">
        <f t="shared" si="712"/>
        <v>#N/A</v>
      </c>
      <c r="D357" s="182" t="e">
        <f t="shared" ref="D357:E357" si="713">IF($D$1="Team",IF(AD356="","",AD356),"")</f>
        <v>#N/A</v>
      </c>
      <c r="E357" s="182" t="e">
        <f t="shared" si="713"/>
        <v>#N/A</v>
      </c>
      <c r="J357" s="170"/>
      <c r="K357" s="170"/>
      <c r="N357" s="182"/>
      <c r="O357" s="182"/>
      <c r="Q357" s="182"/>
      <c r="R357" s="182"/>
      <c r="T357" s="182"/>
      <c r="U357" s="169" t="s">
        <v>132</v>
      </c>
      <c r="V357" s="1" t="s">
        <v>2201</v>
      </c>
      <c r="W357" s="182">
        <v>0.12</v>
      </c>
      <c r="AH357" s="1" t="s">
        <v>2201</v>
      </c>
      <c r="AI357" s="1" t="s">
        <v>1934</v>
      </c>
      <c r="AJ357" s="1">
        <v>0.5</v>
      </c>
    </row>
    <row r="358" spans="1:36" ht="15.75" customHeight="1" x14ac:dyDescent="0.3">
      <c r="A358" s="205" t="e">
        <f t="shared" ref="A358:C358" si="714">IF($B$1="Solo",IF(L357="","",L357),IF($B$1="Duet",IF(O357="","",O357),IF($B$1="Mixed",IF(R357="","",R357),IF(U357="","",U357))))</f>
        <v>#N/A</v>
      </c>
      <c r="B358" s="182" t="e">
        <f t="shared" si="714"/>
        <v>#N/A</v>
      </c>
      <c r="C358" s="182" t="e">
        <f t="shared" si="714"/>
        <v>#N/A</v>
      </c>
      <c r="D358" s="182" t="e">
        <f t="shared" ref="D358:E358" si="715">IF($D$1="Team",IF(AD357="","",AD357),"")</f>
        <v>#N/A</v>
      </c>
      <c r="E358" s="182" t="e">
        <f t="shared" si="715"/>
        <v>#N/A</v>
      </c>
      <c r="J358" s="170"/>
      <c r="K358" s="170"/>
      <c r="N358" s="182"/>
      <c r="O358" s="182"/>
      <c r="Q358" s="182"/>
      <c r="R358" s="182"/>
      <c r="T358" s="182"/>
      <c r="U358" s="169" t="s">
        <v>132</v>
      </c>
      <c r="V358" s="1" t="s">
        <v>2202</v>
      </c>
      <c r="W358" s="182">
        <v>0.22499999999999998</v>
      </c>
      <c r="AH358" s="1" t="s">
        <v>2202</v>
      </c>
      <c r="AI358" s="1" t="s">
        <v>1936</v>
      </c>
      <c r="AJ358" s="1">
        <v>0.5</v>
      </c>
    </row>
    <row r="359" spans="1:36" ht="15.75" customHeight="1" x14ac:dyDescent="0.3">
      <c r="A359" s="205" t="e">
        <f t="shared" ref="A359:C359" si="716">IF($B$1="Solo",IF(L358="","",L358),IF($B$1="Duet",IF(O358="","",O358),IF($B$1="Mixed",IF(R358="","",R358),IF(U358="","",U358))))</f>
        <v>#N/A</v>
      </c>
      <c r="B359" s="182" t="e">
        <f t="shared" si="716"/>
        <v>#N/A</v>
      </c>
      <c r="C359" s="182" t="e">
        <f t="shared" si="716"/>
        <v>#N/A</v>
      </c>
      <c r="D359" s="182" t="e">
        <f t="shared" ref="D359:E359" si="717">IF($D$1="Team",IF(AD358="","",AD358),"")</f>
        <v>#N/A</v>
      </c>
      <c r="E359" s="182" t="e">
        <f t="shared" si="717"/>
        <v>#N/A</v>
      </c>
      <c r="J359" s="170"/>
      <c r="K359" s="170"/>
      <c r="N359" s="182"/>
      <c r="O359" s="182"/>
      <c r="Q359" s="182"/>
      <c r="R359" s="182"/>
      <c r="T359" s="182"/>
      <c r="U359" s="169" t="s">
        <v>132</v>
      </c>
      <c r="V359" s="1" t="s">
        <v>2203</v>
      </c>
      <c r="W359" s="182">
        <v>0.28499999999999998</v>
      </c>
      <c r="AH359" s="1" t="s">
        <v>2203</v>
      </c>
      <c r="AI359" s="1" t="s">
        <v>1938</v>
      </c>
      <c r="AJ359" s="1">
        <v>0.5</v>
      </c>
    </row>
    <row r="360" spans="1:36" ht="15.75" customHeight="1" x14ac:dyDescent="0.3">
      <c r="A360" s="205" t="e">
        <f t="shared" ref="A360:C360" si="718">IF($B$1="Solo",IF(L359="","",L359),IF($B$1="Duet",IF(O359="","",O359),IF($B$1="Mixed",IF(R359="","",R359),IF(U359="","",U359))))</f>
        <v>#N/A</v>
      </c>
      <c r="B360" s="182" t="e">
        <f t="shared" si="718"/>
        <v>#N/A</v>
      </c>
      <c r="C360" s="182" t="e">
        <f t="shared" si="718"/>
        <v>#N/A</v>
      </c>
      <c r="D360" s="182" t="e">
        <f t="shared" ref="D360:E360" si="719">IF($D$1="Team",IF(AD359="","",AD359),"")</f>
        <v>#N/A</v>
      </c>
      <c r="E360" s="182" t="e">
        <f t="shared" si="719"/>
        <v>#N/A</v>
      </c>
      <c r="J360" s="170"/>
      <c r="K360" s="170"/>
      <c r="N360" s="182"/>
      <c r="O360" s="182"/>
      <c r="Q360" s="182"/>
      <c r="R360" s="182"/>
      <c r="T360" s="182"/>
      <c r="U360" s="169" t="s">
        <v>132</v>
      </c>
      <c r="V360" s="1" t="s">
        <v>2204</v>
      </c>
      <c r="W360" s="182">
        <v>0.315</v>
      </c>
      <c r="AH360" s="1" t="s">
        <v>2204</v>
      </c>
      <c r="AI360" s="1" t="s">
        <v>1940</v>
      </c>
      <c r="AJ360" s="1">
        <v>0.5</v>
      </c>
    </row>
    <row r="361" spans="1:36" ht="15.75" customHeight="1" x14ac:dyDescent="0.3">
      <c r="A361" s="205" t="e">
        <f t="shared" ref="A361:C361" si="720">IF($B$1="Solo",IF(L360="","",L360),IF($B$1="Duet",IF(O360="","",O360),IF($B$1="Mixed",IF(R360="","",R360),IF(U360="","",U360))))</f>
        <v>#N/A</v>
      </c>
      <c r="B361" s="182" t="e">
        <f t="shared" si="720"/>
        <v>#N/A</v>
      </c>
      <c r="C361" s="182" t="e">
        <f t="shared" si="720"/>
        <v>#N/A</v>
      </c>
      <c r="D361" s="182" t="e">
        <f t="shared" ref="D361:E361" si="721">IF($D$1="Team",IF(AD360="","",AD360),"")</f>
        <v>#N/A</v>
      </c>
      <c r="E361" s="182" t="e">
        <f t="shared" si="721"/>
        <v>#N/A</v>
      </c>
      <c r="J361" s="170"/>
      <c r="K361" s="170"/>
      <c r="N361" s="182"/>
      <c r="O361" s="182"/>
      <c r="Q361" s="182"/>
      <c r="R361" s="182"/>
      <c r="T361" s="182"/>
      <c r="U361" s="169" t="s">
        <v>132</v>
      </c>
      <c r="V361" s="1" t="s">
        <v>2205</v>
      </c>
      <c r="W361" s="182">
        <v>0.34499999999999997</v>
      </c>
      <c r="AH361" s="1" t="s">
        <v>2205</v>
      </c>
      <c r="AI361" s="1" t="s">
        <v>1942</v>
      </c>
      <c r="AJ361" s="1">
        <v>0.5</v>
      </c>
    </row>
    <row r="362" spans="1:36" ht="15.75" customHeight="1" x14ac:dyDescent="0.3">
      <c r="A362" s="205" t="e">
        <f t="shared" ref="A362:C362" si="722">IF($B$1="Solo",IF(L361="","",L361),IF($B$1="Duet",IF(O361="","",O361),IF($B$1="Mixed",IF(R361="","",R361),IF(U361="","",U361))))</f>
        <v>#N/A</v>
      </c>
      <c r="B362" s="182" t="e">
        <f t="shared" si="722"/>
        <v>#N/A</v>
      </c>
      <c r="C362" s="182" t="e">
        <f t="shared" si="722"/>
        <v>#N/A</v>
      </c>
      <c r="D362" s="182" t="e">
        <f t="shared" ref="D362:E362" si="723">IF($D$1="Team",IF(AD361="","",AD361),"")</f>
        <v>#N/A</v>
      </c>
      <c r="E362" s="182" t="e">
        <f t="shared" si="723"/>
        <v>#N/A</v>
      </c>
      <c r="J362" s="170"/>
      <c r="K362" s="170"/>
      <c r="N362" s="182"/>
      <c r="O362" s="182"/>
      <c r="Q362" s="182"/>
      <c r="R362" s="182"/>
      <c r="T362" s="182"/>
      <c r="U362" s="169" t="s">
        <v>132</v>
      </c>
      <c r="V362" s="1" t="s">
        <v>2206</v>
      </c>
      <c r="W362" s="182">
        <v>0.18</v>
      </c>
      <c r="AH362" s="1" t="s">
        <v>2206</v>
      </c>
      <c r="AI362" s="1" t="s">
        <v>1944</v>
      </c>
      <c r="AJ362" s="1">
        <v>0.5</v>
      </c>
    </row>
    <row r="363" spans="1:36" ht="15.75" customHeight="1" x14ac:dyDescent="0.3">
      <c r="A363" s="205" t="e">
        <f t="shared" ref="A363:C363" si="724">IF($B$1="Solo",IF(L362="","",L362),IF($B$1="Duet",IF(O362="","",O362),IF($B$1="Mixed",IF(R362="","",R362),IF(U362="","",U362))))</f>
        <v>#N/A</v>
      </c>
      <c r="B363" s="182" t="e">
        <f t="shared" si="724"/>
        <v>#N/A</v>
      </c>
      <c r="C363" s="182" t="e">
        <f t="shared" si="724"/>
        <v>#N/A</v>
      </c>
      <c r="D363" s="182" t="e">
        <f t="shared" ref="D363:E363" si="725">IF($D$1="Team",IF(AD362="","",AD362),"")</f>
        <v>#N/A</v>
      </c>
      <c r="E363" s="182" t="e">
        <f t="shared" si="725"/>
        <v>#N/A</v>
      </c>
      <c r="J363" s="170"/>
      <c r="K363" s="170"/>
      <c r="N363" s="182"/>
      <c r="O363" s="182"/>
      <c r="Q363" s="182"/>
      <c r="R363" s="182"/>
      <c r="T363" s="182"/>
      <c r="U363" s="169" t="s">
        <v>132</v>
      </c>
      <c r="V363" s="1" t="s">
        <v>2207</v>
      </c>
      <c r="W363" s="182">
        <v>0.34499999999999997</v>
      </c>
      <c r="AH363" s="1" t="s">
        <v>2207</v>
      </c>
      <c r="AI363" s="1" t="s">
        <v>1946</v>
      </c>
      <c r="AJ363" s="1">
        <v>0.5</v>
      </c>
    </row>
    <row r="364" spans="1:36" ht="15.75" customHeight="1" x14ac:dyDescent="0.3">
      <c r="A364" s="205" t="e">
        <f t="shared" ref="A364:C364" si="726">IF($B$1="Solo",IF(L363="","",L363),IF($B$1="Duet",IF(O363="","",O363),IF($B$1="Mixed",IF(R363="","",R363),IF(U363="","",U363))))</f>
        <v>#N/A</v>
      </c>
      <c r="B364" s="182" t="e">
        <f t="shared" si="726"/>
        <v>#N/A</v>
      </c>
      <c r="C364" s="182" t="e">
        <f t="shared" si="726"/>
        <v>#N/A</v>
      </c>
      <c r="D364" s="182" t="e">
        <f t="shared" ref="D364:E364" si="727">IF($D$1="Team",IF(AD363="","",AD363),"")</f>
        <v>#N/A</v>
      </c>
      <c r="E364" s="182" t="e">
        <f t="shared" si="727"/>
        <v>#N/A</v>
      </c>
      <c r="J364" s="170"/>
      <c r="K364" s="170"/>
      <c r="N364" s="182"/>
      <c r="O364" s="182"/>
      <c r="Q364" s="182"/>
      <c r="R364" s="182"/>
      <c r="T364" s="182"/>
      <c r="U364" s="169" t="s">
        <v>132</v>
      </c>
      <c r="V364" s="1" t="s">
        <v>2208</v>
      </c>
      <c r="W364" s="182">
        <v>0.435</v>
      </c>
      <c r="AH364" s="1" t="s">
        <v>2208</v>
      </c>
      <c r="AI364" s="1" t="s">
        <v>1948</v>
      </c>
      <c r="AJ364" s="1">
        <v>0.5</v>
      </c>
    </row>
    <row r="365" spans="1:36" ht="15.75" customHeight="1" x14ac:dyDescent="0.3">
      <c r="A365" s="205" t="e">
        <f t="shared" ref="A365:C365" si="728">IF($B$1="Solo",IF(L364="","",L364),IF($B$1="Duet",IF(O364="","",O364),IF($B$1="Mixed",IF(R364="","",R364),IF(U364="","",U364))))</f>
        <v>#N/A</v>
      </c>
      <c r="B365" s="182" t="e">
        <f t="shared" si="728"/>
        <v>#N/A</v>
      </c>
      <c r="C365" s="182" t="e">
        <f t="shared" si="728"/>
        <v>#N/A</v>
      </c>
      <c r="D365" s="182" t="e">
        <f t="shared" ref="D365:E365" si="729">IF($D$1="Team",IF(AD364="","",AD364),"")</f>
        <v>#N/A</v>
      </c>
      <c r="E365" s="182" t="e">
        <f t="shared" si="729"/>
        <v>#N/A</v>
      </c>
      <c r="J365" s="170"/>
      <c r="K365" s="170"/>
      <c r="N365" s="182"/>
      <c r="O365" s="182"/>
      <c r="Q365" s="182"/>
      <c r="R365" s="182"/>
      <c r="T365" s="182"/>
      <c r="U365" s="169" t="s">
        <v>132</v>
      </c>
      <c r="V365" s="1" t="s">
        <v>2209</v>
      </c>
      <c r="W365" s="182">
        <v>0.52500000000000002</v>
      </c>
      <c r="AH365" s="1" t="s">
        <v>2209</v>
      </c>
      <c r="AI365" s="1" t="s">
        <v>1950</v>
      </c>
      <c r="AJ365" s="1">
        <v>0.5</v>
      </c>
    </row>
    <row r="366" spans="1:36" ht="15.75" customHeight="1" x14ac:dyDescent="0.3">
      <c r="A366" s="205" t="e">
        <f t="shared" ref="A366:C366" si="730">IF($B$1="Solo",IF(L365="","",L365),IF($B$1="Duet",IF(O365="","",O365),IF($B$1="Mixed",IF(R365="","",R365),IF(U365="","",U365))))</f>
        <v>#N/A</v>
      </c>
      <c r="B366" s="182" t="e">
        <f t="shared" si="730"/>
        <v>#N/A</v>
      </c>
      <c r="C366" s="182" t="e">
        <f t="shared" si="730"/>
        <v>#N/A</v>
      </c>
      <c r="D366" s="182" t="e">
        <f t="shared" ref="D366:E366" si="731">IF($D$1="Team",IF(AD365="","",AD365),"")</f>
        <v>#N/A</v>
      </c>
      <c r="E366" s="182" t="e">
        <f t="shared" si="731"/>
        <v>#N/A</v>
      </c>
      <c r="J366" s="170"/>
      <c r="K366" s="170"/>
      <c r="N366" s="182"/>
      <c r="O366" s="182"/>
      <c r="Q366" s="182"/>
      <c r="R366" s="182"/>
      <c r="T366" s="182"/>
      <c r="U366" s="169" t="s">
        <v>132</v>
      </c>
      <c r="V366" s="1" t="s">
        <v>2210</v>
      </c>
      <c r="W366" s="182">
        <v>0.24</v>
      </c>
      <c r="AH366" s="1" t="s">
        <v>2210</v>
      </c>
      <c r="AI366" s="1" t="s">
        <v>1952</v>
      </c>
      <c r="AJ366" s="1">
        <v>0.5</v>
      </c>
    </row>
    <row r="367" spans="1:36" ht="15.75" customHeight="1" x14ac:dyDescent="0.3">
      <c r="A367" s="205" t="e">
        <f t="shared" ref="A367:C367" si="732">IF($B$1="Solo",IF(L366="","",L366),IF($B$1="Duet",IF(O366="","",O366),IF($B$1="Mixed",IF(R366="","",R366),IF(U366="","",U366))))</f>
        <v>#N/A</v>
      </c>
      <c r="B367" s="182" t="e">
        <f t="shared" si="732"/>
        <v>#N/A</v>
      </c>
      <c r="C367" s="182" t="e">
        <f t="shared" si="732"/>
        <v>#N/A</v>
      </c>
      <c r="D367" s="182" t="e">
        <f t="shared" ref="D367:E367" si="733">IF($D$1="Team",IF(AD366="","",AD366),"")</f>
        <v>#N/A</v>
      </c>
      <c r="E367" s="182" t="e">
        <f t="shared" si="733"/>
        <v>#N/A</v>
      </c>
      <c r="J367" s="170"/>
      <c r="K367" s="170"/>
      <c r="N367" s="182"/>
      <c r="O367" s="182"/>
      <c r="Q367" s="182"/>
      <c r="R367" s="182"/>
      <c r="T367" s="182"/>
      <c r="U367" s="169" t="s">
        <v>132</v>
      </c>
      <c r="V367" s="1" t="s">
        <v>2211</v>
      </c>
      <c r="W367" s="182">
        <v>0.46499999999999997</v>
      </c>
      <c r="AH367" s="1" t="s">
        <v>2211</v>
      </c>
      <c r="AI367" s="1" t="s">
        <v>1954</v>
      </c>
      <c r="AJ367" s="1">
        <v>0.5</v>
      </c>
    </row>
    <row r="368" spans="1:36" ht="15.75" customHeight="1" x14ac:dyDescent="0.3">
      <c r="A368" s="205" t="e">
        <f t="shared" ref="A368:C368" si="734">IF($B$1="Solo",IF(L367="","",L367),IF($B$1="Duet",IF(O367="","",O367),IF($B$1="Mixed",IF(R367="","",R367),IF(U367="","",U367))))</f>
        <v>#N/A</v>
      </c>
      <c r="B368" s="182" t="e">
        <f t="shared" si="734"/>
        <v>#N/A</v>
      </c>
      <c r="C368" s="182" t="e">
        <f t="shared" si="734"/>
        <v>#N/A</v>
      </c>
      <c r="D368" s="182" t="e">
        <f t="shared" ref="D368:E368" si="735">IF($D$1="Team",IF(AD367="","",AD367),"")</f>
        <v>#N/A</v>
      </c>
      <c r="E368" s="182" t="e">
        <f t="shared" si="735"/>
        <v>#N/A</v>
      </c>
      <c r="J368" s="170"/>
      <c r="K368" s="170"/>
      <c r="N368" s="182"/>
      <c r="O368" s="182"/>
      <c r="Q368" s="182"/>
      <c r="R368" s="182"/>
      <c r="T368" s="182"/>
      <c r="U368" s="169" t="s">
        <v>132</v>
      </c>
      <c r="V368" s="1" t="s">
        <v>2212</v>
      </c>
      <c r="W368" s="182">
        <v>0.58499999999999996</v>
      </c>
      <c r="AH368" s="1" t="s">
        <v>2212</v>
      </c>
      <c r="AI368" s="1" t="s">
        <v>1956</v>
      </c>
      <c r="AJ368" s="1">
        <v>0.5</v>
      </c>
    </row>
    <row r="369" spans="1:36" ht="15.75" customHeight="1" x14ac:dyDescent="0.3">
      <c r="A369" s="205" t="e">
        <f t="shared" ref="A369:C369" si="736">IF($B$1="Solo",IF(L368="","",L368),IF($B$1="Duet",IF(O368="","",O368),IF($B$1="Mixed",IF(R368="","",R368),IF(U368="","",U368))))</f>
        <v>#N/A</v>
      </c>
      <c r="B369" s="182" t="e">
        <f t="shared" si="736"/>
        <v>#N/A</v>
      </c>
      <c r="C369" s="182" t="e">
        <f t="shared" si="736"/>
        <v>#N/A</v>
      </c>
      <c r="D369" s="182" t="e">
        <f t="shared" ref="D369:E369" si="737">IF($D$1="Team",IF(AD368="","",AD368),"")</f>
        <v>#N/A</v>
      </c>
      <c r="E369" s="182" t="e">
        <f t="shared" si="737"/>
        <v>#N/A</v>
      </c>
      <c r="J369" s="170"/>
      <c r="K369" s="170"/>
      <c r="N369" s="182"/>
      <c r="O369" s="182"/>
      <c r="Q369" s="182"/>
      <c r="R369" s="182"/>
      <c r="T369" s="182"/>
      <c r="U369" s="169" t="s">
        <v>132</v>
      </c>
      <c r="V369" s="1" t="s">
        <v>2213</v>
      </c>
      <c r="W369" s="182">
        <v>0.64499999999999991</v>
      </c>
      <c r="AH369" s="1" t="s">
        <v>2213</v>
      </c>
      <c r="AI369" s="1" t="s">
        <v>1958</v>
      </c>
      <c r="AJ369" s="1">
        <v>0.5</v>
      </c>
    </row>
    <row r="370" spans="1:36" ht="15.75" customHeight="1" x14ac:dyDescent="0.3">
      <c r="A370" s="205" t="e">
        <f t="shared" ref="A370:C370" si="738">IF($B$1="Solo",IF(L369="","",L369),IF($B$1="Duet",IF(O369="","",O369),IF($B$1="Mixed",IF(R369="","",R369),IF(U369="","",U369))))</f>
        <v>#N/A</v>
      </c>
      <c r="B370" s="182" t="e">
        <f t="shared" si="738"/>
        <v>#N/A</v>
      </c>
      <c r="C370" s="182" t="e">
        <f t="shared" si="738"/>
        <v>#N/A</v>
      </c>
      <c r="D370" s="182" t="e">
        <f t="shared" ref="D370:E370" si="739">IF($D$1="Team",IF(AD369="","",AD369),"")</f>
        <v>#N/A</v>
      </c>
      <c r="E370" s="182" t="e">
        <f t="shared" si="739"/>
        <v>#N/A</v>
      </c>
      <c r="J370" s="170"/>
      <c r="K370" s="170"/>
      <c r="N370" s="182"/>
      <c r="O370" s="182"/>
      <c r="Q370" s="182"/>
      <c r="R370" s="182"/>
      <c r="T370" s="182"/>
      <c r="U370" s="169" t="s">
        <v>132</v>
      </c>
      <c r="V370" s="1" t="s">
        <v>2214</v>
      </c>
      <c r="W370" s="182">
        <v>0.70499999999999996</v>
      </c>
      <c r="AH370" s="1" t="s">
        <v>2214</v>
      </c>
      <c r="AI370" s="1" t="s">
        <v>1959</v>
      </c>
      <c r="AJ370" s="1">
        <v>0.5</v>
      </c>
    </row>
    <row r="371" spans="1:36" ht="15.75" customHeight="1" x14ac:dyDescent="0.3">
      <c r="A371" s="205" t="e">
        <f t="shared" ref="A371:C371" si="740">IF($B$1="Solo",IF(L370="","",L370),IF($B$1="Duet",IF(O370="","",O370),IF($B$1="Mixed",IF(R370="","",R370),IF(U370="","",U370))))</f>
        <v>#N/A</v>
      </c>
      <c r="B371" s="182" t="e">
        <f t="shared" si="740"/>
        <v>#N/A</v>
      </c>
      <c r="C371" s="182" t="e">
        <f t="shared" si="740"/>
        <v>#N/A</v>
      </c>
      <c r="D371" s="182" t="e">
        <f t="shared" ref="D371:E371" si="741">IF($D$1="Team",IF(AD370="","",AD370),"")</f>
        <v>#N/A</v>
      </c>
      <c r="E371" s="182" t="e">
        <f t="shared" si="741"/>
        <v>#N/A</v>
      </c>
      <c r="J371" s="170"/>
      <c r="K371" s="170"/>
      <c r="N371" s="182"/>
      <c r="O371" s="182"/>
      <c r="Q371" s="182"/>
      <c r="R371" s="182"/>
      <c r="T371" s="182"/>
      <c r="U371" s="169" t="s">
        <v>132</v>
      </c>
      <c r="V371" s="1" t="s">
        <v>2215</v>
      </c>
      <c r="W371" s="182">
        <v>0.58499999999999996</v>
      </c>
      <c r="AH371" s="1" t="s">
        <v>2215</v>
      </c>
      <c r="AI371" s="1" t="s">
        <v>1960</v>
      </c>
      <c r="AJ371" s="1">
        <v>0.5</v>
      </c>
    </row>
    <row r="372" spans="1:36" ht="15.75" customHeight="1" x14ac:dyDescent="0.3">
      <c r="A372" s="205" t="e">
        <f t="shared" ref="A372:C372" si="742">IF($B$1="Solo",IF(L371="","",L371),IF($B$1="Duet",IF(O371="","",O371),IF($B$1="Mixed",IF(R371="","",R371),IF(U371="","",U371))))</f>
        <v>#N/A</v>
      </c>
      <c r="B372" s="182" t="e">
        <f t="shared" si="742"/>
        <v>#N/A</v>
      </c>
      <c r="C372" s="182" t="e">
        <f t="shared" si="742"/>
        <v>#N/A</v>
      </c>
      <c r="D372" s="182" t="e">
        <f t="shared" ref="D372:E372" si="743">IF($D$1="Team",IF(AD371="","",AD371),"")</f>
        <v>#N/A</v>
      </c>
      <c r="E372" s="182" t="e">
        <f t="shared" si="743"/>
        <v>#N/A</v>
      </c>
      <c r="J372" s="170"/>
      <c r="K372" s="170"/>
      <c r="N372" s="182"/>
      <c r="O372" s="182"/>
      <c r="Q372" s="182"/>
      <c r="R372" s="182"/>
      <c r="T372" s="182"/>
      <c r="U372" s="169" t="s">
        <v>132</v>
      </c>
      <c r="V372" s="1" t="s">
        <v>2216</v>
      </c>
      <c r="W372" s="182">
        <v>0.73499999999999999</v>
      </c>
      <c r="AH372" s="1" t="s">
        <v>2216</v>
      </c>
      <c r="AI372" s="1" t="s">
        <v>1961</v>
      </c>
      <c r="AJ372" s="1">
        <v>0.5</v>
      </c>
    </row>
    <row r="373" spans="1:36" ht="15.75" customHeight="1" x14ac:dyDescent="0.3">
      <c r="A373" s="205" t="e">
        <f t="shared" ref="A373:C373" si="744">IF($B$1="Solo",IF(L372="","",L372),IF($B$1="Duet",IF(O372="","",O372),IF($B$1="Mixed",IF(R372="","",R372),IF(U372="","",U372))))</f>
        <v>#N/A</v>
      </c>
      <c r="B373" s="182" t="e">
        <f t="shared" si="744"/>
        <v>#N/A</v>
      </c>
      <c r="C373" s="182" t="e">
        <f t="shared" si="744"/>
        <v>#N/A</v>
      </c>
      <c r="D373" s="182" t="e">
        <f t="shared" ref="D373:E373" si="745">IF($D$1="Team",IF(AD372="","",AD372),"")</f>
        <v>#N/A</v>
      </c>
      <c r="E373" s="182" t="e">
        <f t="shared" si="745"/>
        <v>#N/A</v>
      </c>
      <c r="J373" s="170"/>
      <c r="K373" s="170"/>
      <c r="N373" s="182"/>
      <c r="O373" s="182"/>
      <c r="Q373" s="182"/>
      <c r="R373" s="182"/>
      <c r="T373" s="182"/>
      <c r="U373" s="169" t="s">
        <v>132</v>
      </c>
      <c r="V373" s="1" t="s">
        <v>2217</v>
      </c>
      <c r="W373" s="182">
        <v>0.88500000000000001</v>
      </c>
      <c r="AH373" s="1" t="s">
        <v>2217</v>
      </c>
      <c r="AI373" s="1" t="s">
        <v>1962</v>
      </c>
      <c r="AJ373" s="1">
        <v>0.5</v>
      </c>
    </row>
    <row r="374" spans="1:36" ht="15.75" customHeight="1" x14ac:dyDescent="0.3">
      <c r="A374" s="205" t="e">
        <f t="shared" ref="A374:C374" si="746">IF($B$1="Solo",IF(L373="","",L373),IF($B$1="Duet",IF(O373="","",O373),IF($B$1="Mixed",IF(R373="","",R373),IF(U373="","",U373))))</f>
        <v>#N/A</v>
      </c>
      <c r="B374" s="182" t="e">
        <f t="shared" si="746"/>
        <v>#N/A</v>
      </c>
      <c r="C374" s="182" t="e">
        <f t="shared" si="746"/>
        <v>#N/A</v>
      </c>
      <c r="D374" s="182" t="e">
        <f t="shared" ref="D374:E374" si="747">IF($D$1="Team",IF(AD373="","",AD373),"")</f>
        <v>#N/A</v>
      </c>
      <c r="E374" s="182" t="e">
        <f t="shared" si="747"/>
        <v>#N/A</v>
      </c>
      <c r="J374" s="170"/>
      <c r="K374" s="170"/>
      <c r="N374" s="182"/>
      <c r="O374" s="182"/>
      <c r="Q374" s="182"/>
      <c r="R374" s="182"/>
      <c r="T374" s="182"/>
      <c r="U374" s="169" t="s">
        <v>132</v>
      </c>
      <c r="V374" s="1" t="s">
        <v>2218</v>
      </c>
      <c r="W374" s="182">
        <v>0.70499999999999996</v>
      </c>
      <c r="AH374" s="1" t="s">
        <v>2218</v>
      </c>
      <c r="AI374" s="1" t="s">
        <v>1963</v>
      </c>
      <c r="AJ374" s="1">
        <v>0.5</v>
      </c>
    </row>
    <row r="375" spans="1:36" ht="15.75" customHeight="1" x14ac:dyDescent="0.3">
      <c r="A375" s="205" t="e">
        <f t="shared" ref="A375:C375" si="748">IF($B$1="Solo",IF(L374="","",L374),IF($B$1="Duet",IF(O374="","",O374),IF($B$1="Mixed",IF(R374="","",R374),IF(U374="","",U374))))</f>
        <v>#N/A</v>
      </c>
      <c r="B375" s="182" t="e">
        <f t="shared" si="748"/>
        <v>#N/A</v>
      </c>
      <c r="C375" s="182" t="e">
        <f t="shared" si="748"/>
        <v>#N/A</v>
      </c>
      <c r="D375" s="182" t="e">
        <f t="shared" ref="D375:E375" si="749">IF($D$1="Team",IF(AD374="","",AD374),"")</f>
        <v>#N/A</v>
      </c>
      <c r="E375" s="182" t="e">
        <f t="shared" si="749"/>
        <v>#N/A</v>
      </c>
      <c r="J375" s="170"/>
      <c r="K375" s="170"/>
      <c r="N375" s="182"/>
      <c r="O375" s="182"/>
      <c r="Q375" s="182"/>
      <c r="R375" s="182"/>
      <c r="T375" s="182"/>
      <c r="U375" s="169" t="s">
        <v>132</v>
      </c>
      <c r="V375" s="1" t="s">
        <v>2219</v>
      </c>
      <c r="W375" s="182">
        <v>0.88500000000000001</v>
      </c>
      <c r="AH375" s="1" t="s">
        <v>2219</v>
      </c>
      <c r="AI375" s="1" t="s">
        <v>1964</v>
      </c>
      <c r="AJ375" s="1">
        <v>0.5</v>
      </c>
    </row>
    <row r="376" spans="1:36" ht="15.75" customHeight="1" x14ac:dyDescent="0.3">
      <c r="A376" s="205" t="e">
        <f t="shared" ref="A376:C376" si="750">IF($B$1="Solo",IF(L375="","",L375),IF($B$1="Duet",IF(O375="","",O375),IF($B$1="Mixed",IF(R375="","",R375),IF(U375="","",U375))))</f>
        <v>#N/A</v>
      </c>
      <c r="B376" s="182" t="e">
        <f t="shared" si="750"/>
        <v>#N/A</v>
      </c>
      <c r="C376" s="182" t="e">
        <f t="shared" si="750"/>
        <v>#N/A</v>
      </c>
      <c r="D376" s="182" t="e">
        <f t="shared" ref="D376:E376" si="751">IF($D$1="Team",IF(AD375="","",AD375),"")</f>
        <v>#N/A</v>
      </c>
      <c r="E376" s="182" t="e">
        <f t="shared" si="751"/>
        <v>#N/A</v>
      </c>
      <c r="J376" s="170"/>
      <c r="K376" s="170"/>
      <c r="N376" s="182"/>
      <c r="O376" s="182"/>
      <c r="Q376" s="182"/>
      <c r="R376" s="182"/>
      <c r="T376" s="182"/>
      <c r="U376" s="169" t="s">
        <v>132</v>
      </c>
      <c r="V376" s="1" t="s">
        <v>2220</v>
      </c>
      <c r="W376" s="182">
        <v>1.0049999999999999</v>
      </c>
      <c r="AH376" s="1" t="s">
        <v>2220</v>
      </c>
      <c r="AI376" s="1" t="s">
        <v>1965</v>
      </c>
      <c r="AJ376" s="1">
        <v>0.5</v>
      </c>
    </row>
    <row r="377" spans="1:36" ht="15.75" customHeight="1" x14ac:dyDescent="0.3">
      <c r="A377" s="205" t="e">
        <f t="shared" ref="A377:C377" si="752">IF($B$1="Solo",IF(L376="","",L376),IF($B$1="Duet",IF(O376="","",O376),IF($B$1="Mixed",IF(R376="","",R376),IF(U376="","",U376))))</f>
        <v>#N/A</v>
      </c>
      <c r="B377" s="182" t="e">
        <f t="shared" si="752"/>
        <v>#N/A</v>
      </c>
      <c r="C377" s="182" t="e">
        <f t="shared" si="752"/>
        <v>#N/A</v>
      </c>
      <c r="D377" s="182" t="e">
        <f t="shared" ref="D377:E377" si="753">IF($D$1="Team",IF(AD376="","",AD376),"")</f>
        <v>#N/A</v>
      </c>
      <c r="E377" s="182" t="e">
        <f t="shared" si="753"/>
        <v>#N/A</v>
      </c>
      <c r="J377" s="170"/>
      <c r="K377" s="170"/>
      <c r="N377" s="182"/>
      <c r="O377" s="182"/>
      <c r="Q377" s="182"/>
      <c r="R377" s="182"/>
      <c r="T377" s="182"/>
      <c r="U377" s="169" t="s">
        <v>132</v>
      </c>
      <c r="V377" s="1" t="s">
        <v>2221</v>
      </c>
      <c r="W377" s="182">
        <v>1.0649999999999999</v>
      </c>
      <c r="AH377" s="1" t="s">
        <v>2221</v>
      </c>
      <c r="AI377" s="1" t="s">
        <v>1966</v>
      </c>
      <c r="AJ377" s="1">
        <v>0.5</v>
      </c>
    </row>
    <row r="378" spans="1:36" ht="15.75" customHeight="1" x14ac:dyDescent="0.3">
      <c r="A378" s="205" t="e">
        <f t="shared" ref="A378:C378" si="754">IF($B$1="Solo",IF(L377="","",L377),IF($B$1="Duet",IF(O377="","",O377),IF($B$1="Mixed",IF(R377="","",R377),IF(U377="","",U377))))</f>
        <v>#N/A</v>
      </c>
      <c r="B378" s="182" t="e">
        <f t="shared" si="754"/>
        <v>#N/A</v>
      </c>
      <c r="C378" s="182" t="e">
        <f t="shared" si="754"/>
        <v>#N/A</v>
      </c>
      <c r="D378" s="182" t="e">
        <f t="shared" ref="D378:E378" si="755">IF($D$1="Team",IF(AD377="","",AD377),"")</f>
        <v>#N/A</v>
      </c>
      <c r="E378" s="182" t="e">
        <f t="shared" si="755"/>
        <v>#N/A</v>
      </c>
      <c r="J378" s="170"/>
      <c r="K378" s="170"/>
      <c r="N378" s="182"/>
      <c r="O378" s="182"/>
      <c r="Q378" s="182"/>
      <c r="R378" s="182"/>
      <c r="T378" s="182"/>
      <c r="U378" s="169" t="s">
        <v>132</v>
      </c>
      <c r="V378" s="1" t="s">
        <v>2222</v>
      </c>
      <c r="W378" s="182">
        <v>1.0349999999999999</v>
      </c>
      <c r="AH378" s="1" t="s">
        <v>2222</v>
      </c>
      <c r="AI378" s="1" t="s">
        <v>1967</v>
      </c>
      <c r="AJ378" s="1">
        <v>0.5</v>
      </c>
    </row>
    <row r="379" spans="1:36" ht="15.75" customHeight="1" x14ac:dyDescent="0.3">
      <c r="A379" s="205" t="e">
        <f t="shared" ref="A379:C379" si="756">IF($B$1="Solo",IF(L378="","",L378),IF($B$1="Duet",IF(O378="","",O378),IF($B$1="Mixed",IF(R378="","",R378),IF(U378="","",U378))))</f>
        <v>#N/A</v>
      </c>
      <c r="B379" s="182" t="e">
        <f t="shared" si="756"/>
        <v>#N/A</v>
      </c>
      <c r="C379" s="182" t="e">
        <f t="shared" si="756"/>
        <v>#N/A</v>
      </c>
      <c r="D379" s="182" t="e">
        <f t="shared" ref="D379:E379" si="757">IF($D$1="Team",IF(AD378="","",AD378),"")</f>
        <v>#N/A</v>
      </c>
      <c r="E379" s="182" t="e">
        <f t="shared" si="757"/>
        <v>#N/A</v>
      </c>
      <c r="J379" s="170"/>
      <c r="K379" s="170"/>
      <c r="N379" s="182"/>
      <c r="O379" s="182"/>
      <c r="Q379" s="182"/>
      <c r="R379" s="182"/>
      <c r="T379" s="182"/>
      <c r="U379" s="169" t="s">
        <v>132</v>
      </c>
      <c r="V379" s="1" t="s">
        <v>2223</v>
      </c>
      <c r="W379" s="182">
        <v>1.2450000000000001</v>
      </c>
      <c r="AH379" s="1" t="s">
        <v>2223</v>
      </c>
      <c r="AI379" s="1" t="s">
        <v>1968</v>
      </c>
      <c r="AJ379" s="1">
        <v>0.5</v>
      </c>
    </row>
    <row r="380" spans="1:36" ht="15.75" customHeight="1" x14ac:dyDescent="0.3">
      <c r="A380" s="205" t="e">
        <f t="shared" ref="A380:C380" si="758">IF($B$1="Solo",IF(L379="","",L379),IF($B$1="Duet",IF(O379="","",O379),IF($B$1="Mixed",IF(R379="","",R379),IF(U379="","",U379))))</f>
        <v>#N/A</v>
      </c>
      <c r="B380" s="182" t="e">
        <f t="shared" si="758"/>
        <v>#N/A</v>
      </c>
      <c r="C380" s="182" t="e">
        <f t="shared" si="758"/>
        <v>#N/A</v>
      </c>
      <c r="D380" s="182" t="e">
        <f t="shared" ref="D380:E380" si="759">IF($D$1="Team",IF(AD379="","",AD379),"")</f>
        <v>#N/A</v>
      </c>
      <c r="E380" s="182" t="e">
        <f t="shared" si="759"/>
        <v>#N/A</v>
      </c>
      <c r="J380" s="170"/>
      <c r="K380" s="170"/>
      <c r="N380" s="182"/>
      <c r="O380" s="182"/>
      <c r="Q380" s="182"/>
      <c r="R380" s="182"/>
      <c r="T380" s="182"/>
      <c r="U380" s="169" t="s">
        <v>132</v>
      </c>
      <c r="V380" s="1" t="s">
        <v>2224</v>
      </c>
      <c r="W380" s="182">
        <v>1.1850000000000001</v>
      </c>
      <c r="AH380" s="1" t="s">
        <v>2224</v>
      </c>
      <c r="AI380" s="1" t="s">
        <v>1969</v>
      </c>
      <c r="AJ380" s="1">
        <v>0.5</v>
      </c>
    </row>
    <row r="381" spans="1:36" ht="15.75" customHeight="1" x14ac:dyDescent="0.3">
      <c r="A381" s="205" t="e">
        <f t="shared" ref="A381:C381" si="760">IF($B$1="Solo",IF(L380="","",L380),IF($B$1="Duet",IF(O380="","",O380),IF($B$1="Mixed",IF(R380="","",R380),IF(U380="","",U380))))</f>
        <v>#N/A</v>
      </c>
      <c r="B381" s="182" t="e">
        <f t="shared" si="760"/>
        <v>#N/A</v>
      </c>
      <c r="C381" s="182" t="e">
        <f t="shared" si="760"/>
        <v>#N/A</v>
      </c>
      <c r="D381" s="182" t="e">
        <f t="shared" ref="D381:E381" si="761">IF($D$1="Team",IF(AD380="","",AD380),"")</f>
        <v>#N/A</v>
      </c>
      <c r="E381" s="182" t="e">
        <f t="shared" si="761"/>
        <v>#N/A</v>
      </c>
      <c r="J381" s="170"/>
      <c r="K381" s="170"/>
      <c r="N381" s="182"/>
      <c r="O381" s="182"/>
      <c r="Q381" s="182"/>
      <c r="R381" s="182"/>
      <c r="T381" s="182"/>
      <c r="U381" s="169" t="s">
        <v>132</v>
      </c>
      <c r="V381" s="1" t="s">
        <v>2225</v>
      </c>
      <c r="W381" s="182">
        <v>1.425</v>
      </c>
      <c r="AH381" s="1" t="s">
        <v>2225</v>
      </c>
      <c r="AI381" s="1" t="s">
        <v>1970</v>
      </c>
      <c r="AJ381" s="1">
        <v>0.5</v>
      </c>
    </row>
    <row r="382" spans="1:36" ht="15.75" customHeight="1" x14ac:dyDescent="0.3">
      <c r="A382" s="205" t="e">
        <f t="shared" ref="A382:C382" si="762">IF($B$1="Solo",IF(L381="","",L381),IF($B$1="Duet",IF(O381="","",O381),IF($B$1="Mixed",IF(R381="","",R381),IF(U381="","",U381))))</f>
        <v>#N/A</v>
      </c>
      <c r="B382" s="182" t="e">
        <f t="shared" si="762"/>
        <v>#N/A</v>
      </c>
      <c r="C382" s="182" t="e">
        <f t="shared" si="762"/>
        <v>#N/A</v>
      </c>
      <c r="D382" s="182" t="e">
        <f t="shared" ref="D382:E382" si="763">IF($D$1="Team",IF(AD381="","",AD381),"")</f>
        <v>#N/A</v>
      </c>
      <c r="E382" s="182" t="e">
        <f t="shared" si="763"/>
        <v>#N/A</v>
      </c>
      <c r="J382" s="170"/>
      <c r="K382" s="170"/>
      <c r="N382" s="182"/>
      <c r="O382" s="182"/>
      <c r="Q382" s="182"/>
      <c r="R382" s="182"/>
      <c r="T382" s="182"/>
      <c r="U382" s="169" t="s">
        <v>132</v>
      </c>
      <c r="V382" s="1" t="s">
        <v>2226</v>
      </c>
      <c r="W382" s="182">
        <v>1.335</v>
      </c>
      <c r="AH382" s="1" t="s">
        <v>2226</v>
      </c>
      <c r="AI382" s="1" t="s">
        <v>1971</v>
      </c>
      <c r="AJ382" s="1">
        <v>0.5</v>
      </c>
    </row>
    <row r="383" spans="1:36" ht="15.75" customHeight="1" x14ac:dyDescent="0.3">
      <c r="A383" s="205" t="e">
        <f t="shared" ref="A383:C383" si="764">IF($B$1="Solo",IF(L382="","",L382),IF($B$1="Duet",IF(O382="","",O382),IF($B$1="Mixed",IF(R382="","",R382),IF(U382="","",U382))))</f>
        <v>#N/A</v>
      </c>
      <c r="B383" s="182" t="e">
        <f t="shared" si="764"/>
        <v>#N/A</v>
      </c>
      <c r="C383" s="182" t="e">
        <f t="shared" si="764"/>
        <v>#N/A</v>
      </c>
      <c r="D383" s="182" t="e">
        <f t="shared" ref="D383:E383" si="765">IF($D$1="Team",IF(AD382="","",AD382),"")</f>
        <v>#N/A</v>
      </c>
      <c r="E383" s="182" t="e">
        <f t="shared" si="765"/>
        <v>#N/A</v>
      </c>
      <c r="J383" s="170"/>
      <c r="K383" s="170"/>
      <c r="N383" s="182"/>
      <c r="O383" s="182"/>
      <c r="Q383" s="182"/>
      <c r="R383" s="182"/>
      <c r="T383" s="182"/>
      <c r="U383" s="169" t="s">
        <v>132</v>
      </c>
      <c r="V383" s="1" t="s">
        <v>2227</v>
      </c>
      <c r="W383" s="182">
        <v>1.6049999999999998</v>
      </c>
      <c r="AH383" s="1" t="s">
        <v>2227</v>
      </c>
      <c r="AI383" s="1" t="s">
        <v>1972</v>
      </c>
      <c r="AJ383" s="1">
        <v>0.5</v>
      </c>
    </row>
    <row r="384" spans="1:36" ht="15.75" customHeight="1" x14ac:dyDescent="0.3">
      <c r="A384" s="205" t="e">
        <f t="shared" ref="A384:C384" si="766">IF($B$1="Solo",IF(L383="","",L383),IF($B$1="Duet",IF(O383="","",O383),IF($B$1="Mixed",IF(R383="","",R383),IF(U383="","",U383))))</f>
        <v>#N/A</v>
      </c>
      <c r="B384" s="182" t="e">
        <f t="shared" si="766"/>
        <v>#N/A</v>
      </c>
      <c r="C384" s="182" t="e">
        <f t="shared" si="766"/>
        <v>#N/A</v>
      </c>
      <c r="D384" s="182" t="e">
        <f t="shared" ref="D384:E384" si="767">IF($D$1="Team",IF(AD383="","",AD383),"")</f>
        <v>#N/A</v>
      </c>
      <c r="E384" s="182" t="e">
        <f t="shared" si="767"/>
        <v>#N/A</v>
      </c>
      <c r="J384" s="170"/>
      <c r="K384" s="170"/>
      <c r="N384" s="182"/>
      <c r="O384" s="182"/>
      <c r="Q384" s="182"/>
      <c r="R384" s="182"/>
      <c r="T384" s="182"/>
      <c r="U384" s="169" t="s">
        <v>132</v>
      </c>
      <c r="V384" s="1" t="s">
        <v>2228</v>
      </c>
      <c r="W384" s="182">
        <v>1.4850000000000001</v>
      </c>
      <c r="AH384" s="1" t="s">
        <v>2228</v>
      </c>
      <c r="AI384" s="1" t="s">
        <v>1973</v>
      </c>
      <c r="AJ384" s="1">
        <v>0.5</v>
      </c>
    </row>
    <row r="385" spans="1:36" ht="15.75" customHeight="1" x14ac:dyDescent="0.3">
      <c r="A385" s="205" t="e">
        <f t="shared" ref="A385:C385" si="768">IF($B$1="Solo",IF(L384="","",L384),IF($B$1="Duet",IF(O384="","",O384),IF($B$1="Mixed",IF(R384="","",R384),IF(U384="","",U384))))</f>
        <v>#N/A</v>
      </c>
      <c r="B385" s="182" t="e">
        <f t="shared" si="768"/>
        <v>#N/A</v>
      </c>
      <c r="C385" s="182" t="e">
        <f t="shared" si="768"/>
        <v>#N/A</v>
      </c>
      <c r="D385" s="182" t="e">
        <f t="shared" ref="D385:E385" si="769">IF($D$1="Team",IF(AD384="","",AD384),"")</f>
        <v>#N/A</v>
      </c>
      <c r="E385" s="182" t="e">
        <f t="shared" si="769"/>
        <v>#N/A</v>
      </c>
      <c r="J385" s="170"/>
      <c r="K385" s="170"/>
      <c r="N385" s="182"/>
      <c r="O385" s="182"/>
      <c r="Q385" s="182"/>
      <c r="R385" s="182"/>
      <c r="T385" s="182"/>
      <c r="U385" s="169" t="s">
        <v>132</v>
      </c>
      <c r="V385" s="1" t="s">
        <v>2229</v>
      </c>
      <c r="W385" s="182">
        <v>1.7849999999999999</v>
      </c>
      <c r="AH385" s="1" t="s">
        <v>2229</v>
      </c>
      <c r="AI385" s="1" t="s">
        <v>1974</v>
      </c>
      <c r="AJ385" s="1">
        <v>0.5</v>
      </c>
    </row>
    <row r="386" spans="1:36" ht="15.75" customHeight="1" x14ac:dyDescent="0.3">
      <c r="A386" s="205" t="e">
        <f t="shared" ref="A386:C386" si="770">IF($B$1="Solo",IF(L385="","",L385),IF($B$1="Duet",IF(O385="","",O385),IF($B$1="Mixed",IF(R385="","",R385),IF(U385="","",U385))))</f>
        <v>#N/A</v>
      </c>
      <c r="B386" s="182" t="e">
        <f t="shared" si="770"/>
        <v>#N/A</v>
      </c>
      <c r="C386" s="182" t="e">
        <f t="shared" si="770"/>
        <v>#N/A</v>
      </c>
      <c r="D386" s="182" t="e">
        <f t="shared" ref="D386:E386" si="771">IF($D$1="Team",IF(AD385="","",AD385),"")</f>
        <v>#N/A</v>
      </c>
      <c r="E386" s="182" t="e">
        <f t="shared" si="771"/>
        <v>#N/A</v>
      </c>
      <c r="J386" s="170"/>
      <c r="K386" s="170"/>
      <c r="N386" s="182"/>
      <c r="O386" s="182"/>
      <c r="Q386" s="182"/>
      <c r="R386" s="182"/>
      <c r="T386" s="182"/>
      <c r="U386" s="169" t="s">
        <v>9</v>
      </c>
      <c r="V386" s="1" t="s">
        <v>2230</v>
      </c>
      <c r="W386" s="182">
        <v>1.4999999999999999E-2</v>
      </c>
      <c r="AH386" s="1" t="s">
        <v>2230</v>
      </c>
      <c r="AI386" s="1" t="s">
        <v>1975</v>
      </c>
      <c r="AJ386" s="1">
        <v>0.5</v>
      </c>
    </row>
    <row r="387" spans="1:36" ht="15.75" customHeight="1" x14ac:dyDescent="0.3">
      <c r="A387" s="205" t="e">
        <f t="shared" ref="A387:C387" si="772">IF($B$1="Solo",IF(L386="","",L386),IF($B$1="Duet",IF(O386="","",O386),IF($B$1="Mixed",IF(R386="","",R386),IF(U386="","",U386))))</f>
        <v>#N/A</v>
      </c>
      <c r="B387" s="182" t="e">
        <f t="shared" si="772"/>
        <v>#N/A</v>
      </c>
      <c r="C387" s="182" t="e">
        <f t="shared" si="772"/>
        <v>#N/A</v>
      </c>
      <c r="D387" s="182" t="e">
        <f t="shared" ref="D387:E387" si="773">IF($D$1="Team",IF(AD386="","",AD386),"")</f>
        <v>#N/A</v>
      </c>
      <c r="E387" s="182" t="e">
        <f t="shared" si="773"/>
        <v>#N/A</v>
      </c>
      <c r="J387" s="170"/>
      <c r="K387" s="170"/>
      <c r="N387" s="182"/>
      <c r="O387" s="182"/>
      <c r="Q387" s="182"/>
      <c r="R387" s="182"/>
      <c r="T387" s="182"/>
      <c r="U387" s="169" t="s">
        <v>9</v>
      </c>
      <c r="V387" s="1" t="s">
        <v>2231</v>
      </c>
      <c r="W387" s="182">
        <v>0.03</v>
      </c>
      <c r="AH387" s="1" t="s">
        <v>2231</v>
      </c>
      <c r="AI387" s="1" t="s">
        <v>1976</v>
      </c>
      <c r="AJ387" s="1">
        <v>0.5</v>
      </c>
    </row>
    <row r="388" spans="1:36" ht="15.75" customHeight="1" x14ac:dyDescent="0.3">
      <c r="A388" s="205" t="e">
        <f t="shared" ref="A388:C388" si="774">IF($B$1="Solo",IF(L387="","",L387),IF($B$1="Duet",IF(O387="","",O387),IF($B$1="Mixed",IF(R387="","",R387),IF(U387="","",U387))))</f>
        <v>#N/A</v>
      </c>
      <c r="B388" s="182" t="e">
        <f t="shared" si="774"/>
        <v>#N/A</v>
      </c>
      <c r="C388" s="182" t="e">
        <f t="shared" si="774"/>
        <v>#N/A</v>
      </c>
      <c r="D388" s="182" t="e">
        <f t="shared" ref="D388:E388" si="775">IF($D$1="Team",IF(AD387="","",AD387),"")</f>
        <v>#N/A</v>
      </c>
      <c r="E388" s="182" t="e">
        <f t="shared" si="775"/>
        <v>#N/A</v>
      </c>
      <c r="J388" s="170"/>
      <c r="K388" s="170"/>
      <c r="N388" s="182"/>
      <c r="O388" s="182"/>
      <c r="Q388" s="182"/>
      <c r="R388" s="182"/>
      <c r="T388" s="182"/>
      <c r="U388" s="169" t="s">
        <v>9</v>
      </c>
      <c r="V388" s="1" t="s">
        <v>2232</v>
      </c>
      <c r="W388" s="182">
        <v>0.03</v>
      </c>
      <c r="AH388" s="1" t="s">
        <v>2232</v>
      </c>
      <c r="AI388" s="1" t="s">
        <v>1977</v>
      </c>
      <c r="AJ388" s="1">
        <v>0.5</v>
      </c>
    </row>
    <row r="389" spans="1:36" ht="15.75" customHeight="1" x14ac:dyDescent="0.3">
      <c r="A389" s="205" t="e">
        <f t="shared" ref="A389:C389" si="776">IF($B$1="Solo",IF(L388="","",L388),IF($B$1="Duet",IF(O388="","",O388),IF($B$1="Mixed",IF(R388="","",R388),IF(U388="","",U388))))</f>
        <v>#N/A</v>
      </c>
      <c r="B389" s="182" t="e">
        <f t="shared" si="776"/>
        <v>#N/A</v>
      </c>
      <c r="C389" s="182" t="e">
        <f t="shared" si="776"/>
        <v>#N/A</v>
      </c>
      <c r="D389" s="182" t="e">
        <f t="shared" ref="D389:E389" si="777">IF($D$1="Team",IF(AD388="","",AD388),"")</f>
        <v>#N/A</v>
      </c>
      <c r="E389" s="182" t="e">
        <f t="shared" si="777"/>
        <v>#N/A</v>
      </c>
      <c r="J389" s="170"/>
      <c r="K389" s="170"/>
      <c r="N389" s="182"/>
      <c r="O389" s="182"/>
      <c r="Q389" s="182"/>
      <c r="R389" s="182"/>
      <c r="T389" s="182"/>
      <c r="U389" s="169" t="s">
        <v>9</v>
      </c>
      <c r="V389" s="1" t="s">
        <v>2233</v>
      </c>
      <c r="W389" s="182">
        <v>0.03</v>
      </c>
      <c r="AH389" s="1" t="s">
        <v>2233</v>
      </c>
      <c r="AI389" s="1" t="s">
        <v>1978</v>
      </c>
      <c r="AJ389" s="1">
        <v>0.5</v>
      </c>
    </row>
    <row r="390" spans="1:36" ht="15.75" customHeight="1" x14ac:dyDescent="0.3">
      <c r="A390" s="205" t="e">
        <f t="shared" ref="A390:C390" si="778">IF($B$1="Solo",IF(L389="","",L389),IF($B$1="Duet",IF(O389="","",O389),IF($B$1="Mixed",IF(R389="","",R389),IF(U389="","",U389))))</f>
        <v>#N/A</v>
      </c>
      <c r="B390" s="182" t="e">
        <f t="shared" si="778"/>
        <v>#N/A</v>
      </c>
      <c r="C390" s="182" t="e">
        <f t="shared" si="778"/>
        <v>#N/A</v>
      </c>
      <c r="D390" s="182" t="e">
        <f t="shared" ref="D390:E390" si="779">IF($D$1="Team",IF(AD389="","",AD389),"")</f>
        <v>#N/A</v>
      </c>
      <c r="E390" s="182" t="e">
        <f t="shared" si="779"/>
        <v>#N/A</v>
      </c>
      <c r="J390" s="170"/>
      <c r="K390" s="170"/>
      <c r="N390" s="182"/>
      <c r="O390" s="182"/>
      <c r="Q390" s="182"/>
      <c r="R390" s="182"/>
      <c r="T390" s="182"/>
      <c r="U390" s="169" t="s">
        <v>9</v>
      </c>
      <c r="V390" s="1" t="s">
        <v>2234</v>
      </c>
      <c r="W390" s="182">
        <v>0.03</v>
      </c>
      <c r="AH390" s="1" t="s">
        <v>2234</v>
      </c>
      <c r="AI390" s="1" t="s">
        <v>1979</v>
      </c>
      <c r="AJ390" s="1">
        <v>0.5</v>
      </c>
    </row>
    <row r="391" spans="1:36" ht="15.75" customHeight="1" x14ac:dyDescent="0.3">
      <c r="A391" s="205" t="e">
        <f t="shared" ref="A391:C391" si="780">IF($B$1="Solo",IF(L390="","",L390),IF($B$1="Duet",IF(O390="","",O390),IF($B$1="Mixed",IF(R390="","",R390),IF(U390="","",U390))))</f>
        <v>#N/A</v>
      </c>
      <c r="B391" s="182" t="e">
        <f t="shared" si="780"/>
        <v>#N/A</v>
      </c>
      <c r="C391" s="182" t="e">
        <f t="shared" si="780"/>
        <v>#N/A</v>
      </c>
      <c r="D391" s="182" t="e">
        <f t="shared" ref="D391:E391" si="781">IF($D$1="Team",IF(AD390="","",AD390),"")</f>
        <v>#N/A</v>
      </c>
      <c r="E391" s="182" t="e">
        <f t="shared" si="781"/>
        <v>#N/A</v>
      </c>
      <c r="J391" s="170"/>
      <c r="K391" s="170"/>
      <c r="N391" s="182"/>
      <c r="O391" s="182"/>
      <c r="Q391" s="182"/>
      <c r="R391" s="182"/>
      <c r="T391" s="182"/>
      <c r="U391" s="169" t="s">
        <v>9</v>
      </c>
      <c r="V391" s="1" t="s">
        <v>2235</v>
      </c>
      <c r="W391" s="182">
        <v>4.4999999999999998E-2</v>
      </c>
      <c r="AH391" s="1" t="s">
        <v>2235</v>
      </c>
      <c r="AI391" s="1" t="s">
        <v>1980</v>
      </c>
      <c r="AJ391" s="1">
        <v>0.5</v>
      </c>
    </row>
    <row r="392" spans="1:36" ht="15.75" customHeight="1" x14ac:dyDescent="0.3">
      <c r="A392" s="205" t="e">
        <f t="shared" ref="A392:C392" si="782">IF($B$1="Solo",IF(L391="","",L391),IF($B$1="Duet",IF(O391="","",O391),IF($B$1="Mixed",IF(R391="","",R391),IF(U391="","",U391))))</f>
        <v>#N/A</v>
      </c>
      <c r="B392" s="182" t="e">
        <f t="shared" si="782"/>
        <v>#N/A</v>
      </c>
      <c r="C392" s="182" t="e">
        <f t="shared" si="782"/>
        <v>#N/A</v>
      </c>
      <c r="D392" s="182" t="e">
        <f t="shared" ref="D392:E392" si="783">IF($D$1="Team",IF(AD391="","",AD391),"")</f>
        <v>#N/A</v>
      </c>
      <c r="E392" s="182" t="e">
        <f t="shared" si="783"/>
        <v>#N/A</v>
      </c>
      <c r="J392" s="170"/>
      <c r="K392" s="170"/>
      <c r="N392" s="182"/>
      <c r="O392" s="182"/>
      <c r="Q392" s="182"/>
      <c r="R392" s="182"/>
      <c r="T392" s="182"/>
      <c r="U392" s="169" t="s">
        <v>9</v>
      </c>
      <c r="V392" s="1" t="s">
        <v>2236</v>
      </c>
      <c r="W392" s="182">
        <v>4.4999999999999998E-2</v>
      </c>
      <c r="AH392" s="1" t="s">
        <v>2236</v>
      </c>
      <c r="AI392" s="1" t="s">
        <v>1981</v>
      </c>
      <c r="AJ392" s="1">
        <v>0.5</v>
      </c>
    </row>
    <row r="393" spans="1:36" ht="15.75" customHeight="1" x14ac:dyDescent="0.3">
      <c r="A393" s="205" t="e">
        <f t="shared" ref="A393:C393" si="784">IF($B$1="Solo",IF(L392="","",L392),IF($B$1="Duet",IF(O392="","",O392),IF($B$1="Mixed",IF(R392="","",R392),IF(U392="","",U392))))</f>
        <v>#N/A</v>
      </c>
      <c r="B393" s="182" t="e">
        <f t="shared" si="784"/>
        <v>#N/A</v>
      </c>
      <c r="C393" s="182" t="e">
        <f t="shared" si="784"/>
        <v>#N/A</v>
      </c>
      <c r="D393" s="182" t="e">
        <f t="shared" ref="D393:E393" si="785">IF($D$1="Team",IF(AD392="","",AD392),"")</f>
        <v>#N/A</v>
      </c>
      <c r="E393" s="182" t="e">
        <f t="shared" si="785"/>
        <v>#N/A</v>
      </c>
      <c r="J393" s="170"/>
      <c r="K393" s="170"/>
      <c r="N393" s="182"/>
      <c r="O393" s="182"/>
      <c r="Q393" s="182"/>
      <c r="R393" s="182"/>
      <c r="T393" s="182"/>
      <c r="U393" s="169" t="s">
        <v>9</v>
      </c>
      <c r="V393" s="1" t="s">
        <v>2237</v>
      </c>
      <c r="W393" s="182">
        <v>0.06</v>
      </c>
      <c r="AH393" s="1" t="s">
        <v>2237</v>
      </c>
      <c r="AI393" s="1" t="s">
        <v>1982</v>
      </c>
      <c r="AJ393" s="1">
        <v>0.5</v>
      </c>
    </row>
    <row r="394" spans="1:36" ht="15.75" customHeight="1" x14ac:dyDescent="0.3">
      <c r="A394" s="205" t="e">
        <f t="shared" ref="A394:C394" si="786">IF($B$1="Solo",IF(L393="","",L393),IF($B$1="Duet",IF(O393="","",O393),IF($B$1="Mixed",IF(R393="","",R393),IF(U393="","",U393))))</f>
        <v>#N/A</v>
      </c>
      <c r="B394" s="182" t="e">
        <f t="shared" si="786"/>
        <v>#N/A</v>
      </c>
      <c r="C394" s="182" t="e">
        <f t="shared" si="786"/>
        <v>#N/A</v>
      </c>
      <c r="D394" s="182" t="e">
        <f t="shared" ref="D394:E394" si="787">IF($D$1="Team",IF(AD393="","",AD393),"")</f>
        <v>#N/A</v>
      </c>
      <c r="E394" s="182" t="e">
        <f t="shared" si="787"/>
        <v>#N/A</v>
      </c>
      <c r="J394" s="170"/>
      <c r="K394" s="170"/>
      <c r="N394" s="182"/>
      <c r="O394" s="182"/>
      <c r="Q394" s="182"/>
      <c r="R394" s="182"/>
      <c r="T394" s="182"/>
      <c r="U394" s="169" t="s">
        <v>9</v>
      </c>
      <c r="V394" s="1" t="s">
        <v>2238</v>
      </c>
      <c r="W394" s="182">
        <v>0.06</v>
      </c>
      <c r="AH394" s="1" t="s">
        <v>2238</v>
      </c>
      <c r="AI394" s="1" t="s">
        <v>1983</v>
      </c>
      <c r="AJ394" s="1">
        <v>0.5</v>
      </c>
    </row>
    <row r="395" spans="1:36" ht="15.75" customHeight="1" x14ac:dyDescent="0.3">
      <c r="A395" s="205" t="e">
        <f t="shared" ref="A395:C395" si="788">IF($B$1="Solo",IF(L394="","",L394),IF($B$1="Duet",IF(O394="","",O394),IF($B$1="Mixed",IF(R394="","",R394),IF(U394="","",U394))))</f>
        <v>#N/A</v>
      </c>
      <c r="B395" s="182" t="e">
        <f t="shared" si="788"/>
        <v>#N/A</v>
      </c>
      <c r="C395" s="182" t="e">
        <f t="shared" si="788"/>
        <v>#N/A</v>
      </c>
      <c r="D395" s="182" t="e">
        <f t="shared" ref="D395:E395" si="789">IF($D$1="Team",IF(AD394="","",AD394),"")</f>
        <v>#N/A</v>
      </c>
      <c r="E395" s="182" t="e">
        <f t="shared" si="789"/>
        <v>#N/A</v>
      </c>
      <c r="J395" s="170"/>
      <c r="K395" s="170"/>
      <c r="N395" s="182"/>
      <c r="O395" s="182"/>
      <c r="Q395" s="182"/>
      <c r="R395" s="182"/>
      <c r="T395" s="182"/>
      <c r="U395" s="169" t="s">
        <v>9</v>
      </c>
      <c r="V395" s="1" t="s">
        <v>2239</v>
      </c>
      <c r="W395" s="182">
        <v>0.13500000000000001</v>
      </c>
      <c r="AH395" s="1" t="s">
        <v>2239</v>
      </c>
      <c r="AI395" s="1" t="s">
        <v>1984</v>
      </c>
      <c r="AJ395" s="1">
        <v>0.5</v>
      </c>
    </row>
    <row r="396" spans="1:36" ht="15.75" customHeight="1" x14ac:dyDescent="0.3">
      <c r="A396" s="205" t="e">
        <f t="shared" ref="A396:C396" si="790">IF($B$1="Solo",IF(L395="","",L395),IF($B$1="Duet",IF(O395="","",O395),IF($B$1="Mixed",IF(R395="","",R395),IF(U395="","",U395))))</f>
        <v>#N/A</v>
      </c>
      <c r="B396" s="182" t="e">
        <f t="shared" si="790"/>
        <v>#N/A</v>
      </c>
      <c r="C396" s="182" t="e">
        <f t="shared" si="790"/>
        <v>#N/A</v>
      </c>
      <c r="D396" s="182" t="e">
        <f t="shared" ref="D396:E396" si="791">IF($D$1="Team",IF(AD395="","",AD395),"")</f>
        <v>#N/A</v>
      </c>
      <c r="E396" s="182" t="e">
        <f t="shared" si="791"/>
        <v>#N/A</v>
      </c>
      <c r="J396" s="170"/>
      <c r="K396" s="170"/>
      <c r="N396" s="182"/>
      <c r="O396" s="182"/>
      <c r="Q396" s="182"/>
      <c r="R396" s="182"/>
      <c r="T396" s="182"/>
      <c r="U396" s="169" t="s">
        <v>9</v>
      </c>
      <c r="V396" s="1" t="s">
        <v>2240</v>
      </c>
      <c r="W396" s="182">
        <v>0.13500000000000001</v>
      </c>
      <c r="AH396" s="1" t="s">
        <v>2240</v>
      </c>
      <c r="AI396" s="1" t="s">
        <v>1985</v>
      </c>
      <c r="AJ396" s="1">
        <v>0.5</v>
      </c>
    </row>
    <row r="397" spans="1:36" ht="15.75" customHeight="1" x14ac:dyDescent="0.3">
      <c r="A397" s="205" t="e">
        <f t="shared" ref="A397:C397" si="792">IF($B$1="Solo",IF(L396="","",L396),IF($B$1="Duet",IF(O396="","",O396),IF($B$1="Mixed",IF(R396="","",R396),IF(U396="","",U396))))</f>
        <v>#N/A</v>
      </c>
      <c r="B397" s="182" t="e">
        <f t="shared" si="792"/>
        <v>#N/A</v>
      </c>
      <c r="C397" s="182" t="e">
        <f t="shared" si="792"/>
        <v>#N/A</v>
      </c>
      <c r="D397" s="182" t="e">
        <f t="shared" ref="D397:E397" si="793">IF($D$1="Team",IF(AD396="","",AD396),"")</f>
        <v>#N/A</v>
      </c>
      <c r="E397" s="182" t="e">
        <f t="shared" si="793"/>
        <v>#N/A</v>
      </c>
      <c r="J397" s="170"/>
      <c r="K397" s="170"/>
      <c r="N397" s="182"/>
      <c r="O397" s="182"/>
      <c r="Q397" s="182"/>
      <c r="R397" s="182"/>
      <c r="T397" s="182"/>
      <c r="U397" s="169" t="s">
        <v>9</v>
      </c>
      <c r="V397" s="1" t="s">
        <v>2241</v>
      </c>
      <c r="W397" s="182">
        <v>0.19500000000000001</v>
      </c>
      <c r="AH397" s="1" t="s">
        <v>2241</v>
      </c>
      <c r="AI397" s="1" t="s">
        <v>1986</v>
      </c>
      <c r="AJ397" s="1">
        <v>0.5</v>
      </c>
    </row>
    <row r="398" spans="1:36" ht="15.75" customHeight="1" x14ac:dyDescent="0.3">
      <c r="A398" s="205" t="e">
        <f t="shared" ref="A398:C398" si="794">IF($B$1="Solo",IF(L397="","",L397),IF($B$1="Duet",IF(O397="","",O397),IF($B$1="Mixed",IF(R397="","",R397),IF(U397="","",U397))))</f>
        <v>#N/A</v>
      </c>
      <c r="B398" s="182" t="e">
        <f t="shared" si="794"/>
        <v>#N/A</v>
      </c>
      <c r="C398" s="182" t="e">
        <f t="shared" si="794"/>
        <v>#N/A</v>
      </c>
      <c r="D398" s="182" t="e">
        <f t="shared" ref="D398:E398" si="795">IF($D$1="Team",IF(AD397="","",AD397),"")</f>
        <v>#N/A</v>
      </c>
      <c r="E398" s="182" t="e">
        <f t="shared" si="795"/>
        <v>#N/A</v>
      </c>
      <c r="J398" s="170"/>
      <c r="K398" s="170"/>
      <c r="N398" s="182"/>
      <c r="O398" s="182"/>
      <c r="Q398" s="182"/>
      <c r="R398" s="182"/>
      <c r="T398" s="182"/>
      <c r="U398" s="169" t="s">
        <v>9</v>
      </c>
      <c r="V398" s="1" t="s">
        <v>2242</v>
      </c>
      <c r="W398" s="182">
        <v>0.34499999999999997</v>
      </c>
      <c r="AH398" s="1" t="s">
        <v>2242</v>
      </c>
      <c r="AI398" s="1" t="s">
        <v>1987</v>
      </c>
      <c r="AJ398" s="1">
        <v>0.5</v>
      </c>
    </row>
    <row r="399" spans="1:36" ht="15.75" customHeight="1" x14ac:dyDescent="0.3">
      <c r="A399" s="205" t="e">
        <f t="shared" ref="A399:C399" si="796">IF($B$1="Solo",IF(L398="","",L398),IF($B$1="Duet",IF(O398="","",O398),IF($B$1="Mixed",IF(R398="","",R398),IF(U398="","",U398))))</f>
        <v>#N/A</v>
      </c>
      <c r="B399" s="182" t="e">
        <f t="shared" si="796"/>
        <v>#N/A</v>
      </c>
      <c r="C399" s="182" t="e">
        <f t="shared" si="796"/>
        <v>#N/A</v>
      </c>
      <c r="D399" s="182" t="e">
        <f t="shared" ref="D399:E399" si="797">IF($D$1="Team",IF(AD398="","",AD398),"")</f>
        <v>#N/A</v>
      </c>
      <c r="E399" s="182" t="e">
        <f t="shared" si="797"/>
        <v>#N/A</v>
      </c>
      <c r="J399" s="170"/>
      <c r="K399" s="170"/>
      <c r="N399" s="182"/>
      <c r="O399" s="182"/>
      <c r="Q399" s="182"/>
      <c r="R399" s="182"/>
      <c r="T399" s="182"/>
      <c r="U399" s="169" t="s">
        <v>9</v>
      </c>
      <c r="V399" s="1" t="s">
        <v>2243</v>
      </c>
      <c r="W399" s="182">
        <v>0.435</v>
      </c>
      <c r="AH399" s="1" t="s">
        <v>2243</v>
      </c>
      <c r="AI399" s="1" t="s">
        <v>1988</v>
      </c>
      <c r="AJ399" s="1">
        <v>0.5</v>
      </c>
    </row>
    <row r="400" spans="1:36" ht="15.75" customHeight="1" x14ac:dyDescent="0.3">
      <c r="A400" s="205" t="e">
        <f t="shared" ref="A400:C400" si="798">IF($B$1="Solo",IF(L399="","",L399),IF($B$1="Duet",IF(O399="","",O399),IF($B$1="Mixed",IF(R399="","",R399),IF(U399="","",U399))))</f>
        <v>#N/A</v>
      </c>
      <c r="B400" s="182" t="e">
        <f t="shared" si="798"/>
        <v>#N/A</v>
      </c>
      <c r="C400" s="182" t="e">
        <f t="shared" si="798"/>
        <v>#N/A</v>
      </c>
      <c r="D400" s="182" t="e">
        <f t="shared" ref="D400:E400" si="799">IF($D$1="Team",IF(AD399="","",AD399),"")</f>
        <v>#N/A</v>
      </c>
      <c r="E400" s="182" t="e">
        <f t="shared" si="799"/>
        <v>#N/A</v>
      </c>
      <c r="J400" s="170"/>
      <c r="K400" s="170"/>
      <c r="N400" s="182"/>
      <c r="O400" s="182"/>
      <c r="Q400" s="182"/>
      <c r="R400" s="182"/>
      <c r="T400" s="182"/>
      <c r="U400" s="169" t="s">
        <v>9</v>
      </c>
      <c r="V400" s="1" t="s">
        <v>2244</v>
      </c>
      <c r="W400" s="182">
        <v>0.49499999999999994</v>
      </c>
      <c r="AH400" s="1" t="s">
        <v>2244</v>
      </c>
      <c r="AI400" s="1" t="s">
        <v>1989</v>
      </c>
      <c r="AJ400" s="1">
        <v>0.5</v>
      </c>
    </row>
    <row r="401" spans="1:36" ht="15.75" customHeight="1" x14ac:dyDescent="0.3">
      <c r="A401" s="205" t="e">
        <f t="shared" ref="A401:C401" si="800">IF($B$1="Solo",IF(L400="","",L400),IF($B$1="Duet",IF(O400="","",O400),IF($B$1="Mixed",IF(R400="","",R400),IF(U400="","",U400))))</f>
        <v>#N/A</v>
      </c>
      <c r="B401" s="182" t="e">
        <f t="shared" si="800"/>
        <v>#N/A</v>
      </c>
      <c r="C401" s="182" t="e">
        <f t="shared" si="800"/>
        <v>#N/A</v>
      </c>
      <c r="D401" s="182"/>
      <c r="E401" s="182"/>
      <c r="J401" s="170"/>
      <c r="K401" s="170"/>
      <c r="N401" s="182"/>
      <c r="O401" s="182"/>
      <c r="Q401" s="182"/>
      <c r="R401" s="182"/>
      <c r="T401" s="182"/>
      <c r="U401" s="169" t="s">
        <v>133</v>
      </c>
      <c r="V401" s="1" t="s">
        <v>2245</v>
      </c>
      <c r="W401" s="182">
        <v>1.4999999999999999E-2</v>
      </c>
      <c r="AH401" s="1" t="s">
        <v>2245</v>
      </c>
      <c r="AI401" s="1" t="s">
        <v>1990</v>
      </c>
      <c r="AJ401" s="1">
        <v>0.5</v>
      </c>
    </row>
    <row r="402" spans="1:36" ht="15.75" customHeight="1" x14ac:dyDescent="0.3">
      <c r="A402" s="205" t="e">
        <f t="shared" ref="A402:C402" si="801">IF($B$1="Solo",IF(L401="","",L401),IF($B$1="Duet",IF(O401="","",O401),IF($B$1="Mixed",IF(R401="","",R401),IF(U401="","",U401))))</f>
        <v>#N/A</v>
      </c>
      <c r="B402" s="182" t="e">
        <f t="shared" si="801"/>
        <v>#N/A</v>
      </c>
      <c r="C402" s="182" t="e">
        <f t="shared" si="801"/>
        <v>#N/A</v>
      </c>
      <c r="D402" s="182"/>
      <c r="E402" s="182"/>
      <c r="J402" s="170"/>
      <c r="K402" s="170"/>
      <c r="N402" s="182"/>
      <c r="O402" s="182"/>
      <c r="Q402" s="182"/>
      <c r="R402" s="182"/>
      <c r="T402" s="182"/>
      <c r="U402" s="169" t="s">
        <v>133</v>
      </c>
      <c r="V402" s="1" t="s">
        <v>2246</v>
      </c>
      <c r="W402" s="182">
        <v>0.03</v>
      </c>
      <c r="AH402" s="1" t="s">
        <v>2246</v>
      </c>
      <c r="AI402" s="1" t="s">
        <v>1991</v>
      </c>
      <c r="AJ402" s="1">
        <v>0.5</v>
      </c>
    </row>
    <row r="403" spans="1:36" ht="15.75" customHeight="1" x14ac:dyDescent="0.3">
      <c r="A403" s="205" t="e">
        <f t="shared" ref="A403:C403" si="802">IF($B$1="Solo",IF(L402="","",L402),IF($B$1="Duet",IF(O402="","",O402),IF($B$1="Mixed",IF(R402="","",R402),IF(U402="","",U402))))</f>
        <v>#N/A</v>
      </c>
      <c r="B403" s="182" t="e">
        <f t="shared" si="802"/>
        <v>#N/A</v>
      </c>
      <c r="C403" s="182" t="e">
        <f t="shared" si="802"/>
        <v>#N/A</v>
      </c>
      <c r="D403" s="182"/>
      <c r="E403" s="182"/>
      <c r="J403" s="170"/>
      <c r="K403" s="170"/>
      <c r="N403" s="182"/>
      <c r="O403" s="182"/>
      <c r="Q403" s="182"/>
      <c r="R403" s="182"/>
      <c r="T403" s="182"/>
      <c r="U403" s="169" t="s">
        <v>133</v>
      </c>
      <c r="V403" s="1" t="s">
        <v>2247</v>
      </c>
      <c r="W403" s="182">
        <v>0.03</v>
      </c>
      <c r="AH403" s="1" t="s">
        <v>2247</v>
      </c>
      <c r="AI403" s="1" t="s">
        <v>1992</v>
      </c>
      <c r="AJ403" s="1">
        <v>0.5</v>
      </c>
    </row>
    <row r="404" spans="1:36" ht="15.75" customHeight="1" x14ac:dyDescent="0.3">
      <c r="A404" s="205" t="e">
        <f t="shared" ref="A404:C404" si="803">IF($B$1="Solo",IF(L403="","",L403),IF($B$1="Duet",IF(O403="","",O403),IF($B$1="Mixed",IF(R403="","",R403),IF(U403="","",U403))))</f>
        <v>#N/A</v>
      </c>
      <c r="B404" s="182" t="e">
        <f t="shared" si="803"/>
        <v>#N/A</v>
      </c>
      <c r="C404" s="182" t="e">
        <f t="shared" si="803"/>
        <v>#N/A</v>
      </c>
      <c r="D404" s="182"/>
      <c r="E404" s="182"/>
      <c r="J404" s="170"/>
      <c r="K404" s="170"/>
      <c r="N404" s="182"/>
      <c r="O404" s="182"/>
      <c r="Q404" s="182"/>
      <c r="R404" s="182"/>
      <c r="T404" s="182"/>
      <c r="U404" s="169" t="s">
        <v>133</v>
      </c>
      <c r="V404" s="1" t="s">
        <v>2248</v>
      </c>
      <c r="W404" s="182">
        <v>0.03</v>
      </c>
      <c r="AH404" s="1" t="s">
        <v>2248</v>
      </c>
      <c r="AI404" s="1" t="s">
        <v>1993</v>
      </c>
      <c r="AJ404" s="1">
        <v>0.5</v>
      </c>
    </row>
    <row r="405" spans="1:36" ht="15.75" customHeight="1" x14ac:dyDescent="0.3">
      <c r="A405" s="205" t="e">
        <f t="shared" ref="A405:C405" si="804">IF($B$1="Solo",IF(L404="","",L404),IF($B$1="Duet",IF(O404="","",O404),IF($B$1="Mixed",IF(R404="","",R404),IF(U404="","",U404))))</f>
        <v>#N/A</v>
      </c>
      <c r="B405" s="182" t="e">
        <f t="shared" si="804"/>
        <v>#N/A</v>
      </c>
      <c r="C405" s="182" t="e">
        <f t="shared" si="804"/>
        <v>#N/A</v>
      </c>
      <c r="D405" s="182"/>
      <c r="E405" s="182"/>
      <c r="J405" s="170"/>
      <c r="K405" s="170"/>
      <c r="N405" s="182"/>
      <c r="O405" s="182"/>
      <c r="Q405" s="182"/>
      <c r="R405" s="182"/>
      <c r="T405" s="182"/>
      <c r="U405" s="169" t="s">
        <v>133</v>
      </c>
      <c r="V405" s="1" t="s">
        <v>2249</v>
      </c>
      <c r="W405" s="182">
        <v>0.06</v>
      </c>
      <c r="AH405" s="1" t="s">
        <v>2249</v>
      </c>
      <c r="AI405" s="1" t="s">
        <v>1994</v>
      </c>
      <c r="AJ405" s="1">
        <v>0.5</v>
      </c>
    </row>
    <row r="406" spans="1:36" ht="15.75" customHeight="1" x14ac:dyDescent="0.3">
      <c r="A406" s="205" t="e">
        <f t="shared" ref="A406:C406" si="805">IF($B$1="Solo",IF(L405="","",L405),IF($B$1="Duet",IF(O405="","",O405),IF($B$1="Mixed",IF(R405="","",R405),IF(U405="","",U405))))</f>
        <v>#N/A</v>
      </c>
      <c r="B406" s="182" t="e">
        <f t="shared" si="805"/>
        <v>#N/A</v>
      </c>
      <c r="C406" s="182" t="e">
        <f t="shared" si="805"/>
        <v>#N/A</v>
      </c>
      <c r="D406" s="182"/>
      <c r="E406" s="182"/>
      <c r="J406" s="170"/>
      <c r="K406" s="170"/>
      <c r="N406" s="182"/>
      <c r="O406" s="182"/>
      <c r="Q406" s="182"/>
      <c r="R406" s="182"/>
      <c r="T406" s="182"/>
      <c r="U406" s="169" t="s">
        <v>133</v>
      </c>
      <c r="V406" s="1" t="s">
        <v>2250</v>
      </c>
      <c r="W406" s="182">
        <v>0.06</v>
      </c>
      <c r="AH406" s="1" t="s">
        <v>2250</v>
      </c>
      <c r="AI406" s="1" t="s">
        <v>1995</v>
      </c>
      <c r="AJ406" s="1">
        <v>0.5</v>
      </c>
    </row>
    <row r="407" spans="1:36" ht="15.75" customHeight="1" x14ac:dyDescent="0.3">
      <c r="A407" s="205" t="e">
        <f t="shared" ref="A407:C407" si="806">IF($B$1="Solo",IF(L406="","",L406),IF($B$1="Duet",IF(O406="","",O406),IF($B$1="Mixed",IF(R406="","",R406),IF(U406="","",U406))))</f>
        <v>#N/A</v>
      </c>
      <c r="B407" s="182" t="e">
        <f t="shared" si="806"/>
        <v>#N/A</v>
      </c>
      <c r="C407" s="182" t="e">
        <f t="shared" si="806"/>
        <v>#N/A</v>
      </c>
      <c r="D407" s="182"/>
      <c r="E407" s="182"/>
      <c r="J407" s="170"/>
      <c r="K407" s="170"/>
      <c r="N407" s="182"/>
      <c r="O407" s="182"/>
      <c r="Q407" s="182"/>
      <c r="R407" s="182"/>
      <c r="T407" s="182"/>
      <c r="U407" s="169" t="s">
        <v>133</v>
      </c>
      <c r="V407" s="1" t="s">
        <v>2251</v>
      </c>
      <c r="W407" s="182">
        <v>0.06</v>
      </c>
      <c r="AH407" s="1" t="s">
        <v>2251</v>
      </c>
      <c r="AI407" s="1" t="s">
        <v>1996</v>
      </c>
      <c r="AJ407" s="1">
        <v>0.5</v>
      </c>
    </row>
    <row r="408" spans="1:36" ht="15.75" customHeight="1" x14ac:dyDescent="0.3">
      <c r="A408" s="205" t="e">
        <f t="shared" ref="A408:C408" si="807">IF($B$1="Solo",IF(L407="","",L407),IF($B$1="Duet",IF(O407="","",O407),IF($B$1="Mixed",IF(R407="","",R407),IF(U407="","",U407))))</f>
        <v>#N/A</v>
      </c>
      <c r="B408" s="182" t="e">
        <f t="shared" si="807"/>
        <v>#N/A</v>
      </c>
      <c r="C408" s="182" t="e">
        <f t="shared" si="807"/>
        <v>#N/A</v>
      </c>
      <c r="D408" s="182"/>
      <c r="E408" s="182"/>
      <c r="J408" s="170"/>
      <c r="K408" s="170"/>
      <c r="N408" s="182"/>
      <c r="O408" s="182"/>
      <c r="Q408" s="182"/>
      <c r="R408" s="182"/>
      <c r="T408" s="182"/>
      <c r="U408" s="169" t="s">
        <v>133</v>
      </c>
      <c r="V408" s="1" t="s">
        <v>2252</v>
      </c>
      <c r="W408" s="182">
        <v>0.09</v>
      </c>
      <c r="AH408" s="1" t="s">
        <v>2252</v>
      </c>
      <c r="AI408" s="1" t="s">
        <v>1997</v>
      </c>
      <c r="AJ408" s="1">
        <v>0.5</v>
      </c>
    </row>
    <row r="409" spans="1:36" ht="15.75" customHeight="1" x14ac:dyDescent="0.3">
      <c r="A409" s="205" t="e">
        <f t="shared" ref="A409:C409" si="808">IF($B$1="Solo",IF(L408="","",L408),IF($B$1="Duet",IF(O408="","",O408),IF($B$1="Mixed",IF(R408="","",R408),IF(U408="","",U408))))</f>
        <v>#N/A</v>
      </c>
      <c r="B409" s="182" t="e">
        <f t="shared" si="808"/>
        <v>#N/A</v>
      </c>
      <c r="C409" s="182" t="e">
        <f t="shared" si="808"/>
        <v>#N/A</v>
      </c>
      <c r="D409" s="182"/>
      <c r="E409" s="182"/>
      <c r="J409" s="170"/>
      <c r="K409" s="170"/>
      <c r="N409" s="182"/>
      <c r="O409" s="182"/>
      <c r="Q409" s="182"/>
      <c r="R409" s="182"/>
      <c r="T409" s="182"/>
      <c r="U409" s="169" t="s">
        <v>133</v>
      </c>
      <c r="V409" s="1" t="s">
        <v>2253</v>
      </c>
      <c r="W409" s="182">
        <v>0.09</v>
      </c>
      <c r="AH409" s="1" t="s">
        <v>2253</v>
      </c>
      <c r="AI409" s="1" t="s">
        <v>1998</v>
      </c>
      <c r="AJ409" s="1">
        <v>0.5</v>
      </c>
    </row>
    <row r="410" spans="1:36" ht="15.75" customHeight="1" x14ac:dyDescent="0.3">
      <c r="A410" s="205" t="e">
        <f t="shared" ref="A410:C410" si="809">IF($B$1="Solo",IF(L409="","",L409),IF($B$1="Duet",IF(O409="","",O409),IF($B$1="Mixed",IF(R409="","",R409),IF(U409="","",U409))))</f>
        <v>#N/A</v>
      </c>
      <c r="B410" s="182" t="e">
        <f t="shared" si="809"/>
        <v>#N/A</v>
      </c>
      <c r="C410" s="182" t="e">
        <f t="shared" si="809"/>
        <v>#N/A</v>
      </c>
      <c r="D410" s="182"/>
      <c r="E410" s="182"/>
      <c r="J410" s="170"/>
      <c r="K410" s="170"/>
      <c r="N410" s="182"/>
      <c r="O410" s="182"/>
      <c r="Q410" s="182"/>
      <c r="R410" s="182"/>
      <c r="T410" s="182"/>
      <c r="U410" s="169" t="s">
        <v>133</v>
      </c>
      <c r="V410" s="1" t="s">
        <v>2254</v>
      </c>
      <c r="W410" s="182">
        <v>0.09</v>
      </c>
      <c r="AH410" s="1" t="s">
        <v>2254</v>
      </c>
      <c r="AI410" s="1" t="s">
        <v>1999</v>
      </c>
      <c r="AJ410" s="1">
        <v>0.5</v>
      </c>
    </row>
    <row r="411" spans="1:36" ht="15.75" customHeight="1" x14ac:dyDescent="0.3">
      <c r="A411" s="205" t="e">
        <f t="shared" ref="A411:C411" si="810">IF($B$1="Solo",IF(L410="","",L410),IF($B$1="Duet",IF(O410="","",O410),IF($B$1="Mixed",IF(R410="","",R410),IF(U410="","",U410))))</f>
        <v>#N/A</v>
      </c>
      <c r="B411" s="182" t="e">
        <f t="shared" si="810"/>
        <v>#N/A</v>
      </c>
      <c r="C411" s="182" t="e">
        <f t="shared" si="810"/>
        <v>#N/A</v>
      </c>
      <c r="D411" s="182"/>
      <c r="E411" s="182"/>
      <c r="J411" s="170"/>
      <c r="K411" s="170"/>
      <c r="N411" s="182"/>
      <c r="O411" s="182"/>
      <c r="Q411" s="182"/>
      <c r="R411" s="182"/>
      <c r="T411" s="182"/>
      <c r="U411" s="169" t="s">
        <v>133</v>
      </c>
      <c r="V411" s="1" t="s">
        <v>2255</v>
      </c>
      <c r="W411" s="182">
        <v>0.12</v>
      </c>
      <c r="AH411" s="1" t="s">
        <v>2255</v>
      </c>
      <c r="AI411" s="1" t="s">
        <v>2000</v>
      </c>
      <c r="AJ411" s="1">
        <v>0.5</v>
      </c>
    </row>
    <row r="412" spans="1:36" ht="15.75" customHeight="1" x14ac:dyDescent="0.3">
      <c r="A412" s="205" t="e">
        <f t="shared" ref="A412:C412" si="811">IF($B$1="Solo",IF(L411="","",L411),IF($B$1="Duet",IF(O411="","",O411),IF($B$1="Mixed",IF(R411="","",R411),IF(U411="","",U411))))</f>
        <v>#N/A</v>
      </c>
      <c r="B412" s="182" t="e">
        <f t="shared" si="811"/>
        <v>#N/A</v>
      </c>
      <c r="C412" s="182" t="e">
        <f t="shared" si="811"/>
        <v>#N/A</v>
      </c>
      <c r="D412" s="182"/>
      <c r="E412" s="182"/>
      <c r="J412" s="170"/>
      <c r="K412" s="170"/>
      <c r="N412" s="182"/>
      <c r="O412" s="182"/>
      <c r="Q412" s="182"/>
      <c r="R412" s="182"/>
      <c r="T412" s="182"/>
      <c r="U412" s="169" t="s">
        <v>133</v>
      </c>
      <c r="V412" s="1" t="s">
        <v>2256</v>
      </c>
      <c r="W412" s="182">
        <v>0.12</v>
      </c>
      <c r="AH412" s="1" t="s">
        <v>2256</v>
      </c>
      <c r="AI412" s="1" t="s">
        <v>2001</v>
      </c>
      <c r="AJ412" s="1">
        <v>0.5</v>
      </c>
    </row>
    <row r="413" spans="1:36" ht="15.75" customHeight="1" x14ac:dyDescent="0.3">
      <c r="A413" s="205" t="e">
        <f t="shared" ref="A413:C413" si="812">IF($B$1="Solo",IF(L412="","",L412),IF($B$1="Duet",IF(O412="","",O412),IF($B$1="Mixed",IF(R412="","",R412),IF(U412="","",U412))))</f>
        <v>#N/A</v>
      </c>
      <c r="B413" s="182" t="e">
        <f t="shared" si="812"/>
        <v>#N/A</v>
      </c>
      <c r="C413" s="182" t="e">
        <f t="shared" si="812"/>
        <v>#N/A</v>
      </c>
      <c r="D413" s="182"/>
      <c r="E413" s="182"/>
      <c r="J413" s="170"/>
      <c r="K413" s="170"/>
      <c r="N413" s="182"/>
      <c r="O413" s="182"/>
      <c r="Q413" s="182"/>
      <c r="R413" s="182"/>
      <c r="T413" s="182"/>
      <c r="U413" s="169" t="s">
        <v>133</v>
      </c>
      <c r="V413" s="1" t="s">
        <v>2257</v>
      </c>
      <c r="W413" s="182">
        <v>0.12</v>
      </c>
      <c r="AH413" s="1" t="s">
        <v>2257</v>
      </c>
      <c r="AI413" s="1" t="s">
        <v>2002</v>
      </c>
      <c r="AJ413" s="1">
        <v>0.5</v>
      </c>
    </row>
    <row r="414" spans="1:36" ht="15.75" customHeight="1" x14ac:dyDescent="0.3">
      <c r="A414" s="205" t="e">
        <f t="shared" ref="A414:C414" si="813">IF($B$1="Solo",IF(L413="","",L413),IF($B$1="Duet",IF(O413="","",O413),IF($B$1="Mixed",IF(R413="","",R413),IF(U413="","",U413))))</f>
        <v>#N/A</v>
      </c>
      <c r="B414" s="182" t="e">
        <f t="shared" si="813"/>
        <v>#N/A</v>
      </c>
      <c r="C414" s="182" t="e">
        <f t="shared" si="813"/>
        <v>#N/A</v>
      </c>
      <c r="D414" s="182"/>
      <c r="E414" s="182"/>
      <c r="J414" s="170"/>
      <c r="K414" s="170"/>
      <c r="N414" s="182"/>
      <c r="O414" s="182"/>
      <c r="Q414" s="182"/>
      <c r="R414" s="182"/>
      <c r="T414" s="182"/>
      <c r="U414" s="169" t="s">
        <v>133</v>
      </c>
      <c r="V414" s="1" t="s">
        <v>2258</v>
      </c>
      <c r="W414" s="182">
        <v>0.12</v>
      </c>
      <c r="AH414" s="1" t="s">
        <v>2258</v>
      </c>
      <c r="AI414" s="1" t="s">
        <v>2003</v>
      </c>
      <c r="AJ414" s="1">
        <v>0.5</v>
      </c>
    </row>
    <row r="415" spans="1:36" ht="15.75" customHeight="1" x14ac:dyDescent="0.3">
      <c r="A415" s="205" t="e">
        <f t="shared" ref="A415:C415" si="814">IF($B$1="Solo",IF(L414="","",L414),IF($B$1="Duet",IF(O414="","",O414),IF($B$1="Mixed",IF(R414="","",R414),IF(U414="","",U414))))</f>
        <v>#N/A</v>
      </c>
      <c r="B415" s="182" t="e">
        <f t="shared" si="814"/>
        <v>#N/A</v>
      </c>
      <c r="C415" s="182" t="e">
        <f t="shared" si="814"/>
        <v>#N/A</v>
      </c>
      <c r="D415" s="182"/>
      <c r="E415" s="182"/>
      <c r="J415" s="170"/>
      <c r="K415" s="170"/>
      <c r="N415" s="182"/>
      <c r="O415" s="182"/>
      <c r="Q415" s="182"/>
      <c r="R415" s="182"/>
      <c r="T415" s="182"/>
      <c r="U415" s="169" t="s">
        <v>133</v>
      </c>
      <c r="V415" s="1" t="s">
        <v>2259</v>
      </c>
      <c r="W415" s="182">
        <v>0.12</v>
      </c>
      <c r="AH415" s="1" t="s">
        <v>2259</v>
      </c>
      <c r="AI415" s="1" t="s">
        <v>2004</v>
      </c>
      <c r="AJ415" s="1">
        <v>0.5</v>
      </c>
    </row>
    <row r="416" spans="1:36" ht="15.75" customHeight="1" x14ac:dyDescent="0.3">
      <c r="A416" s="205" t="e">
        <f t="shared" ref="A416:C416" si="815">IF($B$1="Solo",IF(L415="","",L415),IF($B$1="Duet",IF(O415="","",O415),IF($B$1="Mixed",IF(R415="","",R415),IF(U415="","",U415))))</f>
        <v>#N/A</v>
      </c>
      <c r="B416" s="182" t="e">
        <f t="shared" si="815"/>
        <v>#N/A</v>
      </c>
      <c r="C416" s="182" t="e">
        <f t="shared" si="815"/>
        <v>#N/A</v>
      </c>
      <c r="D416" s="182"/>
      <c r="E416" s="182"/>
      <c r="J416" s="170"/>
      <c r="K416" s="170"/>
      <c r="N416" s="182"/>
      <c r="O416" s="182"/>
      <c r="Q416" s="182"/>
      <c r="R416" s="182"/>
      <c r="T416" s="182"/>
      <c r="U416" s="169" t="s">
        <v>133</v>
      </c>
      <c r="V416" s="1" t="s">
        <v>2260</v>
      </c>
      <c r="W416" s="182">
        <v>0.12</v>
      </c>
      <c r="AH416" s="1" t="s">
        <v>2260</v>
      </c>
      <c r="AI416" s="1" t="s">
        <v>2005</v>
      </c>
      <c r="AJ416" s="1">
        <v>0.5</v>
      </c>
    </row>
    <row r="417" spans="1:36" ht="15.75" customHeight="1" x14ac:dyDescent="0.3">
      <c r="A417" s="205" t="e">
        <f t="shared" ref="A417:C417" si="816">IF($B$1="Solo",IF(L416="","",L416),IF($B$1="Duet",IF(O416="","",O416),IF($B$1="Mixed",IF(R416="","",R416),IF(U416="","",U416))))</f>
        <v>#N/A</v>
      </c>
      <c r="B417" s="182" t="e">
        <f t="shared" si="816"/>
        <v>#N/A</v>
      </c>
      <c r="C417" s="182" t="e">
        <f t="shared" si="816"/>
        <v>#N/A</v>
      </c>
      <c r="D417" s="182"/>
      <c r="E417" s="182"/>
      <c r="J417" s="170"/>
      <c r="K417" s="170"/>
      <c r="N417" s="182"/>
      <c r="O417" s="182"/>
      <c r="Q417" s="182"/>
      <c r="R417" s="182"/>
      <c r="T417" s="182"/>
      <c r="U417" s="169" t="s">
        <v>133</v>
      </c>
      <c r="V417" s="1" t="s">
        <v>2261</v>
      </c>
      <c r="W417" s="182">
        <v>0.15</v>
      </c>
      <c r="AH417" s="1" t="s">
        <v>2261</v>
      </c>
      <c r="AI417" s="1" t="s">
        <v>2006</v>
      </c>
      <c r="AJ417" s="1">
        <v>0.5</v>
      </c>
    </row>
    <row r="418" spans="1:36" ht="15.75" customHeight="1" x14ac:dyDescent="0.3">
      <c r="A418" s="205" t="e">
        <f t="shared" ref="A418:C418" si="817">IF($B$1="Solo",IF(L417="","",L417),IF($B$1="Duet",IF(O417="","",O417),IF($B$1="Mixed",IF(R417="","",R417),IF(U417="","",U417))))</f>
        <v>#N/A</v>
      </c>
      <c r="B418" s="182" t="e">
        <f t="shared" si="817"/>
        <v>#N/A</v>
      </c>
      <c r="C418" s="182" t="e">
        <f t="shared" si="817"/>
        <v>#N/A</v>
      </c>
      <c r="D418" s="182"/>
      <c r="E418" s="182"/>
      <c r="J418" s="170"/>
      <c r="K418" s="170"/>
      <c r="N418" s="182"/>
      <c r="O418" s="182"/>
      <c r="Q418" s="182"/>
      <c r="R418" s="182"/>
      <c r="T418" s="182"/>
      <c r="U418" s="169" t="s">
        <v>133</v>
      </c>
      <c r="V418" s="1" t="s">
        <v>2262</v>
      </c>
      <c r="W418" s="182">
        <v>0.15</v>
      </c>
      <c r="AH418" s="1" t="s">
        <v>2262</v>
      </c>
      <c r="AI418" s="1" t="s">
        <v>2007</v>
      </c>
      <c r="AJ418" s="1">
        <v>0.5</v>
      </c>
    </row>
    <row r="419" spans="1:36" ht="15.75" customHeight="1" x14ac:dyDescent="0.3">
      <c r="A419" s="205" t="e">
        <f t="shared" ref="A419:C419" si="818">IF($B$1="Solo",IF(L418="","",L418),IF($B$1="Duet",IF(O418="","",O418),IF($B$1="Mixed",IF(R418="","",R418),IF(U418="","",U418))))</f>
        <v>#N/A</v>
      </c>
      <c r="B419" s="182" t="e">
        <f t="shared" si="818"/>
        <v>#N/A</v>
      </c>
      <c r="C419" s="182" t="e">
        <f t="shared" si="818"/>
        <v>#N/A</v>
      </c>
      <c r="D419" s="182"/>
      <c r="E419" s="182"/>
      <c r="J419" s="170"/>
      <c r="K419" s="170"/>
      <c r="N419" s="182"/>
      <c r="O419" s="182"/>
      <c r="Q419" s="182"/>
      <c r="R419" s="182"/>
      <c r="T419" s="182"/>
      <c r="U419" s="169" t="s">
        <v>133</v>
      </c>
      <c r="V419" s="1" t="s">
        <v>2263</v>
      </c>
      <c r="W419" s="182">
        <v>0.15</v>
      </c>
      <c r="AH419" s="1" t="s">
        <v>2263</v>
      </c>
      <c r="AI419" s="1" t="s">
        <v>2008</v>
      </c>
      <c r="AJ419" s="1">
        <v>0.5</v>
      </c>
    </row>
    <row r="420" spans="1:36" ht="15.75" customHeight="1" x14ac:dyDescent="0.3">
      <c r="A420" s="205" t="e">
        <f t="shared" ref="A420:C420" si="819">IF($B$1="Solo",IF(L419="","",L419),IF($B$1="Duet",IF(O419="","",O419),IF($B$1="Mixed",IF(R419="","",R419),IF(U419="","",U419))))</f>
        <v>#N/A</v>
      </c>
      <c r="B420" s="182" t="e">
        <f t="shared" si="819"/>
        <v>#N/A</v>
      </c>
      <c r="C420" s="182" t="e">
        <f t="shared" si="819"/>
        <v>#N/A</v>
      </c>
      <c r="D420" s="182"/>
      <c r="E420" s="182"/>
      <c r="J420" s="170"/>
      <c r="K420" s="170"/>
      <c r="N420" s="182"/>
      <c r="O420" s="182"/>
      <c r="Q420" s="182"/>
      <c r="R420" s="182"/>
      <c r="T420" s="182"/>
      <c r="U420" s="169" t="s">
        <v>133</v>
      </c>
      <c r="V420" s="1" t="s">
        <v>2264</v>
      </c>
      <c r="W420" s="182">
        <v>0.19500000000000001</v>
      </c>
      <c r="AH420" s="1" t="s">
        <v>2264</v>
      </c>
      <c r="AI420" s="1" t="s">
        <v>2009</v>
      </c>
      <c r="AJ420" s="1">
        <v>0.5</v>
      </c>
    </row>
    <row r="421" spans="1:36" ht="15.75" customHeight="1" x14ac:dyDescent="0.3">
      <c r="A421" s="205" t="e">
        <f t="shared" ref="A421:C421" si="820">IF($B$1="Solo",IF(L420="","",L420),IF($B$1="Duet",IF(O420="","",O420),IF($B$1="Mixed",IF(R420="","",R420),IF(U420="","",U420))))</f>
        <v>#N/A</v>
      </c>
      <c r="B421" s="182" t="e">
        <f t="shared" si="820"/>
        <v>#N/A</v>
      </c>
      <c r="C421" s="182" t="e">
        <f t="shared" si="820"/>
        <v>#N/A</v>
      </c>
      <c r="D421" s="182"/>
      <c r="E421" s="182"/>
      <c r="J421" s="170"/>
      <c r="K421" s="170"/>
      <c r="N421" s="182"/>
      <c r="O421" s="182"/>
      <c r="Q421" s="182"/>
      <c r="R421" s="182"/>
      <c r="T421" s="182"/>
      <c r="U421" s="169" t="s">
        <v>133</v>
      </c>
      <c r="V421" s="1" t="s">
        <v>2265</v>
      </c>
      <c r="W421" s="182">
        <v>0.19500000000000001</v>
      </c>
      <c r="AH421" s="1" t="s">
        <v>2265</v>
      </c>
      <c r="AI421" s="1" t="s">
        <v>2010</v>
      </c>
      <c r="AJ421" s="1">
        <v>0.5</v>
      </c>
    </row>
    <row r="422" spans="1:36" ht="15.75" customHeight="1" x14ac:dyDescent="0.3">
      <c r="A422" s="205" t="e">
        <f t="shared" ref="A422:C422" si="821">IF($B$1="Solo",IF(L421="","",L421),IF($B$1="Duet",IF(O421="","",O421),IF($B$1="Mixed",IF(R421="","",R421),IF(U421="","",U421))))</f>
        <v>#N/A</v>
      </c>
      <c r="B422" s="182" t="e">
        <f t="shared" si="821"/>
        <v>#N/A</v>
      </c>
      <c r="C422" s="182" t="e">
        <f t="shared" si="821"/>
        <v>#N/A</v>
      </c>
      <c r="D422" s="182"/>
      <c r="E422" s="182"/>
      <c r="J422" s="170"/>
      <c r="K422" s="170"/>
      <c r="N422" s="182"/>
      <c r="O422" s="182"/>
      <c r="Q422" s="182"/>
      <c r="R422" s="182"/>
      <c r="T422" s="182"/>
      <c r="U422" s="169" t="s">
        <v>133</v>
      </c>
      <c r="V422" s="1" t="s">
        <v>2266</v>
      </c>
      <c r="W422" s="182">
        <v>0.19500000000000001</v>
      </c>
      <c r="AH422" s="1" t="s">
        <v>2266</v>
      </c>
      <c r="AI422" s="1" t="s">
        <v>2011</v>
      </c>
      <c r="AJ422" s="1">
        <v>0.5</v>
      </c>
    </row>
    <row r="423" spans="1:36" ht="15.75" customHeight="1" x14ac:dyDescent="0.3">
      <c r="A423" s="205" t="e">
        <f t="shared" ref="A423:C423" si="822">IF($B$1="Solo",IF(L422="","",L422),IF($B$1="Duet",IF(O422="","",O422),IF($B$1="Mixed",IF(R422="","",R422),IF(U422="","",U422))))</f>
        <v>#N/A</v>
      </c>
      <c r="B423" s="182" t="e">
        <f t="shared" si="822"/>
        <v>#N/A</v>
      </c>
      <c r="C423" s="182" t="e">
        <f t="shared" si="822"/>
        <v>#N/A</v>
      </c>
      <c r="D423" s="182"/>
      <c r="E423" s="182"/>
      <c r="J423" s="170"/>
      <c r="K423" s="170"/>
      <c r="N423" s="182"/>
      <c r="O423" s="182"/>
      <c r="Q423" s="182"/>
      <c r="R423" s="182"/>
      <c r="T423" s="182"/>
      <c r="U423" s="169" t="s">
        <v>133</v>
      </c>
      <c r="V423" s="1" t="s">
        <v>2267</v>
      </c>
      <c r="W423" s="182">
        <v>0.19500000000000001</v>
      </c>
      <c r="AH423" s="1" t="s">
        <v>2267</v>
      </c>
      <c r="AI423" s="1" t="s">
        <v>2012</v>
      </c>
      <c r="AJ423" s="1">
        <v>0.5</v>
      </c>
    </row>
    <row r="424" spans="1:36" ht="15.75" customHeight="1" x14ac:dyDescent="0.3">
      <c r="A424" s="205" t="e">
        <f t="shared" ref="A424:C424" si="823">IF($B$1="Solo",IF(L423="","",L423),IF($B$1="Duet",IF(O423="","",O423),IF($B$1="Mixed",IF(R423="","",R423),IF(U423="","",U423))))</f>
        <v>#N/A</v>
      </c>
      <c r="B424" s="182" t="e">
        <f t="shared" si="823"/>
        <v>#N/A</v>
      </c>
      <c r="C424" s="182" t="e">
        <f t="shared" si="823"/>
        <v>#N/A</v>
      </c>
      <c r="D424" s="182"/>
      <c r="E424" s="182"/>
      <c r="J424" s="170"/>
      <c r="K424" s="170"/>
      <c r="N424" s="182"/>
      <c r="O424" s="182"/>
      <c r="Q424" s="182"/>
      <c r="R424" s="182"/>
      <c r="T424" s="182"/>
      <c r="U424" s="169" t="s">
        <v>133</v>
      </c>
      <c r="V424" s="1" t="s">
        <v>2268</v>
      </c>
      <c r="W424" s="182">
        <v>0.22499999999999998</v>
      </c>
      <c r="AH424" s="1" t="s">
        <v>2268</v>
      </c>
      <c r="AI424" s="1" t="s">
        <v>2013</v>
      </c>
      <c r="AJ424" s="1">
        <v>0.5</v>
      </c>
    </row>
    <row r="425" spans="1:36" ht="15.75" customHeight="1" x14ac:dyDescent="0.3">
      <c r="A425" s="205" t="e">
        <f t="shared" ref="A425:C425" si="824">IF($B$1="Solo",IF(L424="","",L424),IF($B$1="Duet",IF(O424="","",O424),IF($B$1="Mixed",IF(R424="","",R424),IF(U424="","",U424))))</f>
        <v>#N/A</v>
      </c>
      <c r="B425" s="182" t="e">
        <f t="shared" si="824"/>
        <v>#N/A</v>
      </c>
      <c r="C425" s="182" t="e">
        <f t="shared" si="824"/>
        <v>#N/A</v>
      </c>
      <c r="D425" s="182"/>
      <c r="E425" s="182"/>
      <c r="J425" s="170"/>
      <c r="K425" s="170"/>
      <c r="N425" s="182"/>
      <c r="O425" s="182"/>
      <c r="Q425" s="182"/>
      <c r="R425" s="182"/>
      <c r="T425" s="182"/>
      <c r="U425" s="169" t="s">
        <v>133</v>
      </c>
      <c r="V425" s="1" t="s">
        <v>2269</v>
      </c>
      <c r="W425" s="182">
        <v>0.27</v>
      </c>
      <c r="AH425" s="1" t="s">
        <v>2269</v>
      </c>
      <c r="AI425" s="1" t="s">
        <v>2014</v>
      </c>
      <c r="AJ425" s="1">
        <v>0.5</v>
      </c>
    </row>
    <row r="426" spans="1:36" ht="15.75" customHeight="1" x14ac:dyDescent="0.3">
      <c r="A426" s="205" t="e">
        <f t="shared" ref="A426:C426" si="825">IF($B$1="Solo",IF(L425="","",L425),IF($B$1="Duet",IF(O425="","",O425),IF($B$1="Mixed",IF(R425="","",R425),IF(U425="","",U425))))</f>
        <v>#N/A</v>
      </c>
      <c r="B426" s="182" t="e">
        <f t="shared" si="825"/>
        <v>#N/A</v>
      </c>
      <c r="C426" s="182" t="e">
        <f t="shared" si="825"/>
        <v>#N/A</v>
      </c>
      <c r="D426" s="182"/>
      <c r="E426" s="182"/>
      <c r="J426" s="170"/>
      <c r="K426" s="170"/>
      <c r="N426" s="182"/>
      <c r="O426" s="182"/>
      <c r="Q426" s="182"/>
      <c r="R426" s="182"/>
      <c r="T426" s="182"/>
      <c r="U426" s="169" t="s">
        <v>133</v>
      </c>
      <c r="V426" s="1" t="s">
        <v>2270</v>
      </c>
      <c r="W426" s="182">
        <v>0.27</v>
      </c>
      <c r="AH426" s="1" t="s">
        <v>2270</v>
      </c>
      <c r="AI426" s="1" t="s">
        <v>2015</v>
      </c>
      <c r="AJ426" s="1">
        <v>0.5</v>
      </c>
    </row>
    <row r="427" spans="1:36" ht="15.75" customHeight="1" x14ac:dyDescent="0.3">
      <c r="A427" s="205" t="e">
        <f t="shared" ref="A427:C427" si="826">IF($B$1="Solo",IF(L426="","",L426),IF($B$1="Duet",IF(O426="","",O426),IF($B$1="Mixed",IF(R426="","",R426),IF(U426="","",U426))))</f>
        <v>#N/A</v>
      </c>
      <c r="B427" s="182" t="e">
        <f t="shared" si="826"/>
        <v>#N/A</v>
      </c>
      <c r="C427" s="182" t="e">
        <f t="shared" si="826"/>
        <v>#N/A</v>
      </c>
      <c r="D427" s="182"/>
      <c r="E427" s="182"/>
      <c r="J427" s="170"/>
      <c r="K427" s="170"/>
      <c r="N427" s="182"/>
      <c r="O427" s="182"/>
      <c r="Q427" s="182"/>
      <c r="R427" s="182"/>
      <c r="T427" s="182"/>
      <c r="U427" s="169" t="s">
        <v>133</v>
      </c>
      <c r="V427" s="1" t="s">
        <v>2271</v>
      </c>
      <c r="W427" s="182">
        <v>0.3</v>
      </c>
      <c r="AH427" s="1" t="s">
        <v>2271</v>
      </c>
      <c r="AI427" s="1" t="s">
        <v>2016</v>
      </c>
      <c r="AJ427" s="1">
        <v>0.5</v>
      </c>
    </row>
    <row r="428" spans="1:36" ht="15.75" customHeight="1" x14ac:dyDescent="0.3">
      <c r="A428" s="205" t="e">
        <f t="shared" ref="A428:C428" si="827">IF($B$1="Solo",IF(L427="","",L427),IF($B$1="Duet",IF(O427="","",O427),IF($B$1="Mixed",IF(R427="","",R427),IF(U427="","",U427))))</f>
        <v>#N/A</v>
      </c>
      <c r="B428" s="182" t="e">
        <f t="shared" si="827"/>
        <v>#N/A</v>
      </c>
      <c r="C428" s="182" t="e">
        <f t="shared" si="827"/>
        <v>#N/A</v>
      </c>
      <c r="D428" s="182"/>
      <c r="E428" s="182"/>
      <c r="J428" s="170"/>
      <c r="K428" s="170"/>
      <c r="N428" s="182"/>
      <c r="O428" s="182"/>
      <c r="Q428" s="182"/>
      <c r="R428" s="182"/>
      <c r="T428" s="182"/>
      <c r="U428" s="169" t="s">
        <v>133</v>
      </c>
      <c r="V428" s="1" t="s">
        <v>2272</v>
      </c>
      <c r="W428" s="182">
        <v>0.39</v>
      </c>
      <c r="AH428" s="1" t="s">
        <v>2272</v>
      </c>
      <c r="AI428" s="1" t="s">
        <v>2017</v>
      </c>
      <c r="AJ428" s="1">
        <v>0.5</v>
      </c>
    </row>
    <row r="429" spans="1:36" ht="15.75" customHeight="1" x14ac:dyDescent="0.3">
      <c r="A429" s="205" t="e">
        <f t="shared" ref="A429:C429" si="828">IF($B$1="Solo",IF(L428="","",L428),IF($B$1="Duet",IF(O428="","",O428),IF($B$1="Mixed",IF(R428="","",R428),IF(U428="","",U428))))</f>
        <v>#N/A</v>
      </c>
      <c r="B429" s="182" t="e">
        <f t="shared" si="828"/>
        <v>#N/A</v>
      </c>
      <c r="C429" s="182" t="e">
        <f t="shared" si="828"/>
        <v>#N/A</v>
      </c>
      <c r="D429" s="182"/>
      <c r="E429" s="182"/>
      <c r="J429" s="170"/>
      <c r="K429" s="170"/>
      <c r="N429" s="182"/>
      <c r="O429" s="182"/>
      <c r="Q429" s="182"/>
      <c r="R429" s="182"/>
      <c r="T429" s="182"/>
      <c r="U429" s="169"/>
      <c r="W429" s="182"/>
    </row>
    <row r="430" spans="1:36" ht="15.75" customHeight="1" x14ac:dyDescent="0.3">
      <c r="A430" s="205" t="e">
        <f t="shared" ref="A430:C430" si="829">IF($B$1="Solo",IF(L429="","",L429),IF($B$1="Duet",IF(O429="","",O429),IF($B$1="Mixed",IF(R429="","",R429),IF(U429="","",U429))))</f>
        <v>#N/A</v>
      </c>
      <c r="B430" s="182" t="e">
        <f t="shared" si="829"/>
        <v>#N/A</v>
      </c>
      <c r="C430" s="182" t="e">
        <f t="shared" si="829"/>
        <v>#N/A</v>
      </c>
      <c r="D430" s="182"/>
      <c r="E430" s="182"/>
      <c r="J430" s="170"/>
      <c r="K430" s="170"/>
      <c r="N430" s="182"/>
      <c r="O430" s="182"/>
      <c r="Q430" s="182"/>
      <c r="R430" s="182"/>
      <c r="T430" s="182"/>
      <c r="U430" s="169"/>
      <c r="W430" s="182"/>
    </row>
    <row r="431" spans="1:36" ht="15.75" customHeight="1" x14ac:dyDescent="0.3">
      <c r="A431" s="205" t="e">
        <f t="shared" ref="A431:C431" si="830">IF($B$1="Solo",IF(L430="","",L430),IF($B$1="Duet",IF(O430="","",O430),IF($B$1="Mixed",IF(R430="","",R430),IF(U430="","",U430))))</f>
        <v>#N/A</v>
      </c>
      <c r="B431" s="182" t="e">
        <f t="shared" si="830"/>
        <v>#N/A</v>
      </c>
      <c r="C431" s="182" t="e">
        <f t="shared" si="830"/>
        <v>#N/A</v>
      </c>
      <c r="D431" s="182"/>
      <c r="E431" s="182"/>
      <c r="J431" s="170"/>
      <c r="K431" s="170"/>
      <c r="N431" s="182"/>
      <c r="O431" s="182"/>
      <c r="Q431" s="182"/>
      <c r="R431" s="182"/>
      <c r="T431" s="182"/>
      <c r="U431" s="169"/>
      <c r="W431" s="182"/>
    </row>
    <row r="432" spans="1:36" ht="15.75" customHeight="1" x14ac:dyDescent="0.3">
      <c r="A432" s="205" t="e">
        <f t="shared" ref="A432:C432" si="831">IF($B$1="Solo",IF(L431="","",L431),IF($B$1="Duet",IF(O431="","",O431),IF($B$1="Mixed",IF(R431="","",R431),IF(U431="","",U431))))</f>
        <v>#N/A</v>
      </c>
      <c r="B432" s="182" t="e">
        <f t="shared" si="831"/>
        <v>#N/A</v>
      </c>
      <c r="C432" s="182" t="e">
        <f t="shared" si="831"/>
        <v>#N/A</v>
      </c>
      <c r="D432" s="182"/>
      <c r="E432" s="182"/>
      <c r="J432" s="170"/>
      <c r="K432" s="170"/>
      <c r="N432" s="182"/>
      <c r="O432" s="182"/>
      <c r="Q432" s="182"/>
      <c r="R432" s="182"/>
      <c r="T432" s="182"/>
      <c r="U432" s="169"/>
      <c r="W432" s="182"/>
    </row>
    <row r="433" spans="1:5" ht="15.75" customHeight="1" x14ac:dyDescent="0.3">
      <c r="A433" s="205" t="e">
        <f t="shared" ref="A433:C433" si="832">IF($B$1="Solo",IF(L432="","",L432),IF($B$1="Duet",IF(O432="","",O432),IF($B$1="Mixed",IF(R432="","",R432),IF(U432="","",U432))))</f>
        <v>#N/A</v>
      </c>
      <c r="B433" s="182" t="e">
        <f t="shared" si="832"/>
        <v>#N/A</v>
      </c>
      <c r="C433" s="182" t="e">
        <f t="shared" si="832"/>
        <v>#N/A</v>
      </c>
      <c r="D433" s="182"/>
      <c r="E433" s="182"/>
    </row>
    <row r="434" spans="1:5" ht="15.75" customHeight="1" x14ac:dyDescent="0.3">
      <c r="A434" s="205" t="e">
        <f t="shared" ref="A434:C434" si="833">IF($B$1="Solo",IF(L433="","",L433),IF($B$1="Duet",IF(O433="","",O433),IF($B$1="Mixed",IF(R433="","",R433),IF(U433="","",U433))))</f>
        <v>#N/A</v>
      </c>
      <c r="B434" s="182" t="e">
        <f t="shared" si="833"/>
        <v>#N/A</v>
      </c>
      <c r="C434" s="182" t="e">
        <f t="shared" si="833"/>
        <v>#N/A</v>
      </c>
      <c r="D434" s="182"/>
      <c r="E434" s="182"/>
    </row>
    <row r="435" spans="1:5" ht="15.75" customHeight="1" x14ac:dyDescent="0.3">
      <c r="A435" s="205" t="e">
        <f t="shared" ref="A435:C435" si="834">IF($B$1="Solo",IF(L434="","",L434),IF($B$1="Duet",IF(O434="","",O434),IF($B$1="Mixed",IF(R434="","",R434),IF(U434="","",U434))))</f>
        <v>#N/A</v>
      </c>
      <c r="B435" s="182" t="e">
        <f t="shared" si="834"/>
        <v>#N/A</v>
      </c>
      <c r="C435" s="182" t="e">
        <f t="shared" si="834"/>
        <v>#N/A</v>
      </c>
      <c r="D435" s="182"/>
      <c r="E435" s="182"/>
    </row>
    <row r="436" spans="1:5" ht="15.75" customHeight="1" x14ac:dyDescent="0.3">
      <c r="A436" s="205" t="e">
        <f t="shared" ref="A436:C436" si="835">IF($B$1="Solo",IF(L435="","",L435),IF($B$1="Duet",IF(O435="","",O435),IF($B$1="Mixed",IF(R435="","",R435),IF(U435="","",U435))))</f>
        <v>#N/A</v>
      </c>
      <c r="B436" s="182" t="e">
        <f t="shared" si="835"/>
        <v>#N/A</v>
      </c>
      <c r="C436" s="182" t="e">
        <f t="shared" si="835"/>
        <v>#N/A</v>
      </c>
      <c r="D436" s="182"/>
      <c r="E436" s="182"/>
    </row>
    <row r="437" spans="1:5" ht="15.75" customHeight="1" x14ac:dyDescent="0.3">
      <c r="A437" s="205" t="e">
        <f t="shared" ref="A437:C437" si="836">IF($B$1="Solo",IF(L436="","",L436),IF($B$1="Duet",IF(O436="","",O436),IF($B$1="Mixed",IF(R436="","",R436),IF(U436="","",U436))))</f>
        <v>#N/A</v>
      </c>
      <c r="B437" s="182" t="e">
        <f t="shared" si="836"/>
        <v>#N/A</v>
      </c>
      <c r="C437" s="182" t="e">
        <f t="shared" si="836"/>
        <v>#N/A</v>
      </c>
      <c r="D437" s="182"/>
      <c r="E437" s="182"/>
    </row>
    <row r="438" spans="1:5" ht="15.75" customHeight="1" x14ac:dyDescent="0.3">
      <c r="A438" s="205" t="e">
        <f t="shared" ref="A438:C438" si="837">IF($B$1="Solo",IF(L437="","",L437),IF($B$1="Duet",IF(O437="","",O437),IF($B$1="Mixed",IF(R437="","",R437),IF(U437="","",U437))))</f>
        <v>#N/A</v>
      </c>
      <c r="B438" s="182" t="e">
        <f t="shared" si="837"/>
        <v>#N/A</v>
      </c>
      <c r="C438" s="182" t="e">
        <f t="shared" si="837"/>
        <v>#N/A</v>
      </c>
      <c r="D438" s="182"/>
      <c r="E438" s="182"/>
    </row>
    <row r="439" spans="1:5" ht="15.75" customHeight="1" x14ac:dyDescent="0.3">
      <c r="A439" s="205" t="e">
        <f t="shared" ref="A439:C439" si="838">IF($B$1="Solo",IF(L438="","",L438),IF($B$1="Duet",IF(O438="","",O438),IF($B$1="Mixed",IF(R438="","",R438),IF(U438="","",U438))))</f>
        <v>#N/A</v>
      </c>
      <c r="B439" s="182" t="e">
        <f t="shared" si="838"/>
        <v>#N/A</v>
      </c>
      <c r="C439" s="182" t="e">
        <f t="shared" si="838"/>
        <v>#N/A</v>
      </c>
      <c r="D439" s="182"/>
      <c r="E439" s="182"/>
    </row>
    <row r="440" spans="1:5" ht="15.75" customHeight="1" x14ac:dyDescent="0.3">
      <c r="A440" s="205" t="e">
        <f t="shared" ref="A440:C440" si="839">IF($B$1="Solo",IF(L439="","",L439),IF($B$1="Duet",IF(O439="","",O439),IF($B$1="Mixed",IF(R439="","",R439),IF(U439="","",U439))))</f>
        <v>#N/A</v>
      </c>
      <c r="B440" s="182" t="e">
        <f t="shared" si="839"/>
        <v>#N/A</v>
      </c>
      <c r="C440" s="182" t="e">
        <f t="shared" si="839"/>
        <v>#N/A</v>
      </c>
      <c r="D440" s="182"/>
      <c r="E440" s="182"/>
    </row>
    <row r="441" spans="1:5" ht="15.75" customHeight="1" x14ac:dyDescent="0.3">
      <c r="A441" s="205" t="e">
        <f t="shared" ref="A441:C441" si="840">IF($B$1="Solo",IF(L440="","",L440),IF($B$1="Duet",IF(O440="","",O440),IF($B$1="Mixed",IF(R440="","",R440),IF(U440="","",U440))))</f>
        <v>#N/A</v>
      </c>
      <c r="B441" s="182" t="e">
        <f t="shared" si="840"/>
        <v>#N/A</v>
      </c>
      <c r="C441" s="182" t="e">
        <f t="shared" si="840"/>
        <v>#N/A</v>
      </c>
      <c r="D441" s="182"/>
      <c r="E441" s="182"/>
    </row>
    <row r="442" spans="1:5" ht="15.75" customHeight="1" x14ac:dyDescent="0.3">
      <c r="A442" s="205" t="e">
        <f t="shared" ref="A442:C442" si="841">IF($B$1="Solo",IF(L441="","",L441),IF($B$1="Duet",IF(O441="","",O441),IF($B$1="Mixed",IF(R441="","",R441),IF(U441="","",U441))))</f>
        <v>#N/A</v>
      </c>
      <c r="B442" s="182" t="e">
        <f t="shared" si="841"/>
        <v>#N/A</v>
      </c>
      <c r="C442" s="182" t="e">
        <f t="shared" si="841"/>
        <v>#N/A</v>
      </c>
      <c r="D442" s="182"/>
      <c r="E442" s="182"/>
    </row>
    <row r="443" spans="1:5" ht="15.75" customHeight="1" x14ac:dyDescent="0.3">
      <c r="A443" s="205" t="e">
        <f t="shared" ref="A443:C443" si="842">IF($B$1="Solo",IF(L442="","",L442),IF($B$1="Duet",IF(O442="","",O442),IF($B$1="Mixed",IF(R442="","",R442),IF(U442="","",U442))))</f>
        <v>#N/A</v>
      </c>
      <c r="B443" s="182" t="e">
        <f t="shared" si="842"/>
        <v>#N/A</v>
      </c>
      <c r="C443" s="182" t="e">
        <f t="shared" si="842"/>
        <v>#N/A</v>
      </c>
      <c r="D443" s="182"/>
      <c r="E443" s="182"/>
    </row>
    <row r="444" spans="1:5" ht="15.75" customHeight="1" x14ac:dyDescent="0.3">
      <c r="A444" s="205" t="e">
        <f t="shared" ref="A444:C444" si="843">IF($B$1="Solo",IF(L443="","",L443),IF($B$1="Duet",IF(O443="","",O443),IF($B$1="Mixed",IF(R443="","",R443),IF(U443="","",U443))))</f>
        <v>#N/A</v>
      </c>
      <c r="B444" s="182" t="e">
        <f t="shared" si="843"/>
        <v>#N/A</v>
      </c>
      <c r="C444" s="182" t="e">
        <f t="shared" si="843"/>
        <v>#N/A</v>
      </c>
      <c r="D444" s="182"/>
      <c r="E444" s="182"/>
    </row>
    <row r="445" spans="1:5" ht="15.75" customHeight="1" x14ac:dyDescent="0.3">
      <c r="A445" s="205" t="e">
        <f t="shared" ref="A445:C445" si="844">IF($B$1="Solo",IF(L444="","",L444),IF($B$1="Duet",IF(O444="","",O444),IF($B$1="Mixed",IF(R444="","",R444),IF(U444="","",U444))))</f>
        <v>#N/A</v>
      </c>
      <c r="B445" s="182" t="e">
        <f t="shared" si="844"/>
        <v>#N/A</v>
      </c>
      <c r="C445" s="182" t="e">
        <f t="shared" si="844"/>
        <v>#N/A</v>
      </c>
      <c r="D445" s="182"/>
      <c r="E445" s="182"/>
    </row>
    <row r="446" spans="1:5" ht="15.75" customHeight="1" x14ac:dyDescent="0.3">
      <c r="A446" s="205" t="e">
        <f t="shared" ref="A446:C446" si="845">IF($B$1="Solo",IF(L445="","",L445),IF($B$1="Duet",IF(O445="","",O445),IF($B$1="Mixed",IF(R445="","",R445),IF(U445="","",U445))))</f>
        <v>#N/A</v>
      </c>
      <c r="B446" s="182" t="e">
        <f t="shared" si="845"/>
        <v>#N/A</v>
      </c>
      <c r="C446" s="182" t="e">
        <f t="shared" si="845"/>
        <v>#N/A</v>
      </c>
      <c r="D446" s="182"/>
      <c r="E446" s="182"/>
    </row>
    <row r="447" spans="1:5" ht="15.75" customHeight="1" x14ac:dyDescent="0.3">
      <c r="A447" s="205" t="e">
        <f t="shared" ref="A447:C447" si="846">IF($B$1="Solo",IF(L446="","",L446),IF($B$1="Duet",IF(O446="","",O446),IF($B$1="Mixed",IF(R446="","",R446),IF(U446="","",U446))))</f>
        <v>#N/A</v>
      </c>
      <c r="B447" s="182" t="e">
        <f t="shared" si="846"/>
        <v>#N/A</v>
      </c>
      <c r="C447" s="182" t="e">
        <f t="shared" si="846"/>
        <v>#N/A</v>
      </c>
      <c r="D447" s="182"/>
      <c r="E447" s="182"/>
    </row>
    <row r="448" spans="1:5" ht="15.75" customHeight="1" x14ac:dyDescent="0.3">
      <c r="A448" s="205" t="e">
        <f t="shared" ref="A448:C448" si="847">IF($B$1="Solo",IF(L447="","",L447),IF($B$1="Duet",IF(O447="","",O447),IF($B$1="Mixed",IF(R447="","",R447),IF(U447="","",U447))))</f>
        <v>#N/A</v>
      </c>
      <c r="B448" s="182" t="e">
        <f t="shared" si="847"/>
        <v>#N/A</v>
      </c>
      <c r="C448" s="182" t="e">
        <f t="shared" si="847"/>
        <v>#N/A</v>
      </c>
      <c r="D448" s="182"/>
      <c r="E448" s="182"/>
    </row>
    <row r="449" spans="1:5" ht="15.75" customHeight="1" x14ac:dyDescent="0.3">
      <c r="A449" s="205" t="e">
        <f t="shared" ref="A449:C449" si="848">IF($B$1="Solo",IF(L448="","",L448),IF($B$1="Duet",IF(O448="","",O448),IF($B$1="Mixed",IF(R448="","",R448),IF(U448="","",U448))))</f>
        <v>#N/A</v>
      </c>
      <c r="B449" s="182" t="e">
        <f t="shared" si="848"/>
        <v>#N/A</v>
      </c>
      <c r="C449" s="182" t="e">
        <f t="shared" si="848"/>
        <v>#N/A</v>
      </c>
      <c r="D449" s="182"/>
      <c r="E449" s="182"/>
    </row>
    <row r="450" spans="1:5" ht="15.75" customHeight="1" x14ac:dyDescent="0.3">
      <c r="A450" s="205" t="e">
        <f t="shared" ref="A450:C450" si="849">IF($B$1="Solo",IF(L449="","",L449),IF($B$1="Duet",IF(O449="","",O449),IF($B$1="Mixed",IF(R449="","",R449),IF(U449="","",U449))))</f>
        <v>#N/A</v>
      </c>
      <c r="B450" s="182" t="e">
        <f t="shared" si="849"/>
        <v>#N/A</v>
      </c>
      <c r="C450" s="182" t="e">
        <f t="shared" si="849"/>
        <v>#N/A</v>
      </c>
      <c r="D450" s="182"/>
      <c r="E450" s="182"/>
    </row>
    <row r="451" spans="1:5" ht="15.75" customHeight="1" x14ac:dyDescent="0.3">
      <c r="A451" s="205" t="e">
        <f t="shared" ref="A451:C451" si="850">IF($B$1="Solo",IF(L450="","",L450),IF($B$1="Duet",IF(O450="","",O450),IF($B$1="Mixed",IF(R450="","",R450),IF(U450="","",U450))))</f>
        <v>#N/A</v>
      </c>
      <c r="B451" s="182" t="e">
        <f t="shared" si="850"/>
        <v>#N/A</v>
      </c>
      <c r="C451" s="182" t="e">
        <f t="shared" si="850"/>
        <v>#N/A</v>
      </c>
      <c r="D451" s="182"/>
      <c r="E451" s="182"/>
    </row>
    <row r="452" spans="1:5" ht="15.75" customHeight="1" x14ac:dyDescent="0.3">
      <c r="A452" s="205" t="e">
        <f t="shared" ref="A452:C452" si="851">IF($B$1="Solo",IF(L451="","",L451),IF($B$1="Duet",IF(O451="","",O451),IF($B$1="Mixed",IF(R451="","",R451),IF(U451="","",U451))))</f>
        <v>#N/A</v>
      </c>
      <c r="B452" s="182" t="e">
        <f t="shared" si="851"/>
        <v>#N/A</v>
      </c>
      <c r="C452" s="182" t="e">
        <f t="shared" si="851"/>
        <v>#N/A</v>
      </c>
      <c r="D452" s="182"/>
      <c r="E452" s="182"/>
    </row>
    <row r="453" spans="1:5" ht="15.75" customHeight="1" x14ac:dyDescent="0.3">
      <c r="A453" s="205" t="e">
        <f t="shared" ref="A453:C453" si="852">IF($B$1="Solo",IF(L452="","",L452),IF($B$1="Duet",IF(O452="","",O452),IF($B$1="Mixed",IF(R452="","",R452),IF(U452="","",U452))))</f>
        <v>#N/A</v>
      </c>
      <c r="B453" s="182" t="e">
        <f t="shared" si="852"/>
        <v>#N/A</v>
      </c>
      <c r="C453" s="182" t="e">
        <f t="shared" si="852"/>
        <v>#N/A</v>
      </c>
      <c r="D453" s="182"/>
      <c r="E453" s="182"/>
    </row>
    <row r="454" spans="1:5" ht="15.75" customHeight="1" x14ac:dyDescent="0.3">
      <c r="A454" s="205" t="e">
        <f t="shared" ref="A454:C454" si="853">IF($B$1="Solo",IF(L453="","",L453),IF($B$1="Duet",IF(O453="","",O453),IF($B$1="Mixed",IF(R453="","",R453),IF(U453="","",U453))))</f>
        <v>#N/A</v>
      </c>
      <c r="B454" s="182" t="e">
        <f t="shared" si="853"/>
        <v>#N/A</v>
      </c>
      <c r="C454" s="182" t="e">
        <f t="shared" si="853"/>
        <v>#N/A</v>
      </c>
      <c r="D454" s="182"/>
      <c r="E454" s="182"/>
    </row>
    <row r="455" spans="1:5" ht="15.75" customHeight="1" x14ac:dyDescent="0.3">
      <c r="A455" s="205" t="e">
        <f t="shared" ref="A455:C455" si="854">IF($B$1="Solo",IF(L454="","",L454),IF($B$1="Duet",IF(O454="","",O454),IF($B$1="Mixed",IF(R454="","",R454),IF(U454="","",U454))))</f>
        <v>#N/A</v>
      </c>
      <c r="B455" s="182" t="e">
        <f t="shared" si="854"/>
        <v>#N/A</v>
      </c>
      <c r="C455" s="182" t="e">
        <f t="shared" si="854"/>
        <v>#N/A</v>
      </c>
      <c r="D455" s="182"/>
      <c r="E455" s="182"/>
    </row>
    <row r="456" spans="1:5" ht="15.75" customHeight="1" x14ac:dyDescent="0.3">
      <c r="A456" s="205" t="e">
        <f t="shared" ref="A456:C456" si="855">IF($B$1="Solo",IF(L455="","",L455),IF($B$1="Duet",IF(O455="","",O455),IF($B$1="Mixed",IF(R455="","",R455),IF(U455="","",U455))))</f>
        <v>#N/A</v>
      </c>
      <c r="B456" s="182" t="e">
        <f t="shared" si="855"/>
        <v>#N/A</v>
      </c>
      <c r="C456" s="182" t="e">
        <f t="shared" si="855"/>
        <v>#N/A</v>
      </c>
      <c r="D456" s="182"/>
      <c r="E456" s="182"/>
    </row>
    <row r="457" spans="1:5" ht="15.75" customHeight="1" x14ac:dyDescent="0.3">
      <c r="A457" s="205" t="e">
        <f t="shared" ref="A457:C457" si="856">IF($B$1="Solo",IF(L456="","",L456),IF($B$1="Duet",IF(O456="","",O456),IF($B$1="Mixed",IF(R456="","",R456),IF(U456="","",U456))))</f>
        <v>#N/A</v>
      </c>
      <c r="B457" s="182" t="e">
        <f t="shared" si="856"/>
        <v>#N/A</v>
      </c>
      <c r="C457" s="182" t="e">
        <f t="shared" si="856"/>
        <v>#N/A</v>
      </c>
      <c r="D457" s="182"/>
      <c r="E457" s="182"/>
    </row>
    <row r="458" spans="1:5" ht="15.75" customHeight="1" x14ac:dyDescent="0.3">
      <c r="A458" s="205" t="e">
        <f t="shared" ref="A458:C458" si="857">IF($B$1="Solo",IF(L457="","",L457),IF($B$1="Duet",IF(O457="","",O457),IF($B$1="Mixed",IF(R457="","",R457),IF(U457="","",U457))))</f>
        <v>#N/A</v>
      </c>
      <c r="B458" s="182" t="e">
        <f t="shared" si="857"/>
        <v>#N/A</v>
      </c>
      <c r="C458" s="182" t="e">
        <f t="shared" si="857"/>
        <v>#N/A</v>
      </c>
      <c r="D458" s="182"/>
      <c r="E458" s="182"/>
    </row>
    <row r="459" spans="1:5" ht="15.75" customHeight="1" x14ac:dyDescent="0.3">
      <c r="A459" s="205" t="e">
        <f t="shared" ref="A459:C459" si="858">IF($B$1="Solo",IF(L458="","",L458),IF($B$1="Duet",IF(O458="","",O458),IF($B$1="Mixed",IF(R458="","",R458),IF(U458="","",U458))))</f>
        <v>#N/A</v>
      </c>
      <c r="B459" s="182" t="e">
        <f t="shared" si="858"/>
        <v>#N/A</v>
      </c>
      <c r="C459" s="182" t="e">
        <f t="shared" si="858"/>
        <v>#N/A</v>
      </c>
      <c r="D459" s="182"/>
      <c r="E459" s="182"/>
    </row>
    <row r="460" spans="1:5" ht="15.75" customHeight="1" x14ac:dyDescent="0.3">
      <c r="A460" s="205" t="e">
        <f t="shared" ref="A460:C460" si="859">IF($B$1="Solo",IF(L459="","",L459),IF($B$1="Duet",IF(O459="","",O459),IF($B$1="Mixed",IF(R459="","",R459),IF(U459="","",U459))))</f>
        <v>#N/A</v>
      </c>
      <c r="B460" s="182" t="e">
        <f t="shared" si="859"/>
        <v>#N/A</v>
      </c>
      <c r="C460" s="182" t="e">
        <f t="shared" si="859"/>
        <v>#N/A</v>
      </c>
      <c r="D460" s="182"/>
      <c r="E460" s="182"/>
    </row>
    <row r="461" spans="1:5" ht="15.75" customHeight="1" x14ac:dyDescent="0.3">
      <c r="A461" s="205" t="e">
        <f t="shared" ref="A461:C461" si="860">IF($B$1="Solo",IF(L460="","",L460),IF($B$1="Duet",IF(O460="","",O460),IF($B$1="Mixed",IF(R460="","",R460),IF(U460="","",U460))))</f>
        <v>#N/A</v>
      </c>
      <c r="B461" s="182" t="e">
        <f t="shared" si="860"/>
        <v>#N/A</v>
      </c>
      <c r="C461" s="182" t="e">
        <f t="shared" si="860"/>
        <v>#N/A</v>
      </c>
      <c r="D461" s="182"/>
      <c r="E461" s="182"/>
    </row>
    <row r="462" spans="1:5" ht="15.75" customHeight="1" x14ac:dyDescent="0.3">
      <c r="A462" s="205" t="e">
        <f t="shared" ref="A462:C462" si="861">IF($B$1="Solo",IF(L461="","",L461),IF($B$1="Duet",IF(O461="","",O461),IF($B$1="Mixed",IF(R461="","",R461),IF(U461="","",U461))))</f>
        <v>#N/A</v>
      </c>
      <c r="B462" s="182" t="e">
        <f t="shared" si="861"/>
        <v>#N/A</v>
      </c>
      <c r="C462" s="182" t="e">
        <f t="shared" si="861"/>
        <v>#N/A</v>
      </c>
      <c r="D462" s="182"/>
      <c r="E462" s="182"/>
    </row>
    <row r="463" spans="1:5" ht="15.75" customHeight="1" x14ac:dyDescent="0.3">
      <c r="A463" s="205" t="e">
        <f t="shared" ref="A463:C463" si="862">IF($B$1="Solo",IF(L462="","",L462),IF($B$1="Duet",IF(O462="","",O462),IF($B$1="Mixed",IF(R462="","",R462),IF(U462="","",U462))))</f>
        <v>#N/A</v>
      </c>
      <c r="B463" s="182" t="e">
        <f t="shared" si="862"/>
        <v>#N/A</v>
      </c>
      <c r="C463" s="182" t="e">
        <f t="shared" si="862"/>
        <v>#N/A</v>
      </c>
      <c r="D463" s="182"/>
      <c r="E463" s="182"/>
    </row>
    <row r="464" spans="1:5" ht="15.75" customHeight="1" x14ac:dyDescent="0.3">
      <c r="A464" s="205" t="e">
        <f t="shared" ref="A464:C464" si="863">IF($B$1="Solo",IF(L463="","",L463),IF($B$1="Duet",IF(O463="","",O463),IF($B$1="Mixed",IF(R463="","",R463),IF(U463="","",U463))))</f>
        <v>#N/A</v>
      </c>
      <c r="B464" s="182" t="e">
        <f t="shared" si="863"/>
        <v>#N/A</v>
      </c>
      <c r="C464" s="182" t="e">
        <f t="shared" si="863"/>
        <v>#N/A</v>
      </c>
      <c r="D464" s="182"/>
      <c r="E464" s="182"/>
    </row>
    <row r="465" spans="1:5" ht="15.75" customHeight="1" x14ac:dyDescent="0.3">
      <c r="A465" s="205" t="e">
        <f t="shared" ref="A465:C465" si="864">IF($B$1="Solo",IF(L464="","",L464),IF($B$1="Duet",IF(O464="","",O464),IF($B$1="Mixed",IF(R464="","",R464),IF(U464="","",U464))))</f>
        <v>#N/A</v>
      </c>
      <c r="B465" s="182" t="e">
        <f t="shared" si="864"/>
        <v>#N/A</v>
      </c>
      <c r="C465" s="182" t="e">
        <f t="shared" si="864"/>
        <v>#N/A</v>
      </c>
      <c r="D465" s="182"/>
      <c r="E465" s="182"/>
    </row>
    <row r="466" spans="1:5" ht="15.75" customHeight="1" x14ac:dyDescent="0.3">
      <c r="A466" s="205" t="e">
        <f t="shared" ref="A466:C466" si="865">IF($B$1="Solo",IF(L465="","",L465),IF($B$1="Duet",IF(O465="","",O465),IF($B$1="Mixed",IF(R465="","",R465),IF(U465="","",U465))))</f>
        <v>#N/A</v>
      </c>
      <c r="B466" s="182" t="e">
        <f t="shared" si="865"/>
        <v>#N/A</v>
      </c>
      <c r="C466" s="182" t="e">
        <f t="shared" si="865"/>
        <v>#N/A</v>
      </c>
      <c r="D466" s="182"/>
      <c r="E466" s="182"/>
    </row>
    <row r="467" spans="1:5" ht="15.75" customHeight="1" x14ac:dyDescent="0.3">
      <c r="A467" s="205" t="e">
        <f t="shared" ref="A467:C467" si="866">IF($B$1="Solo",IF(L466="","",L466),IF($B$1="Duet",IF(O466="","",O466),IF($B$1="Mixed",IF(R466="","",R466),IF(U466="","",U466))))</f>
        <v>#N/A</v>
      </c>
      <c r="B467" s="182" t="e">
        <f t="shared" si="866"/>
        <v>#N/A</v>
      </c>
      <c r="C467" s="182" t="e">
        <f t="shared" si="866"/>
        <v>#N/A</v>
      </c>
      <c r="D467" s="182"/>
      <c r="E467" s="182"/>
    </row>
    <row r="468" spans="1:5" ht="15.75" customHeight="1" x14ac:dyDescent="0.3">
      <c r="A468" s="205" t="e">
        <f t="shared" ref="A468:C468" si="867">IF($B$1="Solo",IF(L467="","",L467),IF($B$1="Duet",IF(O467="","",O467),IF($B$1="Mixed",IF(R467="","",R467),IF(U467="","",U467))))</f>
        <v>#N/A</v>
      </c>
      <c r="B468" s="182" t="e">
        <f t="shared" si="867"/>
        <v>#N/A</v>
      </c>
      <c r="C468" s="182" t="e">
        <f t="shared" si="867"/>
        <v>#N/A</v>
      </c>
      <c r="D468" s="182"/>
      <c r="E468" s="182"/>
    </row>
    <row r="469" spans="1:5" ht="15.75" customHeight="1" x14ac:dyDescent="0.3">
      <c r="A469" s="205" t="e">
        <f t="shared" ref="A469:C469" si="868">IF($B$1="Solo",IF(L468="","",L468),IF($B$1="Duet",IF(O468="","",O468),IF($B$1="Mixed",IF(R468="","",R468),IF(U468="","",U468))))</f>
        <v>#N/A</v>
      </c>
      <c r="B469" s="182" t="e">
        <f t="shared" si="868"/>
        <v>#N/A</v>
      </c>
      <c r="C469" s="182" t="e">
        <f t="shared" si="868"/>
        <v>#N/A</v>
      </c>
      <c r="D469" s="182"/>
      <c r="E469" s="182"/>
    </row>
    <row r="470" spans="1:5" ht="15.75" customHeight="1" x14ac:dyDescent="0.3">
      <c r="A470" s="205" t="e">
        <f t="shared" ref="A470:C470" si="869">IF($B$1="Solo",IF(L469="","",L469),IF($B$1="Duet",IF(O469="","",O469),IF($B$1="Mixed",IF(R469="","",R469),IF(U469="","",U469))))</f>
        <v>#N/A</v>
      </c>
      <c r="B470" s="182" t="e">
        <f t="shared" si="869"/>
        <v>#N/A</v>
      </c>
      <c r="C470" s="182" t="e">
        <f t="shared" si="869"/>
        <v>#N/A</v>
      </c>
      <c r="D470" s="182"/>
      <c r="E470" s="182"/>
    </row>
    <row r="471" spans="1:5" ht="15.75" customHeight="1" x14ac:dyDescent="0.3">
      <c r="A471" s="205" t="e">
        <f t="shared" ref="A471:C471" si="870">IF($B$1="Solo",IF(L470="","",L470),IF($B$1="Duet",IF(O470="","",O470),IF($B$1="Mixed",IF(R470="","",R470),IF(U470="","",U470))))</f>
        <v>#N/A</v>
      </c>
      <c r="B471" s="182" t="e">
        <f t="shared" si="870"/>
        <v>#N/A</v>
      </c>
      <c r="C471" s="182" t="e">
        <f t="shared" si="870"/>
        <v>#N/A</v>
      </c>
      <c r="D471" s="182"/>
      <c r="E471" s="182"/>
    </row>
    <row r="472" spans="1:5" ht="15.75" customHeight="1" x14ac:dyDescent="0.3">
      <c r="A472" s="205" t="e">
        <f t="shared" ref="A472:C472" si="871">IF($B$1="Solo",IF(L471="","",L471),IF($B$1="Duet",IF(O471="","",O471),IF($B$1="Mixed",IF(R471="","",R471),IF(U471="","",U471))))</f>
        <v>#N/A</v>
      </c>
      <c r="B472" s="182" t="e">
        <f t="shared" si="871"/>
        <v>#N/A</v>
      </c>
      <c r="C472" s="182" t="e">
        <f t="shared" si="871"/>
        <v>#N/A</v>
      </c>
      <c r="D472" s="182"/>
      <c r="E472" s="182"/>
    </row>
    <row r="473" spans="1:5" ht="15.75" customHeight="1" x14ac:dyDescent="0.3">
      <c r="A473" s="205" t="e">
        <f t="shared" ref="A473:C473" si="872">IF($B$1="Solo",IF(L472="","",L472),IF($B$1="Duet",IF(O472="","",O472),IF($B$1="Mixed",IF(R472="","",R472),IF(U472="","",U472))))</f>
        <v>#N/A</v>
      </c>
      <c r="B473" s="182" t="e">
        <f t="shared" si="872"/>
        <v>#N/A</v>
      </c>
      <c r="C473" s="182" t="e">
        <f t="shared" si="872"/>
        <v>#N/A</v>
      </c>
      <c r="D473" s="182"/>
      <c r="E473" s="182"/>
    </row>
    <row r="474" spans="1:5" ht="15.75" customHeight="1" x14ac:dyDescent="0.3">
      <c r="A474" s="205" t="e">
        <f t="shared" ref="A474:C474" si="873">IF($B$1="Solo",IF(L473="","",L473),IF($B$1="Duet",IF(O473="","",O473),IF($B$1="Mixed",IF(R473="","",R473),IF(U473="","",U473))))</f>
        <v>#N/A</v>
      </c>
      <c r="B474" s="182" t="e">
        <f t="shared" si="873"/>
        <v>#N/A</v>
      </c>
      <c r="C474" s="182" t="e">
        <f t="shared" si="873"/>
        <v>#N/A</v>
      </c>
      <c r="D474" s="182"/>
      <c r="E474" s="182"/>
    </row>
    <row r="475" spans="1:5" ht="15.75" customHeight="1" x14ac:dyDescent="0.3">
      <c r="A475" s="205" t="e">
        <f t="shared" ref="A475:C475" si="874">IF($B$1="Solo",IF(L474="","",L474),IF($B$1="Duet",IF(O474="","",O474),IF($B$1="Mixed",IF(R474="","",R474),IF(U474="","",U474))))</f>
        <v>#N/A</v>
      </c>
      <c r="B475" s="182" t="e">
        <f t="shared" si="874"/>
        <v>#N/A</v>
      </c>
      <c r="C475" s="182" t="e">
        <f t="shared" si="874"/>
        <v>#N/A</v>
      </c>
      <c r="D475" s="182"/>
      <c r="E475" s="182"/>
    </row>
    <row r="476" spans="1:5" ht="15.75" customHeight="1" x14ac:dyDescent="0.3">
      <c r="A476" s="205" t="e">
        <f t="shared" ref="A476:C476" si="875">IF($B$1="Solo",IF(L475="","",L475),IF($B$1="Duet",IF(O475="","",O475),IF($B$1="Mixed",IF(R475="","",R475),IF(U475="","",U475))))</f>
        <v>#N/A</v>
      </c>
      <c r="B476" s="182" t="e">
        <f t="shared" si="875"/>
        <v>#N/A</v>
      </c>
      <c r="C476" s="182" t="e">
        <f t="shared" si="875"/>
        <v>#N/A</v>
      </c>
      <c r="D476" s="182"/>
      <c r="E476" s="182"/>
    </row>
    <row r="477" spans="1:5" ht="15.75" customHeight="1" x14ac:dyDescent="0.3">
      <c r="A477" s="205" t="e">
        <f t="shared" ref="A477:C477" si="876">IF($B$1="Solo",IF(L476="","",L476),IF($B$1="Duet",IF(O476="","",O476),IF($B$1="Mixed",IF(R476="","",R476),IF(U476="","",U476))))</f>
        <v>#N/A</v>
      </c>
      <c r="B477" s="182" t="e">
        <f t="shared" si="876"/>
        <v>#N/A</v>
      </c>
      <c r="C477" s="182" t="e">
        <f t="shared" si="876"/>
        <v>#N/A</v>
      </c>
      <c r="D477" s="182"/>
      <c r="E477" s="182"/>
    </row>
    <row r="478" spans="1:5" ht="15.75" customHeight="1" x14ac:dyDescent="0.3">
      <c r="A478" s="205" t="e">
        <f t="shared" ref="A478:C478" si="877">IF($B$1="Solo",IF(L477="","",L477),IF($B$1="Duet",IF(O477="","",O477),IF($B$1="Mixed",IF(R477="","",R477),IF(U477="","",U477))))</f>
        <v>#N/A</v>
      </c>
      <c r="B478" s="182" t="e">
        <f t="shared" si="877"/>
        <v>#N/A</v>
      </c>
      <c r="C478" s="182" t="e">
        <f t="shared" si="877"/>
        <v>#N/A</v>
      </c>
      <c r="D478" s="182"/>
      <c r="E478" s="182"/>
    </row>
    <row r="479" spans="1:5" ht="15.75" customHeight="1" x14ac:dyDescent="0.3">
      <c r="A479" s="205" t="e">
        <f t="shared" ref="A479:C479" si="878">IF($B$1="Solo",IF(L478="","",L478),IF($B$1="Duet",IF(O478="","",O478),IF($B$1="Mixed",IF(R478="","",R478),IF(U478="","",U478))))</f>
        <v>#N/A</v>
      </c>
      <c r="B479" s="182" t="e">
        <f t="shared" si="878"/>
        <v>#N/A</v>
      </c>
      <c r="C479" s="182" t="e">
        <f t="shared" si="878"/>
        <v>#N/A</v>
      </c>
      <c r="D479" s="182"/>
      <c r="E479" s="182"/>
    </row>
    <row r="480" spans="1:5" ht="15.75" customHeight="1" x14ac:dyDescent="0.3">
      <c r="A480" s="205" t="e">
        <f t="shared" ref="A480:C480" si="879">IF($B$1="Solo",IF(L479="","",L479),IF($B$1="Duet",IF(O479="","",O479),IF($B$1="Mixed",IF(R479="","",R479),IF(U479="","",U479))))</f>
        <v>#N/A</v>
      </c>
      <c r="B480" s="182" t="e">
        <f t="shared" si="879"/>
        <v>#N/A</v>
      </c>
      <c r="C480" s="182" t="e">
        <f t="shared" si="879"/>
        <v>#N/A</v>
      </c>
      <c r="D480" s="182"/>
      <c r="E480" s="182"/>
    </row>
    <row r="481" spans="1:5" ht="15.75" customHeight="1" x14ac:dyDescent="0.3">
      <c r="A481" s="205" t="e">
        <f t="shared" ref="A481:C481" si="880">IF($B$1="Solo",IF(L480="","",L480),IF($B$1="Duet",IF(O480="","",O480),IF($B$1="Mixed",IF(R480="","",R480),IF(U480="","",U480))))</f>
        <v>#N/A</v>
      </c>
      <c r="B481" s="182" t="e">
        <f t="shared" si="880"/>
        <v>#N/A</v>
      </c>
      <c r="C481" s="182" t="e">
        <f t="shared" si="880"/>
        <v>#N/A</v>
      </c>
      <c r="D481" s="182"/>
      <c r="E481" s="182"/>
    </row>
    <row r="482" spans="1:5" ht="15.75" customHeight="1" x14ac:dyDescent="0.3">
      <c r="A482" s="170"/>
      <c r="B482" s="182" t="e">
        <f t="shared" ref="B482:C482" si="881">IF($B$1="Solo",IF(M481="","",M481),IF($B$1="Duet",IF(P481="","",P481),IF($B$1="Mixed",IF(S481="","",S481),IF(V481="","",V481))))</f>
        <v>#N/A</v>
      </c>
      <c r="C482" s="182" t="e">
        <f t="shared" si="881"/>
        <v>#N/A</v>
      </c>
      <c r="D482" s="182"/>
      <c r="E482" s="182"/>
    </row>
    <row r="483" spans="1:5" ht="15.75" customHeight="1" x14ac:dyDescent="0.3">
      <c r="A483" s="170"/>
      <c r="B483" s="182" t="e">
        <f t="shared" ref="B483:C483" si="882">IF($B$1="Solo",IF(M482="","",M482),IF($B$1="Duet",IF(P482="","",P482),IF($B$1="Mixed",IF(S482="","",S482),IF(V482="","",V482))))</f>
        <v>#N/A</v>
      </c>
      <c r="C483" s="182" t="e">
        <f t="shared" si="882"/>
        <v>#N/A</v>
      </c>
      <c r="D483" s="182"/>
      <c r="E483" s="182"/>
    </row>
    <row r="484" spans="1:5" ht="15.75" customHeight="1" x14ac:dyDescent="0.3">
      <c r="A484" s="170"/>
      <c r="B484" s="182" t="e">
        <f t="shared" ref="B484:C484" si="883">IF($B$1="Solo",IF(M483="","",M483),IF($B$1="Duet",IF(P483="","",P483),IF($B$1="Mixed",IF(S483="","",S483),IF(V483="","",V483))))</f>
        <v>#N/A</v>
      </c>
      <c r="C484" s="182" t="e">
        <f t="shared" si="883"/>
        <v>#N/A</v>
      </c>
      <c r="D484" s="182"/>
      <c r="E484" s="182"/>
    </row>
    <row r="485" spans="1:5" ht="15.75" customHeight="1" x14ac:dyDescent="0.3">
      <c r="A485" s="170"/>
      <c r="B485" s="182" t="e">
        <f t="shared" ref="B485:C485" si="884">IF($B$1="Solo",IF(M484="","",M484),IF($B$1="Duet",IF(P484="","",P484),IF($B$1="Mixed",IF(S484="","",S484),IF(V484="","",V484))))</f>
        <v>#N/A</v>
      </c>
      <c r="C485" s="182" t="e">
        <f t="shared" si="884"/>
        <v>#N/A</v>
      </c>
      <c r="D485" s="182"/>
      <c r="E485" s="182"/>
    </row>
    <row r="486" spans="1:5" ht="15.75" customHeight="1" x14ac:dyDescent="0.3">
      <c r="A486" s="170"/>
      <c r="B486" s="182" t="e">
        <f t="shared" ref="B486:C486" si="885">IF($B$1="Solo",IF(M485="","",M485),IF($B$1="Duet",IF(P485="","",P485),IF($B$1="Mixed",IF(S485="","",S485),IF(V485="","",V485))))</f>
        <v>#N/A</v>
      </c>
      <c r="C486" s="182" t="e">
        <f t="shared" si="885"/>
        <v>#N/A</v>
      </c>
      <c r="D486" s="182"/>
      <c r="E486" s="182"/>
    </row>
    <row r="487" spans="1:5" ht="15.75" customHeight="1" x14ac:dyDescent="0.3">
      <c r="A487" s="170"/>
      <c r="B487" s="182" t="e">
        <f t="shared" ref="B487:C487" si="886">IF($B$1="Solo",IF(M486="","",M486),IF($B$1="Duet",IF(P486="","",P486),IF($B$1="Mixed",IF(S486="","",S486),IF(V486="","",V486))))</f>
        <v>#N/A</v>
      </c>
      <c r="C487" s="182" t="e">
        <f t="shared" si="886"/>
        <v>#N/A</v>
      </c>
      <c r="D487" s="182"/>
      <c r="E487" s="182"/>
    </row>
    <row r="488" spans="1:5" ht="15.75" customHeight="1" x14ac:dyDescent="0.3">
      <c r="A488" s="170"/>
      <c r="B488" s="182" t="e">
        <f t="shared" ref="B488:C488" si="887">IF($B$1="Solo",IF(M487="","",M487),IF($B$1="Duet",IF(P487="","",P487),IF($B$1="Mixed",IF(S487="","",S487),IF(V487="","",V487))))</f>
        <v>#N/A</v>
      </c>
      <c r="C488" s="182" t="e">
        <f t="shared" si="887"/>
        <v>#N/A</v>
      </c>
      <c r="D488" s="182"/>
      <c r="E488" s="182"/>
    </row>
    <row r="489" spans="1:5" ht="15.75" customHeight="1" x14ac:dyDescent="0.3">
      <c r="A489" s="170"/>
      <c r="B489" s="182" t="e">
        <f t="shared" ref="B489:C489" si="888">IF($B$1="Solo",IF(M488="","",M488),IF($B$1="Duet",IF(P488="","",P488),IF($B$1="Mixed",IF(S488="","",S488),IF(V488="","",V488))))</f>
        <v>#N/A</v>
      </c>
      <c r="C489" s="182" t="e">
        <f t="shared" si="888"/>
        <v>#N/A</v>
      </c>
      <c r="D489" s="182"/>
      <c r="E489" s="182"/>
    </row>
    <row r="490" spans="1:5" ht="15.75" customHeight="1" x14ac:dyDescent="0.3">
      <c r="A490" s="170"/>
      <c r="B490" s="182" t="e">
        <f t="shared" ref="B490:C490" si="889">IF($B$1="Solo",IF(M489="","",M489),IF($B$1="Duet",IF(P489="","",P489),IF($B$1="Mixed",IF(S489="","",S489),IF(V489="","",V489))))</f>
        <v>#N/A</v>
      </c>
      <c r="C490" s="182" t="e">
        <f t="shared" si="889"/>
        <v>#N/A</v>
      </c>
      <c r="D490" s="182"/>
      <c r="E490" s="182"/>
    </row>
    <row r="491" spans="1:5" ht="15.75" customHeight="1" x14ac:dyDescent="0.3">
      <c r="A491" s="170"/>
      <c r="B491" s="182" t="e">
        <f t="shared" ref="B491:C491" si="890">IF($B$1="Solo",IF(M490="","",M490),IF($B$1="Duet",IF(P490="","",P490),IF($B$1="Mixed",IF(S490="","",S490),IF(V490="","",V490))))</f>
        <v>#N/A</v>
      </c>
      <c r="C491" s="182" t="e">
        <f t="shared" si="890"/>
        <v>#N/A</v>
      </c>
      <c r="D491" s="182"/>
      <c r="E491" s="182"/>
    </row>
    <row r="492" spans="1:5" ht="15.75" customHeight="1" x14ac:dyDescent="0.3">
      <c r="A492" s="170"/>
      <c r="B492" s="182" t="e">
        <f t="shared" ref="B492:C492" si="891">IF($B$1="Solo",IF(M491="","",M491),IF($B$1="Duet",IF(P491="","",P491),IF($B$1="Mixed",IF(S491="","",S491),IF(V491="","",V491))))</f>
        <v>#N/A</v>
      </c>
      <c r="C492" s="182" t="e">
        <f t="shared" si="891"/>
        <v>#N/A</v>
      </c>
      <c r="D492" s="182"/>
      <c r="E492" s="182"/>
    </row>
    <row r="493" spans="1:5" ht="15.75" customHeight="1" x14ac:dyDescent="0.3">
      <c r="A493" s="170"/>
      <c r="B493" s="182" t="e">
        <f t="shared" ref="B493:C493" si="892">IF($B$1="Solo",IF(M492="","",M492),IF($B$1="Duet",IF(P492="","",P492),IF($B$1="Mixed",IF(S492="","",S492),IF(V492="","",V492))))</f>
        <v>#N/A</v>
      </c>
      <c r="C493" s="182" t="e">
        <f t="shared" si="892"/>
        <v>#N/A</v>
      </c>
      <c r="D493" s="182"/>
      <c r="E493" s="182"/>
    </row>
    <row r="494" spans="1:5" ht="15.75" customHeight="1" x14ac:dyDescent="0.3">
      <c r="A494" s="170"/>
      <c r="B494" s="182" t="e">
        <f t="shared" ref="B494:C494" si="893">IF($B$1="Solo",IF(M493="","",M493),IF($B$1="Duet",IF(P493="","",P493),IF($B$1="Mixed",IF(S493="","",S493),IF(V493="","",V493))))</f>
        <v>#N/A</v>
      </c>
      <c r="C494" s="182" t="e">
        <f t="shared" si="893"/>
        <v>#N/A</v>
      </c>
      <c r="D494" s="182"/>
      <c r="E494" s="182"/>
    </row>
    <row r="495" spans="1:5" ht="15.75" customHeight="1" x14ac:dyDescent="0.3">
      <c r="A495" s="170"/>
      <c r="B495" s="182" t="e">
        <f t="shared" ref="B495:C495" si="894">IF($B$1="Solo",IF(M494="","",M494),IF($B$1="Duet",IF(P494="","",P494),IF($B$1="Mixed",IF(S494="","",S494),IF(V494="","",V494))))</f>
        <v>#N/A</v>
      </c>
      <c r="C495" s="182" t="e">
        <f t="shared" si="894"/>
        <v>#N/A</v>
      </c>
      <c r="D495" s="182"/>
      <c r="E495" s="182"/>
    </row>
    <row r="496" spans="1:5" ht="15.75" customHeight="1" x14ac:dyDescent="0.3">
      <c r="A496" s="170"/>
      <c r="B496" s="182" t="e">
        <f t="shared" ref="B496:C496" si="895">IF($B$1="Solo",IF(M495="","",M495),IF($B$1="Duet",IF(P495="","",P495),IF($B$1="Mixed",IF(S495="","",S495),IF(V495="","",V495))))</f>
        <v>#N/A</v>
      </c>
      <c r="C496" s="182" t="e">
        <f t="shared" si="895"/>
        <v>#N/A</v>
      </c>
      <c r="D496" s="182"/>
      <c r="E496" s="182"/>
    </row>
    <row r="497" spans="1:5" ht="15.75" customHeight="1" x14ac:dyDescent="0.3">
      <c r="A497" s="170"/>
      <c r="B497" s="182" t="e">
        <f t="shared" ref="B497:C497" si="896">IF($B$1="Solo",IF(M496="","",M496),IF($B$1="Duet",IF(P496="","",P496),IF($B$1="Mixed",IF(S496="","",S496),IF(V496="","",V496))))</f>
        <v>#N/A</v>
      </c>
      <c r="C497" s="182" t="e">
        <f t="shared" si="896"/>
        <v>#N/A</v>
      </c>
      <c r="D497" s="182"/>
      <c r="E497" s="182"/>
    </row>
    <row r="498" spans="1:5" ht="15.75" customHeight="1" x14ac:dyDescent="0.3">
      <c r="A498" s="170"/>
      <c r="B498" s="182" t="e">
        <f t="shared" ref="B498:C498" si="897">IF($B$1="Solo",IF(M497="","",M497),IF($B$1="Duet",IF(P497="","",P497),IF($B$1="Mixed",IF(S497="","",S497),IF(V497="","",V497))))</f>
        <v>#N/A</v>
      </c>
      <c r="C498" s="182" t="e">
        <f t="shared" si="897"/>
        <v>#N/A</v>
      </c>
      <c r="D498" s="182"/>
      <c r="E498" s="182"/>
    </row>
    <row r="499" spans="1:5" ht="15.75" customHeight="1" x14ac:dyDescent="0.3">
      <c r="A499" s="170"/>
      <c r="B499" s="182" t="e">
        <f t="shared" ref="B499:C499" si="898">IF($B$1="Solo",IF(M498="","",M498),IF($B$1="Duet",IF(P498="","",P498),IF($B$1="Mixed",IF(S498="","",S498),IF(V498="","",V498))))</f>
        <v>#N/A</v>
      </c>
      <c r="C499" s="182" t="e">
        <f t="shared" si="898"/>
        <v>#N/A</v>
      </c>
      <c r="D499" s="182"/>
      <c r="E499" s="182"/>
    </row>
    <row r="500" spans="1:5" ht="15.75" customHeight="1" x14ac:dyDescent="0.3">
      <c r="A500" s="170"/>
      <c r="B500" s="182" t="e">
        <f t="shared" ref="B500:C500" si="899">IF($B$1="Solo",IF(M499="","",M499),IF($B$1="Duet",IF(P499="","",P499),IF($B$1="Mixed",IF(S499="","",S499),IF(V499="","",V499))))</f>
        <v>#N/A</v>
      </c>
      <c r="C500" s="182" t="e">
        <f t="shared" si="899"/>
        <v>#N/A</v>
      </c>
      <c r="D500" s="182"/>
      <c r="E500" s="182"/>
    </row>
  </sheetData>
  <mergeCells count="11">
    <mergeCell ref="X1:Y1"/>
    <mergeCell ref="Z1:AA1"/>
    <mergeCell ref="AB1:AC1"/>
    <mergeCell ref="AD1:AE1"/>
    <mergeCell ref="B1:C1"/>
    <mergeCell ref="D1:E1"/>
    <mergeCell ref="F1:G1"/>
    <mergeCell ref="M1:N1"/>
    <mergeCell ref="P1:Q1"/>
    <mergeCell ref="S1:T1"/>
    <mergeCell ref="V1:W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13"/>
  <sheetViews>
    <sheetView workbookViewId="0"/>
  </sheetViews>
  <sheetFormatPr defaultColWidth="14.44140625" defaultRowHeight="15" customHeight="1" x14ac:dyDescent="0.3"/>
  <cols>
    <col min="1" max="1" width="9.109375" customWidth="1"/>
    <col min="2" max="2" width="11.77734375" customWidth="1"/>
    <col min="3" max="3" width="9.109375" customWidth="1"/>
    <col min="4" max="4" width="9.77734375" customWidth="1"/>
    <col min="5" max="5" width="10.21875" customWidth="1"/>
    <col min="6" max="6" width="9.109375" customWidth="1"/>
    <col min="7" max="26" width="8.77734375" customWidth="1"/>
  </cols>
  <sheetData>
    <row r="1" spans="2:14" ht="14.4" x14ac:dyDescent="0.3">
      <c r="B1" s="313" t="e">
        <f t="array" ref="B1">INDEX(Data!$V$3:$V$38,MATCH('Coach Card'!$BU$9,Data!$G$3:$G$38,0))</f>
        <v>#N/A</v>
      </c>
      <c r="C1" s="245"/>
      <c r="D1" s="313"/>
      <c r="E1" s="245"/>
      <c r="F1" s="205"/>
      <c r="G1" s="313" t="s">
        <v>263</v>
      </c>
      <c r="H1" s="245"/>
      <c r="I1" s="313" t="s">
        <v>19</v>
      </c>
      <c r="J1" s="245"/>
      <c r="K1" s="313" t="s">
        <v>288</v>
      </c>
      <c r="L1" s="245"/>
      <c r="M1" s="313" t="s">
        <v>27</v>
      </c>
      <c r="N1" s="245"/>
    </row>
    <row r="2" spans="2:14" ht="14.4" x14ac:dyDescent="0.3">
      <c r="B2" s="169" t="s">
        <v>2273</v>
      </c>
      <c r="C2" s="169" t="s">
        <v>2274</v>
      </c>
      <c r="D2" s="169"/>
      <c r="E2" s="169"/>
      <c r="F2" s="170"/>
      <c r="G2" s="1" t="s">
        <v>2273</v>
      </c>
      <c r="H2" s="1" t="s">
        <v>2274</v>
      </c>
      <c r="I2" s="1" t="s">
        <v>2273</v>
      </c>
      <c r="J2" s="1" t="s">
        <v>2274</v>
      </c>
      <c r="K2" s="1" t="s">
        <v>2273</v>
      </c>
      <c r="L2" s="1" t="s">
        <v>2274</v>
      </c>
      <c r="M2" s="1" t="s">
        <v>2273</v>
      </c>
      <c r="N2" s="1" t="s">
        <v>2274</v>
      </c>
    </row>
    <row r="3" spans="2:14" ht="14.4" x14ac:dyDescent="0.3">
      <c r="B3" s="182"/>
      <c r="C3" s="182"/>
      <c r="D3" s="182"/>
      <c r="E3" s="182"/>
      <c r="F3" s="170"/>
      <c r="G3" s="169" t="s">
        <v>2275</v>
      </c>
      <c r="H3" s="206">
        <v>2.7</v>
      </c>
      <c r="I3" s="169" t="s">
        <v>2275</v>
      </c>
      <c r="J3" s="206">
        <v>3</v>
      </c>
      <c r="K3" s="169" t="s">
        <v>2275</v>
      </c>
      <c r="L3" s="206">
        <v>2.7</v>
      </c>
      <c r="M3" s="169" t="s">
        <v>2275</v>
      </c>
      <c r="N3" s="206">
        <v>2.5</v>
      </c>
    </row>
    <row r="4" spans="2:14" ht="14.4" x14ac:dyDescent="0.3">
      <c r="B4" s="182" t="e">
        <f t="shared" ref="B4:C4" si="0">IF($B$1="Solo",IF(G3="","",G3),IF($B$1="Duet",IF(I3="","",I3),IF($B$1="Mixed",IF(K3="","",K3),IF(M3="","",M3))))</f>
        <v>#N/A</v>
      </c>
      <c r="C4" s="182" t="e">
        <f t="shared" si="0"/>
        <v>#N/A</v>
      </c>
      <c r="D4" s="182" t="str">
        <f>IFERROR(IF(B4&lt;&gt;"",COUNTIF('Coach Card'!$HF$19:$HF$68,_xludf.NUMBERVALUE(LEFT(B4,1))),""),"")</f>
        <v/>
      </c>
      <c r="E4" s="182" t="str">
        <f t="shared" ref="E4:E13" si="1">IFERROR(IF(D4&gt;1,B4,""),"")</f>
        <v/>
      </c>
      <c r="F4" s="170"/>
      <c r="G4" s="169" t="s">
        <v>2276</v>
      </c>
      <c r="H4" s="206">
        <v>2.1</v>
      </c>
      <c r="I4" s="169" t="s">
        <v>2276</v>
      </c>
      <c r="J4" s="206">
        <v>2.5</v>
      </c>
      <c r="K4" s="169" t="s">
        <v>2276</v>
      </c>
      <c r="L4" s="206">
        <v>2.5</v>
      </c>
      <c r="M4" s="169" t="s">
        <v>2276</v>
      </c>
      <c r="N4" s="206">
        <v>2.2999999999999998</v>
      </c>
    </row>
    <row r="5" spans="2:14" ht="14.4" x14ac:dyDescent="0.3">
      <c r="B5" s="182" t="e">
        <f t="shared" ref="B5:C5" si="2">IF($B$1="Solo",IF(G4="","",G4),IF($B$1="Duet",IF(I4="","",I4),IF($B$1="Mixed",IF(K4="","",K4),IF(M4="","",M4))))</f>
        <v>#N/A</v>
      </c>
      <c r="C5" s="182" t="e">
        <f t="shared" si="2"/>
        <v>#N/A</v>
      </c>
      <c r="D5" s="182" t="str">
        <f>IFERROR(IF(B5&lt;&gt;"",COUNTIF('Coach Card'!$HF$19:$HF$68,_xludf.NUMBERVALUE(LEFT(B5,1))),""),"")</f>
        <v/>
      </c>
      <c r="E5" s="182" t="str">
        <f t="shared" si="1"/>
        <v/>
      </c>
      <c r="F5" s="170"/>
      <c r="G5" s="169" t="s">
        <v>2277</v>
      </c>
      <c r="H5" s="206">
        <v>3</v>
      </c>
      <c r="I5" s="169" t="s">
        <v>2277</v>
      </c>
      <c r="J5" s="206">
        <v>2.8</v>
      </c>
      <c r="K5" s="169" t="s">
        <v>2277</v>
      </c>
      <c r="L5" s="206">
        <v>2.4</v>
      </c>
      <c r="M5" s="169" t="s">
        <v>2277</v>
      </c>
      <c r="N5" s="206">
        <v>2.6</v>
      </c>
    </row>
    <row r="6" spans="2:14" ht="14.4" x14ac:dyDescent="0.3">
      <c r="B6" s="182" t="e">
        <f t="shared" ref="B6:C6" si="3">IF($B$1="Solo",IF(G5="","",G5),IF($B$1="Duet",IF(I5="","",I5),IF($B$1="Mixed",IF(K5="","",K5),IF(M5="","",M5))))</f>
        <v>#N/A</v>
      </c>
      <c r="C6" s="182" t="e">
        <f t="shared" si="3"/>
        <v>#N/A</v>
      </c>
      <c r="D6" s="182" t="str">
        <f>IFERROR(IF(B6&lt;&gt;"",COUNTIF('Coach Card'!$HF$19:$HF$68,_xludf.NUMBERVALUE(LEFT(B6,1))),""),"")</f>
        <v/>
      </c>
      <c r="E6" s="182" t="str">
        <f t="shared" si="1"/>
        <v/>
      </c>
      <c r="F6" s="170"/>
      <c r="G6" s="169" t="s">
        <v>2278</v>
      </c>
      <c r="H6" s="206">
        <v>2.7</v>
      </c>
      <c r="I6" s="169" t="s">
        <v>2278</v>
      </c>
      <c r="J6" s="206">
        <v>2.4</v>
      </c>
      <c r="K6" s="169" t="s">
        <v>2278</v>
      </c>
      <c r="L6" s="206">
        <v>2.2000000000000002</v>
      </c>
      <c r="M6" s="169" t="s">
        <v>2278</v>
      </c>
      <c r="N6" s="206">
        <v>2.2999999999999998</v>
      </c>
    </row>
    <row r="7" spans="2:14" ht="14.4" x14ac:dyDescent="0.3">
      <c r="B7" s="182" t="e">
        <f t="shared" ref="B7:C7" si="4">IF($B$1="Solo",IF(G6="","",G6),IF($B$1="Duet",IF(I6="","",I6),IF($B$1="Mixed",IF(K6="","",K6),IF(M6="","",M6))))</f>
        <v>#N/A</v>
      </c>
      <c r="C7" s="182" t="e">
        <f t="shared" si="4"/>
        <v>#N/A</v>
      </c>
      <c r="D7" s="182" t="str">
        <f>IFERROR(IF(B7&lt;&gt;"",COUNTIF('Coach Card'!$HF$19:$HF$68,_xludf.NUMBERVALUE(LEFT(B7,1))),""),"")</f>
        <v/>
      </c>
      <c r="E7" s="182" t="str">
        <f t="shared" si="1"/>
        <v/>
      </c>
      <c r="F7" s="170"/>
      <c r="G7" s="169">
        <v>3</v>
      </c>
      <c r="H7" s="206">
        <v>3.2</v>
      </c>
      <c r="I7" s="169">
        <v>3</v>
      </c>
      <c r="J7" s="206">
        <v>3.1</v>
      </c>
      <c r="K7" s="169">
        <v>3</v>
      </c>
      <c r="L7" s="206">
        <v>3</v>
      </c>
      <c r="M7" s="169" t="s">
        <v>2279</v>
      </c>
      <c r="N7" s="206">
        <v>2.6</v>
      </c>
    </row>
    <row r="8" spans="2:14" ht="14.4" x14ac:dyDescent="0.3">
      <c r="B8" s="182" t="e">
        <f t="shared" ref="B8:C8" si="5">IF($B$1="Solo",IF(G7="","",G7),IF($B$1="Duet",IF(I7="","",I7),IF($B$1="Mixed",IF(K7="","",K7),IF(M7="","",M7))))</f>
        <v>#N/A</v>
      </c>
      <c r="C8" s="182" t="e">
        <f t="shared" si="5"/>
        <v>#N/A</v>
      </c>
      <c r="D8" s="182" t="str">
        <f>IFERROR(IF(B8&lt;&gt;"",COUNTIF('Coach Card'!$HF$19:$HF$68,_xludf.NUMBERVALUE(LEFT(B8,1))),""),"")</f>
        <v/>
      </c>
      <c r="E8" s="182" t="str">
        <f t="shared" si="1"/>
        <v/>
      </c>
      <c r="F8" s="170"/>
      <c r="G8" s="169" t="s">
        <v>2280</v>
      </c>
      <c r="H8" s="206">
        <v>2.9</v>
      </c>
      <c r="I8" s="169" t="s">
        <v>2280</v>
      </c>
      <c r="J8" s="206">
        <v>3.2</v>
      </c>
      <c r="K8" s="169"/>
      <c r="L8" s="206"/>
      <c r="M8" s="169" t="s">
        <v>2281</v>
      </c>
      <c r="N8" s="206">
        <v>2.2999999999999998</v>
      </c>
    </row>
    <row r="9" spans="2:14" ht="14.4" x14ac:dyDescent="0.3">
      <c r="B9" s="182" t="e">
        <f t="shared" ref="B9:C9" si="6">IF($B$1="Solo",IF(G8="","",G8),IF($B$1="Duet",IF(I8="","",I8),IF($B$1="Mixed",IF(K8="","",K8),IF(M8="","",M8))))</f>
        <v>#N/A</v>
      </c>
      <c r="C9" s="182" t="e">
        <f t="shared" si="6"/>
        <v>#N/A</v>
      </c>
      <c r="D9" s="182" t="str">
        <f>IFERROR(IF(B9&lt;&gt;"",COUNTIF('Coach Card'!$HF$19:$HF$68,_xludf.NUMBERVALUE(LEFT(B9,1))),""),"")</f>
        <v/>
      </c>
      <c r="E9" s="182" t="str">
        <f t="shared" si="1"/>
        <v/>
      </c>
      <c r="F9" s="170"/>
      <c r="G9" s="169" t="s">
        <v>2282</v>
      </c>
      <c r="H9" s="206">
        <v>2.6</v>
      </c>
      <c r="I9" s="169" t="s">
        <v>2282</v>
      </c>
      <c r="J9" s="206">
        <v>2.7</v>
      </c>
      <c r="K9" s="169"/>
      <c r="L9" s="206"/>
      <c r="M9" s="169">
        <v>4</v>
      </c>
      <c r="N9" s="206">
        <v>2.9</v>
      </c>
    </row>
    <row r="10" spans="2:14" ht="14.4" x14ac:dyDescent="0.3">
      <c r="B10" s="182" t="e">
        <f t="shared" ref="B10:C10" si="7">IF($B$1="Solo",IF(G9="","",G9),IF($B$1="Duet",IF(I9="","",I9),IF($B$1="Mixed",IF(K9="","",K9),IF(M9="","",M9))))</f>
        <v>#N/A</v>
      </c>
      <c r="C10" s="182" t="e">
        <f t="shared" si="7"/>
        <v>#N/A</v>
      </c>
      <c r="D10" s="182" t="str">
        <f>IFERROR(IF(B10&lt;&gt;"",COUNTIF('Coach Card'!$HF$19:$HF$68,_xludf.NUMBERVALUE(LEFT(B10,1))),""),"")</f>
        <v/>
      </c>
      <c r="E10" s="182" t="str">
        <f t="shared" si="1"/>
        <v/>
      </c>
      <c r="F10" s="170"/>
      <c r="G10" s="169" t="s">
        <v>2283</v>
      </c>
      <c r="H10" s="206">
        <v>2.4</v>
      </c>
      <c r="I10" s="169" t="s">
        <v>2283</v>
      </c>
      <c r="J10" s="206">
        <v>2.2999999999999998</v>
      </c>
      <c r="K10" s="169"/>
      <c r="L10" s="206"/>
      <c r="M10" s="169" t="s">
        <v>2283</v>
      </c>
      <c r="N10" s="206">
        <v>2.4</v>
      </c>
    </row>
    <row r="11" spans="2:14" ht="14.4" x14ac:dyDescent="0.3">
      <c r="B11" s="182" t="e">
        <f t="shared" ref="B11:C11" si="8">IF($B$1="Solo",IF(G10="","",G10),IF($B$1="Duet",IF(I10="","",I10),IF($B$1="Mixed",IF(K10="","",K10),IF(M10="","",M10))))</f>
        <v>#N/A</v>
      </c>
      <c r="C11" s="182" t="e">
        <f t="shared" si="8"/>
        <v>#N/A</v>
      </c>
      <c r="D11" s="182" t="str">
        <f>IFERROR(IF(B11&lt;&gt;"",COUNTIF('Coach Card'!$HF$19:$HF$68,_xludf.NUMBERVALUE(LEFT(B11,1))),""),"")</f>
        <v/>
      </c>
      <c r="E11" s="182" t="str">
        <f t="shared" si="1"/>
        <v/>
      </c>
      <c r="F11" s="170"/>
      <c r="G11" s="169" t="s">
        <v>2284</v>
      </c>
      <c r="H11" s="206">
        <v>2.1</v>
      </c>
      <c r="I11" s="169" t="s">
        <v>2284</v>
      </c>
      <c r="J11" s="206">
        <v>2.1</v>
      </c>
      <c r="K11" s="169"/>
      <c r="L11" s="206"/>
      <c r="M11" s="169" t="s">
        <v>2284</v>
      </c>
      <c r="N11" s="206">
        <v>2.1</v>
      </c>
    </row>
    <row r="12" spans="2:14" ht="14.4" x14ac:dyDescent="0.3">
      <c r="B12" s="182" t="e">
        <f t="shared" ref="B12:C12" si="9">IF($B$1="Solo",IF(G11="","",G11),IF($B$1="Duet",IF(I11="","",I11),IF($B$1="Mixed",IF(K11="","",K11),IF(M11="","",M11))))</f>
        <v>#N/A</v>
      </c>
      <c r="C12" s="182" t="e">
        <f t="shared" si="9"/>
        <v>#N/A</v>
      </c>
      <c r="D12" s="182" t="str">
        <f>IFERROR(IF(B12&lt;&gt;"",COUNTIF('Coach Card'!$HF$19:$HF$68,_xludf.NUMBERVALUE(LEFT(B12,1))),""),"")</f>
        <v/>
      </c>
      <c r="E12" s="182" t="str">
        <f t="shared" si="1"/>
        <v/>
      </c>
      <c r="F12" s="170"/>
      <c r="G12" s="169"/>
      <c r="H12" s="169"/>
      <c r="K12" s="169"/>
      <c r="L12" s="169"/>
      <c r="M12" s="169"/>
      <c r="N12" s="169"/>
    </row>
    <row r="13" spans="2:14" ht="14.4" x14ac:dyDescent="0.3">
      <c r="B13" s="182" t="e">
        <f t="shared" ref="B13:C13" si="10">IF($B$1="Solo",IF(G12="","",G12),IF($B$1="Duet",IF(I12="","",I12),IF($B$1="Mixed",IF(K12="","",K12),IF(M12="","",M12))))</f>
        <v>#N/A</v>
      </c>
      <c r="C13" s="182" t="e">
        <f t="shared" si="10"/>
        <v>#N/A</v>
      </c>
      <c r="D13" s="182" t="str">
        <f>IFERROR(IF(B13&lt;&gt;"",COUNTIF('Coach Card'!$HF$19:$HF$68,_xludf.NUMBERVALUE(LEFT(B13,1))),""),"")</f>
        <v/>
      </c>
      <c r="E13" s="182" t="str">
        <f t="shared" si="1"/>
        <v/>
      </c>
      <c r="F13" s="170"/>
    </row>
  </sheetData>
  <mergeCells count="6">
    <mergeCell ref="M1:N1"/>
    <mergeCell ref="B1:C1"/>
    <mergeCell ref="D1:E1"/>
    <mergeCell ref="G1:H1"/>
    <mergeCell ref="I1:J1"/>
    <mergeCell ref="K1:L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8</vt:i4>
      </vt:variant>
      <vt:variant>
        <vt:lpstr>Namngivna områden</vt:lpstr>
      </vt:variant>
      <vt:variant>
        <vt:i4>100</vt:i4>
      </vt:variant>
    </vt:vector>
  </HeadingPairs>
  <TitlesOfParts>
    <vt:vector size="108" baseType="lpstr">
      <vt:lpstr>Instruktioner</vt:lpstr>
      <vt:lpstr>Coach Card</vt:lpstr>
      <vt:lpstr>Exempel</vt:lpstr>
      <vt:lpstr>Print</vt:lpstr>
      <vt:lpstr>Data</vt:lpstr>
      <vt:lpstr>AcroDD</vt:lpstr>
      <vt:lpstr>HybridDD</vt:lpstr>
      <vt:lpstr>TREDD</vt:lpstr>
      <vt:lpstr>AcroBonus_A_Code</vt:lpstr>
      <vt:lpstr>AcroBonus_A_Value</vt:lpstr>
      <vt:lpstr>AcroBonus_B_Code</vt:lpstr>
      <vt:lpstr>AcroBonus_B_Value</vt:lpstr>
      <vt:lpstr>AcroBonus_C_Code</vt:lpstr>
      <vt:lpstr>AcroBonus_C_Value</vt:lpstr>
      <vt:lpstr>AcroBonus_P_Code</vt:lpstr>
      <vt:lpstr>AcroBonus_P_Value</vt:lpstr>
      <vt:lpstr>AcroPair_Code</vt:lpstr>
      <vt:lpstr>AcroPair_Value</vt:lpstr>
      <vt:lpstr>Cons_A_Code</vt:lpstr>
      <vt:lpstr>Cons_A_Value</vt:lpstr>
      <vt:lpstr>Cons_B_Code</vt:lpstr>
      <vt:lpstr>Cons_B_Value</vt:lpstr>
      <vt:lpstr>Cons_C_Code</vt:lpstr>
      <vt:lpstr>Cons_C_Value</vt:lpstr>
      <vt:lpstr>Cons_P_Code</vt:lpstr>
      <vt:lpstr>Cons_P_Value</vt:lpstr>
      <vt:lpstr>Conx_A_Code</vt:lpstr>
      <vt:lpstr>Conx_A_Value</vt:lpstr>
      <vt:lpstr>Conx_B_Code</vt:lpstr>
      <vt:lpstr>Conx_B_Value</vt:lpstr>
      <vt:lpstr>Conx_C_Code</vt:lpstr>
      <vt:lpstr>Conx_C_Value</vt:lpstr>
      <vt:lpstr>Conx_P_Code</vt:lpstr>
      <vt:lpstr>Conx_P_Value</vt:lpstr>
      <vt:lpstr>Dirx_A_Code</vt:lpstr>
      <vt:lpstr>Dirx_A_Value</vt:lpstr>
      <vt:lpstr>Dirx_B_Code</vt:lpstr>
      <vt:lpstr>Dirx_B_Value</vt:lpstr>
      <vt:lpstr>Dirx_C_Code</vt:lpstr>
      <vt:lpstr>Dirx_C_Value</vt:lpstr>
      <vt:lpstr>Dirx_P_Code</vt:lpstr>
      <vt:lpstr>Dirx_P_Value</vt:lpstr>
      <vt:lpstr>Hyb_Code</vt:lpstr>
      <vt:lpstr>Hyb_Tech</vt:lpstr>
      <vt:lpstr>Hyb_Tech_Value</vt:lpstr>
      <vt:lpstr>Hybrid_ChoHY</vt:lpstr>
      <vt:lpstr>Hybrid_Mix_Req</vt:lpstr>
      <vt:lpstr>Hybrid_Mix_Req_Value</vt:lpstr>
      <vt:lpstr>HybridBonus_Code</vt:lpstr>
      <vt:lpstr>HybridBonus_Value</vt:lpstr>
      <vt:lpstr>HybridDD_Code</vt:lpstr>
      <vt:lpstr>HybridDD_Value</vt:lpstr>
      <vt:lpstr>Parts_Active</vt:lpstr>
      <vt:lpstr>Pos1_A_Code</vt:lpstr>
      <vt:lpstr>Pos1_A_Value</vt:lpstr>
      <vt:lpstr>Pos1_A_Var</vt:lpstr>
      <vt:lpstr>Pos1_B_Code</vt:lpstr>
      <vt:lpstr>Pos1_B_Value</vt:lpstr>
      <vt:lpstr>Pos1_B_Var</vt:lpstr>
      <vt:lpstr>Pos1_C_Code</vt:lpstr>
      <vt:lpstr>Pos1_C_Value</vt:lpstr>
      <vt:lpstr>Pos1_C_Var</vt:lpstr>
      <vt:lpstr>Pos1_P_Code</vt:lpstr>
      <vt:lpstr>Pos1_P_Value</vt:lpstr>
      <vt:lpstr>Pos1_P_Var</vt:lpstr>
      <vt:lpstr>Pos2_A_Code</vt:lpstr>
      <vt:lpstr>Pos2_A_Value</vt:lpstr>
      <vt:lpstr>Pos2_A_Var</vt:lpstr>
      <vt:lpstr>Pos2_B_Code</vt:lpstr>
      <vt:lpstr>Pos2_B_Value</vt:lpstr>
      <vt:lpstr>Pos2_B_Var</vt:lpstr>
      <vt:lpstr>Pos2_C_Code</vt:lpstr>
      <vt:lpstr>Pos2_C_Value</vt:lpstr>
      <vt:lpstr>Pos2_C_Var</vt:lpstr>
      <vt:lpstr>Pos2_P_Code</vt:lpstr>
      <vt:lpstr>Pos2_P_Value</vt:lpstr>
      <vt:lpstr>Pos2_P_Var</vt:lpstr>
      <vt:lpstr>Requ_App</vt:lpstr>
      <vt:lpstr>Requ_Code</vt:lpstr>
      <vt:lpstr>Requ_Min</vt:lpstr>
      <vt:lpstr>RotB_A_Code</vt:lpstr>
      <vt:lpstr>RotB_A_Value</vt:lpstr>
      <vt:lpstr>RotB_B_Code</vt:lpstr>
      <vt:lpstr>RotB_B_Value</vt:lpstr>
      <vt:lpstr>RotB_C_Code</vt:lpstr>
      <vt:lpstr>RotB_C_Value</vt:lpstr>
      <vt:lpstr>RotB_P_Code</vt:lpstr>
      <vt:lpstr>RotB_P_Value</vt:lpstr>
      <vt:lpstr>RotP_A_Code</vt:lpstr>
      <vt:lpstr>RotP_A_Value</vt:lpstr>
      <vt:lpstr>RotP_B_Code</vt:lpstr>
      <vt:lpstr>RotP_B_Value</vt:lpstr>
      <vt:lpstr>RotP_C_Code</vt:lpstr>
      <vt:lpstr>RotP_C_Value</vt:lpstr>
      <vt:lpstr>RotP_P_Code</vt:lpstr>
      <vt:lpstr>RotP_P_Value</vt:lpstr>
      <vt:lpstr>TeamAcro_A_Pos1</vt:lpstr>
      <vt:lpstr>TeamAcro_A_Pos2</vt:lpstr>
      <vt:lpstr>TeamAcro_B_Cons</vt:lpstr>
      <vt:lpstr>TeamAcro_B_Conx</vt:lpstr>
      <vt:lpstr>TeamAcro_C_Cons</vt:lpstr>
      <vt:lpstr>TeamAcro_P_Cons</vt:lpstr>
      <vt:lpstr>TeamAcro_P_Conx</vt:lpstr>
      <vt:lpstr>TeamAcro_P_Pos1</vt:lpstr>
      <vt:lpstr>TeamAcro_P_Pos2</vt:lpstr>
      <vt:lpstr>TRE_check</vt:lpstr>
      <vt:lpstr>TreDD_Code</vt:lpstr>
      <vt:lpstr>TreDD_Value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Röhss</dc:creator>
  <cp:lastModifiedBy>Sandra Allerrud (Svensk Simidrott)</cp:lastModifiedBy>
  <dcterms:created xsi:type="dcterms:W3CDTF">2022-07-23T14:14:56Z</dcterms:created>
  <dcterms:modified xsi:type="dcterms:W3CDTF">2025-02-05T10:33:33Z</dcterms:modified>
</cp:coreProperties>
</file>